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8.xml" ContentType="application/vnd.openxmlformats-officedocument.drawing+xml"/>
  <Override PartName="/xl/drawings/drawing9.xml" ContentType="application/vnd.openxmlformats-officedocument.drawing+xml"/>
  <Override PartName="/xl/drawings/drawing7.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5.xml" ContentType="application/vnd.openxmlformats-officedocument.drawing+xml"/>
  <Override PartName="/xl/drawings/drawing6.xml" ContentType="application/vnd.openxmlformats-officedocument.drawing+xml"/>
  <Override PartName="/docProps/custom.xml" ContentType="application/vnd.openxmlformats-officedocument.custom-properties+xml"/>
  <Override PartName="/xl/calcChain.xml" ContentType="application/vnd.openxmlformats-officedocument.spreadsheetml.calcChain+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customXml/itemProps3.xml" ContentType="application/vnd.openxmlformats-officedocument.customXmlProperties+xml"/>
  <Override PartName="/customXml/itemProps1.xml" ContentType="application/vnd.openxmlformats-officedocument.customXmlProperties+xml"/>
  <Override PartName="/xl/ctrlProps/ctrlProp1.xml" ContentType="application/vnd.ms-excel.controlproperties+xml"/>
  <Override PartName="/customXml/itemProps2.xml" ContentType="application/vnd.openxmlformats-officedocument.customXmlProperties+xml"/>
  <Override PartName="/docProps/app.xml" ContentType="application/vnd.openxmlformats-officedocument.extended-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48"/>
  <workbookPr date1904="1" defaultThemeVersion="124226"/>
  <mc:AlternateContent xmlns:mc="http://schemas.openxmlformats.org/markup-compatibility/2006">
    <mc:Choice Requires="x15">
      <x15ac:absPath xmlns:x15ac="http://schemas.microsoft.com/office/spreadsheetml/2010/11/ac" url="C:\Users\jose.pereira\Documents\Dados_DGO\Boletins Síntese Execução Orçamental\2019\Anexos para substituir os que estão no site\"/>
    </mc:Choice>
  </mc:AlternateContent>
  <xr:revisionPtr revIDLastSave="0" documentId="8_{DDBD9ABE-8696-45E7-BADD-76B45D93815B}" xr6:coauthVersionLast="36" xr6:coauthVersionMax="36" xr10:uidLastSave="{00000000-0000-0000-0000-000000000000}"/>
  <bookViews>
    <workbookView xWindow="10905" yWindow="5445" windowWidth="10710" windowHeight="4155" tabRatio="907" xr2:uid="{00000000-000D-0000-FFFF-FFFF00000000}"/>
  </bookViews>
  <sheets>
    <sheet name="Capa EN" sheetId="13" r:id="rId1"/>
    <sheet name="Indice_index" sheetId="4" r:id="rId2"/>
    <sheet name="1 - Evolução" sheetId="1" r:id="rId3"/>
    <sheet name="2 - Estado - Receita" sheetId="14" r:id="rId4"/>
    <sheet name="3 - Estado - Funcional" sheetId="2" r:id="rId5"/>
    <sheet name="4 - Estado - orgânica" sheetId="3" r:id="rId6"/>
    <sheet name="5 - SFA - Funcional" sheetId="8" r:id="rId7"/>
    <sheet name="6 - SFA - orgânica" sheetId="5" r:id="rId8"/>
    <sheet name="MetaInfo Metadata" sheetId="11" r:id="rId9"/>
  </sheets>
  <definedNames>
    <definedName name="_xlnm.Print_Area" localSheetId="2">'1 - Evolução'!$B$2:$K$782</definedName>
    <definedName name="_xlnm.Print_Area" localSheetId="3">'2 - Estado - Receita'!$A$1:$T$42</definedName>
    <definedName name="_xlnm.Print_Area" localSheetId="4">'3 - Estado - Funcional'!$B$2:$Y$29</definedName>
    <definedName name="_xlnm.Print_Area" localSheetId="5">'4 - Estado - orgânica'!$B$2:$BG$43</definedName>
    <definedName name="_xlnm.Print_Area" localSheetId="6">'5 - SFA - Funcional'!$B$2:$Y$15</definedName>
    <definedName name="_xlnm.Print_Area" localSheetId="7">'6 - SFA - orgânica'!$B$2:$BG$45</definedName>
    <definedName name="_xlnm.Print_Area" localSheetId="0">'Capa EN'!$A$1:$L$54</definedName>
    <definedName name="_xlnm.Print_Area" localSheetId="1">Indice_index!$B$4:$G$14,Indice_index!$B$17:$G$29</definedName>
    <definedName name="_xlnm.Print_Area" localSheetId="8">'MetaInfo Metadata'!$A$1:$D$225</definedName>
    <definedName name="_xlnm.Print_Titles" localSheetId="5">'4 - Estado - orgânica'!$C:$C</definedName>
    <definedName name="_xlnm.Print_Titles" localSheetId="7">'6 - SFA - orgânica'!$C:$C,'6 - SFA - orgânica'!$2:$7</definedName>
    <definedName name="_xlnm.Print_Titles" localSheetId="8">'MetaInfo Metadata'!$1:$5</definedName>
    <definedName name="Z_0011D0C0_6BC7_4DE9_8F83_86F2D0A38DF4_.wvu.Cols" localSheetId="2" hidden="1">'1 - Evolução'!$E:$E,'1 - Evolução'!$G:$G</definedName>
    <definedName name="Z_0011D0C0_6BC7_4DE9_8F83_86F2D0A38DF4_.wvu.Cols" localSheetId="1" hidden="1">Indice_index!$X:$Z</definedName>
    <definedName name="Z_0011D0C0_6BC7_4DE9_8F83_86F2D0A38DF4_.wvu.PrintArea" localSheetId="2" hidden="1">'1 - Evolução'!$B$2:$L$722</definedName>
    <definedName name="Z_0011D0C0_6BC7_4DE9_8F83_86F2D0A38DF4_.wvu.PrintArea" localSheetId="5" hidden="1">'4 - Estado - orgânica'!$B$2:$BG$43</definedName>
    <definedName name="Z_0011D0C0_6BC7_4DE9_8F83_86F2D0A38DF4_.wvu.PrintArea" localSheetId="7" hidden="1">'6 - SFA - orgânica'!$B$2:$BG$45</definedName>
    <definedName name="Z_0011D0C0_6BC7_4DE9_8F83_86F2D0A38DF4_.wvu.PrintArea" localSheetId="1" hidden="1">Indice_index!$B$3:$C$11</definedName>
    <definedName name="Z_0011D0C0_6BC7_4DE9_8F83_86F2D0A38DF4_.wvu.PrintTitles" localSheetId="2" hidden="1">'1 - Evolução'!$2:$2</definedName>
    <definedName name="Z_0011D0C0_6BC7_4DE9_8F83_86F2D0A38DF4_.wvu.PrintTitles" localSheetId="5" hidden="1">'4 - Estado - orgânica'!$C:$C</definedName>
    <definedName name="Z_0011D0C0_6BC7_4DE9_8F83_86F2D0A38DF4_.wvu.PrintTitles" localSheetId="7" hidden="1">'6 - SFA - orgânica'!$C:$C</definedName>
    <definedName name="Z_0C0AE94C_28F1_4FD2_A8FE_F417DD17C0C4_.wvu.Cols" localSheetId="2" hidden="1">'1 - Evolução'!$E:$E,'1 - Evolução'!$G:$G</definedName>
    <definedName name="Z_0C0AE94C_28F1_4FD2_A8FE_F417DD17C0C4_.wvu.Cols" localSheetId="5" hidden="1">'4 - Estado - orgânica'!$W:$AN</definedName>
    <definedName name="Z_0C0AE94C_28F1_4FD2_A8FE_F417DD17C0C4_.wvu.Cols" localSheetId="7" hidden="1">'6 - SFA - orgânica'!$W:$AN</definedName>
    <definedName name="Z_0C0AE94C_28F1_4FD2_A8FE_F417DD17C0C4_.wvu.Cols" localSheetId="1" hidden="1">Indice_index!$X:$Z</definedName>
    <definedName name="Z_0C0AE94C_28F1_4FD2_A8FE_F417DD17C0C4_.wvu.PrintArea" localSheetId="2" hidden="1">'1 - Evolução'!$B$2:$L$722</definedName>
    <definedName name="Z_0C0AE94C_28F1_4FD2_A8FE_F417DD17C0C4_.wvu.PrintArea" localSheetId="5" hidden="1">'4 - Estado - orgânica'!$B$2:$BG$43</definedName>
    <definedName name="Z_0C0AE94C_28F1_4FD2_A8FE_F417DD17C0C4_.wvu.PrintArea" localSheetId="7" hidden="1">'6 - SFA - orgânica'!$B$2:$BG$45</definedName>
    <definedName name="Z_0C0AE94C_28F1_4FD2_A8FE_F417DD17C0C4_.wvu.PrintArea" localSheetId="1" hidden="1">Indice_index!$B$3:$C$11,Indice_index!#REF!</definedName>
    <definedName name="Z_0C0AE94C_28F1_4FD2_A8FE_F417DD17C0C4_.wvu.PrintTitles" localSheetId="2" hidden="1">'1 - Evolução'!$2:$2</definedName>
    <definedName name="Z_0C0AE94C_28F1_4FD2_A8FE_F417DD17C0C4_.wvu.PrintTitles" localSheetId="5" hidden="1">'4 - Estado - orgânica'!$C:$C</definedName>
    <definedName name="Z_0C0AE94C_28F1_4FD2_A8FE_F417DD17C0C4_.wvu.PrintTitles" localSheetId="7" hidden="1">'6 - SFA - orgânica'!$C:$C</definedName>
    <definedName name="Z_0C0AE94C_28F1_4FD2_A8FE_F417DD17C0C4_.wvu.Rows" localSheetId="1" hidden="1">Indice_index!#REF!</definedName>
    <definedName name="Z_2EA2D52B_13B2_48C6_A647_E974628AB287_.wvu.Cols" localSheetId="1" hidden="1">Indice_index!$X:$Z</definedName>
    <definedName name="Z_2EA2D52B_13B2_48C6_A647_E974628AB287_.wvu.PrintArea" localSheetId="2" hidden="1">'1 - Evolução'!$B$2:$L$722</definedName>
    <definedName name="Z_2EA2D52B_13B2_48C6_A647_E974628AB287_.wvu.PrintArea" localSheetId="5" hidden="1">'4 - Estado - orgânica'!$B$2:$BG$43</definedName>
    <definedName name="Z_2EA2D52B_13B2_48C6_A647_E974628AB287_.wvu.PrintArea" localSheetId="7" hidden="1">'6 - SFA - orgânica'!$B$2:$BG$45</definedName>
    <definedName name="Z_2EA2D52B_13B2_48C6_A647_E974628AB287_.wvu.PrintArea" localSheetId="1" hidden="1">Indice_index!$B$3:$C$11</definedName>
    <definedName name="Z_2EA2D52B_13B2_48C6_A647_E974628AB287_.wvu.PrintTitles" localSheetId="2" hidden="1">'1 - Evolução'!$2:$2</definedName>
    <definedName name="Z_2EA2D52B_13B2_48C6_A647_E974628AB287_.wvu.PrintTitles" localSheetId="5" hidden="1">'4 - Estado - orgânica'!$C:$C</definedName>
    <definedName name="Z_2EA2D52B_13B2_48C6_A647_E974628AB287_.wvu.PrintTitles" localSheetId="7" hidden="1">'6 - SFA - orgânica'!$C:$C</definedName>
    <definedName name="Z_397AD331_8EE9_49A3_85C5_CAAF9519E963_.wvu.Cols" localSheetId="2" hidden="1">'1 - Evolução'!$E:$E,'1 - Evolução'!$G:$G</definedName>
    <definedName name="Z_397AD331_8EE9_49A3_85C5_CAAF9519E963_.wvu.Cols" localSheetId="5" hidden="1">'4 - Estado - orgânica'!$V:$AQ</definedName>
    <definedName name="Z_397AD331_8EE9_49A3_85C5_CAAF9519E963_.wvu.Cols" localSheetId="7" hidden="1">'6 - SFA - orgânica'!$V:$AQ</definedName>
    <definedName name="Z_397AD331_8EE9_49A3_85C5_CAAF9519E963_.wvu.Cols" localSheetId="1" hidden="1">Indice_index!$X:$Z</definedName>
    <definedName name="Z_397AD331_8EE9_49A3_85C5_CAAF9519E963_.wvu.PrintArea" localSheetId="2" hidden="1">'1 - Evolução'!$B$2:$L$722</definedName>
    <definedName name="Z_397AD331_8EE9_49A3_85C5_CAAF9519E963_.wvu.PrintArea" localSheetId="5" hidden="1">'4 - Estado - orgânica'!$B$2:$BG$43</definedName>
    <definedName name="Z_397AD331_8EE9_49A3_85C5_CAAF9519E963_.wvu.PrintArea" localSheetId="7" hidden="1">'6 - SFA - orgânica'!$B$2:$BG$45</definedName>
    <definedName name="Z_397AD331_8EE9_49A3_85C5_CAAF9519E963_.wvu.PrintArea" localSheetId="1" hidden="1">Indice_index!$B$3:$C$11</definedName>
    <definedName name="Z_397AD331_8EE9_49A3_85C5_CAAF9519E963_.wvu.PrintTitles" localSheetId="2" hidden="1">'1 - Evolução'!$2:$2</definedName>
    <definedName name="Z_397AD331_8EE9_49A3_85C5_CAAF9519E963_.wvu.PrintTitles" localSheetId="5" hidden="1">'4 - Estado - orgânica'!$C:$C</definedName>
    <definedName name="Z_397AD331_8EE9_49A3_85C5_CAAF9519E963_.wvu.PrintTitles" localSheetId="7" hidden="1">'6 - SFA - orgânica'!$C:$C</definedName>
    <definedName name="Z_3CBF401B_BA90_4504_A812_4461208B2AAF_.wvu.Cols" localSheetId="2" hidden="1">'1 - Evolução'!$E:$E,'1 - Evolução'!$G:$G</definedName>
    <definedName name="Z_3CBF401B_BA90_4504_A812_4461208B2AAF_.wvu.Cols" localSheetId="5" hidden="1">'4 - Estado - orgânica'!$V:$AQ</definedName>
    <definedName name="Z_3CBF401B_BA90_4504_A812_4461208B2AAF_.wvu.Cols" localSheetId="7" hidden="1">'6 - SFA - orgânica'!$V:$AQ</definedName>
    <definedName name="Z_3CBF401B_BA90_4504_A812_4461208B2AAF_.wvu.Cols" localSheetId="1" hidden="1">Indice_index!$X:$Z</definedName>
    <definedName name="Z_3CBF401B_BA90_4504_A812_4461208B2AAF_.wvu.PrintArea" localSheetId="2" hidden="1">'1 - Evolução'!$B$2:$L$722</definedName>
    <definedName name="Z_3CBF401B_BA90_4504_A812_4461208B2AAF_.wvu.PrintArea" localSheetId="5" hidden="1">'4 - Estado - orgânica'!$B$2:$BG$43</definedName>
    <definedName name="Z_3CBF401B_BA90_4504_A812_4461208B2AAF_.wvu.PrintArea" localSheetId="7" hidden="1">'6 - SFA - orgânica'!$B$2:$BG$45</definedName>
    <definedName name="Z_3CBF401B_BA90_4504_A812_4461208B2AAF_.wvu.PrintArea" localSheetId="1" hidden="1">Indice_index!$B$3:$C$11,Indice_index!#REF!</definedName>
    <definedName name="Z_3CBF401B_BA90_4504_A812_4461208B2AAF_.wvu.PrintTitles" localSheetId="2" hidden="1">'1 - Evolução'!$2:$2</definedName>
    <definedName name="Z_3CBF401B_BA90_4504_A812_4461208B2AAF_.wvu.PrintTitles" localSheetId="5" hidden="1">'4 - Estado - orgânica'!$C:$C</definedName>
    <definedName name="Z_3CBF401B_BA90_4504_A812_4461208B2AAF_.wvu.PrintTitles" localSheetId="7" hidden="1">'6 - SFA - orgânica'!$C:$C</definedName>
    <definedName name="Z_409D0809_DA86_4C14_803D_2162A19A44FF_.wvu.Cols" localSheetId="2" hidden="1">'1 - Evolução'!$E:$E,'1 - Evolução'!$G:$G</definedName>
    <definedName name="Z_409D0809_DA86_4C14_803D_2162A19A44FF_.wvu.Cols" localSheetId="1" hidden="1">Indice_index!$X:$Z</definedName>
    <definedName name="Z_409D0809_DA86_4C14_803D_2162A19A44FF_.wvu.PrintArea" localSheetId="2" hidden="1">'1 - Evolução'!$B$2:$L$722</definedName>
    <definedName name="Z_409D0809_DA86_4C14_803D_2162A19A44FF_.wvu.PrintArea" localSheetId="5" hidden="1">'4 - Estado - orgânica'!$B$2:$BG$43</definedName>
    <definedName name="Z_409D0809_DA86_4C14_803D_2162A19A44FF_.wvu.PrintArea" localSheetId="7" hidden="1">'6 - SFA - orgânica'!$B$2:$BG$45</definedName>
    <definedName name="Z_409D0809_DA86_4C14_803D_2162A19A44FF_.wvu.PrintArea" localSheetId="1" hidden="1">Indice_index!$B$3:$C$11</definedName>
    <definedName name="Z_409D0809_DA86_4C14_803D_2162A19A44FF_.wvu.PrintTitles" localSheetId="2" hidden="1">'1 - Evolução'!$2:$2</definedName>
    <definedName name="Z_409D0809_DA86_4C14_803D_2162A19A44FF_.wvu.PrintTitles" localSheetId="5" hidden="1">'4 - Estado - orgânica'!$C:$C</definedName>
    <definedName name="Z_409D0809_DA86_4C14_803D_2162A19A44FF_.wvu.PrintTitles" localSheetId="7" hidden="1">'6 - SFA - orgânica'!$C:$C</definedName>
    <definedName name="Z_43AB44CB_B133_4B3C_9B24_AA3B4A5A58A7_.wvu.Cols" localSheetId="2" hidden="1">'1 - Evolução'!$E:$E,'1 - Evolução'!$G:$G</definedName>
    <definedName name="Z_43AB44CB_B133_4B3C_9B24_AA3B4A5A58A7_.wvu.Cols" localSheetId="1" hidden="1">Indice_index!$X:$Z</definedName>
    <definedName name="Z_43AB44CB_B133_4B3C_9B24_AA3B4A5A58A7_.wvu.PrintArea" localSheetId="2" hidden="1">'1 - Evolução'!$B$2:$L$722</definedName>
    <definedName name="Z_43AB44CB_B133_4B3C_9B24_AA3B4A5A58A7_.wvu.PrintArea" localSheetId="5" hidden="1">'4 - Estado - orgânica'!$B$2:$BG$43</definedName>
    <definedName name="Z_43AB44CB_B133_4B3C_9B24_AA3B4A5A58A7_.wvu.PrintArea" localSheetId="7" hidden="1">'6 - SFA - orgânica'!$B$2:$BG$45</definedName>
    <definedName name="Z_43AB44CB_B133_4B3C_9B24_AA3B4A5A58A7_.wvu.PrintArea" localSheetId="1" hidden="1">Indice_index!$B$3:$C$11</definedName>
    <definedName name="Z_43AB44CB_B133_4B3C_9B24_AA3B4A5A58A7_.wvu.PrintTitles" localSheetId="2" hidden="1">'1 - Evolução'!$2:$2</definedName>
    <definedName name="Z_43AB44CB_B133_4B3C_9B24_AA3B4A5A58A7_.wvu.PrintTitles" localSheetId="5" hidden="1">'4 - Estado - orgânica'!$C:$C</definedName>
    <definedName name="Z_43AB44CB_B133_4B3C_9B24_AA3B4A5A58A7_.wvu.PrintTitles" localSheetId="7" hidden="1">'6 - SFA - orgânica'!$C:$C</definedName>
    <definedName name="Z_536C31F2_3B98_44EC_AFD0_C5BCDB62B873_.wvu.Cols" localSheetId="2" hidden="1">'1 - Evolução'!$E:$E,'1 - Evolução'!$G:$G</definedName>
    <definedName name="Z_536C31F2_3B98_44EC_AFD0_C5BCDB62B873_.wvu.Cols" localSheetId="1" hidden="1">Indice_index!$X:$Z</definedName>
    <definedName name="Z_536C31F2_3B98_44EC_AFD0_C5BCDB62B873_.wvu.PrintArea" localSheetId="2" hidden="1">'1 - Evolução'!$B$2:$L$722</definedName>
    <definedName name="Z_536C31F2_3B98_44EC_AFD0_C5BCDB62B873_.wvu.PrintArea" localSheetId="5" hidden="1">'4 - Estado - orgânica'!$B$2:$BG$43</definedName>
    <definedName name="Z_536C31F2_3B98_44EC_AFD0_C5BCDB62B873_.wvu.PrintArea" localSheetId="7" hidden="1">'6 - SFA - orgânica'!$B$2:$BG$45</definedName>
    <definedName name="Z_536C31F2_3B98_44EC_AFD0_C5BCDB62B873_.wvu.PrintArea" localSheetId="1" hidden="1">Indice_index!$B$3:$C$11</definedName>
    <definedName name="Z_536C31F2_3B98_44EC_AFD0_C5BCDB62B873_.wvu.PrintTitles" localSheetId="2" hidden="1">'1 - Evolução'!$2:$2</definedName>
    <definedName name="Z_536C31F2_3B98_44EC_AFD0_C5BCDB62B873_.wvu.PrintTitles" localSheetId="5" hidden="1">'4 - Estado - orgânica'!$C:$C</definedName>
    <definedName name="Z_536C31F2_3B98_44EC_AFD0_C5BCDB62B873_.wvu.PrintTitles" localSheetId="7" hidden="1">'6 - SFA - orgânica'!$C:$C</definedName>
    <definedName name="Z_60062E94_E9B0_4825_A812_182FE1DB6021_.wvu.Cols" localSheetId="2" hidden="1">'1 - Evolução'!$E:$E,'1 - Evolução'!$G:$G</definedName>
    <definedName name="Z_60062E94_E9B0_4825_A812_182FE1DB6021_.wvu.Cols" localSheetId="5" hidden="1">'4 - Estado - orgânica'!$V:$AQ</definedName>
    <definedName name="Z_60062E94_E9B0_4825_A812_182FE1DB6021_.wvu.Cols" localSheetId="7" hidden="1">'6 - SFA - orgânica'!$V:$AQ</definedName>
    <definedName name="Z_60062E94_E9B0_4825_A812_182FE1DB6021_.wvu.Cols" localSheetId="1" hidden="1">Indice_index!$X:$Z</definedName>
    <definedName name="Z_60062E94_E9B0_4825_A812_182FE1DB6021_.wvu.PrintArea" localSheetId="2" hidden="1">'1 - Evolução'!$B$2:$L$722</definedName>
    <definedName name="Z_60062E94_E9B0_4825_A812_182FE1DB6021_.wvu.PrintArea" localSheetId="5" hidden="1">'4 - Estado - orgânica'!$B$2:$BG$43</definedName>
    <definedName name="Z_60062E94_E9B0_4825_A812_182FE1DB6021_.wvu.PrintArea" localSheetId="7" hidden="1">'6 - SFA - orgânica'!$B$2:$BG$45</definedName>
    <definedName name="Z_60062E94_E9B0_4825_A812_182FE1DB6021_.wvu.PrintArea" localSheetId="1" hidden="1">Indice_index!$B$3:$C$11</definedName>
    <definedName name="Z_60062E94_E9B0_4825_A812_182FE1DB6021_.wvu.PrintTitles" localSheetId="2" hidden="1">'1 - Evolução'!$2:$2</definedName>
    <definedName name="Z_60062E94_E9B0_4825_A812_182FE1DB6021_.wvu.PrintTitles" localSheetId="5" hidden="1">'4 - Estado - orgânica'!$C:$C</definedName>
    <definedName name="Z_60062E94_E9B0_4825_A812_182FE1DB6021_.wvu.PrintTitles" localSheetId="7" hidden="1">'6 - SFA - orgânica'!$C:$C</definedName>
    <definedName name="Z_7C9CF15C_1C68_49F7_9700_3FAC67AFF208_.wvu.Cols" localSheetId="2" hidden="1">'1 - Evolução'!$E:$E,'1 - Evolução'!$G:$G</definedName>
    <definedName name="Z_7C9CF15C_1C68_49F7_9700_3FAC67AFF208_.wvu.Cols" localSheetId="5" hidden="1">'4 - Estado - orgânica'!$V:$AQ</definedName>
    <definedName name="Z_7C9CF15C_1C68_49F7_9700_3FAC67AFF208_.wvu.Cols" localSheetId="7" hidden="1">'6 - SFA - orgânica'!$V:$AQ</definedName>
    <definedName name="Z_7C9CF15C_1C68_49F7_9700_3FAC67AFF208_.wvu.Cols" localSheetId="1" hidden="1">Indice_index!$X:$Z</definedName>
    <definedName name="Z_7C9CF15C_1C68_49F7_9700_3FAC67AFF208_.wvu.PrintArea" localSheetId="2" hidden="1">'1 - Evolução'!$B$2:$L$722</definedName>
    <definedName name="Z_7C9CF15C_1C68_49F7_9700_3FAC67AFF208_.wvu.PrintArea" localSheetId="5" hidden="1">'4 - Estado - orgânica'!$B$2:$BG$43</definedName>
    <definedName name="Z_7C9CF15C_1C68_49F7_9700_3FAC67AFF208_.wvu.PrintArea" localSheetId="7" hidden="1">'6 - SFA - orgânica'!$B$2:$BG$45</definedName>
    <definedName name="Z_7C9CF15C_1C68_49F7_9700_3FAC67AFF208_.wvu.PrintArea" localSheetId="1" hidden="1">Indice_index!$B$3:$C$11</definedName>
    <definedName name="Z_7C9CF15C_1C68_49F7_9700_3FAC67AFF208_.wvu.PrintTitles" localSheetId="2" hidden="1">'1 - Evolução'!$2:$2</definedName>
    <definedName name="Z_7C9CF15C_1C68_49F7_9700_3FAC67AFF208_.wvu.PrintTitles" localSheetId="5" hidden="1">'4 - Estado - orgânica'!$C:$C</definedName>
    <definedName name="Z_7C9CF15C_1C68_49F7_9700_3FAC67AFF208_.wvu.PrintTitles" localSheetId="7" hidden="1">'6 - SFA - orgânica'!$C:$C</definedName>
    <definedName name="Z_9177A1FF_E4C8_4A1B_B90F_C92196CC7C57_.wvu.Cols" localSheetId="2" hidden="1">'1 - Evolução'!$E:$E,'1 - Evolução'!$G:$G</definedName>
    <definedName name="Z_9177A1FF_E4C8_4A1B_B90F_C92196CC7C57_.wvu.Cols" localSheetId="1" hidden="1">Indice_index!$X:$Z</definedName>
    <definedName name="Z_9177A1FF_E4C8_4A1B_B90F_C92196CC7C57_.wvu.PrintArea" localSheetId="2" hidden="1">'1 - Evolução'!$B$2:$L$722</definedName>
    <definedName name="Z_9177A1FF_E4C8_4A1B_B90F_C92196CC7C57_.wvu.PrintArea" localSheetId="5" hidden="1">'4 - Estado - orgânica'!$B$2:$BG$43</definedName>
    <definedName name="Z_9177A1FF_E4C8_4A1B_B90F_C92196CC7C57_.wvu.PrintArea" localSheetId="7" hidden="1">'6 - SFA - orgânica'!$B$2:$BG$45</definedName>
    <definedName name="Z_9177A1FF_E4C8_4A1B_B90F_C92196CC7C57_.wvu.PrintArea" localSheetId="1" hidden="1">Indice_index!$B$3:$C$11</definedName>
    <definedName name="Z_9177A1FF_E4C8_4A1B_B90F_C92196CC7C57_.wvu.PrintTitles" localSheetId="2" hidden="1">'1 - Evolução'!$2:$2</definedName>
    <definedName name="Z_9177A1FF_E4C8_4A1B_B90F_C92196CC7C57_.wvu.PrintTitles" localSheetId="5" hidden="1">'4 - Estado - orgânica'!$C:$C</definedName>
    <definedName name="Z_9177A1FF_E4C8_4A1B_B90F_C92196CC7C57_.wvu.PrintTitles" localSheetId="7" hidden="1">'6 - SFA - orgânica'!$C:$C</definedName>
    <definedName name="Z_995CCCB8_BF97_4653_A7C0_86012B807DB5_.wvu.Cols" localSheetId="2" hidden="1">'1 - Evolução'!$E:$E,'1 - Evolução'!$G:$G</definedName>
    <definedName name="Z_995CCCB8_BF97_4653_A7C0_86012B807DB5_.wvu.Cols" localSheetId="5" hidden="1">'4 - Estado - orgânica'!$V:$AQ</definedName>
    <definedName name="Z_995CCCB8_BF97_4653_A7C0_86012B807DB5_.wvu.Cols" localSheetId="7" hidden="1">'6 - SFA - orgânica'!$V:$AQ</definedName>
    <definedName name="Z_995CCCB8_BF97_4653_A7C0_86012B807DB5_.wvu.Cols" localSheetId="1" hidden="1">Indice_index!$X:$Z</definedName>
    <definedName name="Z_995CCCB8_BF97_4653_A7C0_86012B807DB5_.wvu.PrintArea" localSheetId="2" hidden="1">'1 - Evolução'!$B$2:$L$722</definedName>
    <definedName name="Z_995CCCB8_BF97_4653_A7C0_86012B807DB5_.wvu.PrintArea" localSheetId="5" hidden="1">'4 - Estado - orgânica'!$B$2:$BG$43</definedName>
    <definedName name="Z_995CCCB8_BF97_4653_A7C0_86012B807DB5_.wvu.PrintArea" localSheetId="7" hidden="1">'6 - SFA - orgânica'!$B$2:$BG$45</definedName>
    <definedName name="Z_995CCCB8_BF97_4653_A7C0_86012B807DB5_.wvu.PrintArea" localSheetId="1" hidden="1">Indice_index!$B$3:$C$11</definedName>
    <definedName name="Z_995CCCB8_BF97_4653_A7C0_86012B807DB5_.wvu.PrintTitles" localSheetId="2" hidden="1">'1 - Evolução'!$2:$2</definedName>
    <definedName name="Z_995CCCB8_BF97_4653_A7C0_86012B807DB5_.wvu.PrintTitles" localSheetId="5" hidden="1">'4 - Estado - orgânica'!$C:$C</definedName>
    <definedName name="Z_995CCCB8_BF97_4653_A7C0_86012B807DB5_.wvu.PrintTitles" localSheetId="7" hidden="1">'6 - SFA - orgânica'!$C:$C</definedName>
    <definedName name="Z_9C8E7FE3_A7A1_4D36_A156_3751861446D4_.wvu.Cols" localSheetId="2" hidden="1">'1 - Evolução'!$E:$E,'1 - Evolução'!$G:$G</definedName>
    <definedName name="Z_9C8E7FE3_A7A1_4D36_A156_3751861446D4_.wvu.Cols" localSheetId="5" hidden="1">'4 - Estado - orgânica'!$V:$AQ</definedName>
    <definedName name="Z_9C8E7FE3_A7A1_4D36_A156_3751861446D4_.wvu.Cols" localSheetId="7" hidden="1">'6 - SFA - orgânica'!$V:$AQ</definedName>
    <definedName name="Z_9C8E7FE3_A7A1_4D36_A156_3751861446D4_.wvu.Cols" localSheetId="1" hidden="1">Indice_index!$X:$Z</definedName>
    <definedName name="Z_9C8E7FE3_A7A1_4D36_A156_3751861446D4_.wvu.PrintArea" localSheetId="2" hidden="1">'1 - Evolução'!$B$2:$L$722</definedName>
    <definedName name="Z_9C8E7FE3_A7A1_4D36_A156_3751861446D4_.wvu.PrintArea" localSheetId="5" hidden="1">'4 - Estado - orgânica'!$B$2:$BG$43</definedName>
    <definedName name="Z_9C8E7FE3_A7A1_4D36_A156_3751861446D4_.wvu.PrintArea" localSheetId="7" hidden="1">'6 - SFA - orgânica'!$B$2:$BG$45</definedName>
    <definedName name="Z_9C8E7FE3_A7A1_4D36_A156_3751861446D4_.wvu.PrintArea" localSheetId="1" hidden="1">Indice_index!$B$3:$C$11</definedName>
    <definedName name="Z_9C8E7FE3_A7A1_4D36_A156_3751861446D4_.wvu.PrintTitles" localSheetId="2" hidden="1">'1 - Evolução'!$2:$2</definedName>
    <definedName name="Z_9C8E7FE3_A7A1_4D36_A156_3751861446D4_.wvu.PrintTitles" localSheetId="5" hidden="1">'4 - Estado - orgânica'!$C:$C</definedName>
    <definedName name="Z_9C8E7FE3_A7A1_4D36_A156_3751861446D4_.wvu.PrintTitles" localSheetId="7" hidden="1">'6 - SFA - orgânica'!$C:$C</definedName>
    <definedName name="Z_B22C7842_6BF9_4A1C_B06C_2AD9B9A784D4_.wvu.Cols" localSheetId="2" hidden="1">'1 - Evolução'!$E:$E,'1 - Evolução'!$G:$G</definedName>
    <definedName name="Z_B22C7842_6BF9_4A1C_B06C_2AD9B9A784D4_.wvu.Cols" localSheetId="5" hidden="1">'4 - Estado - orgânica'!$V:$AQ</definedName>
    <definedName name="Z_B22C7842_6BF9_4A1C_B06C_2AD9B9A784D4_.wvu.Cols" localSheetId="7" hidden="1">'6 - SFA - orgânica'!$V:$AQ</definedName>
    <definedName name="Z_B22C7842_6BF9_4A1C_B06C_2AD9B9A784D4_.wvu.Cols" localSheetId="1" hidden="1">Indice_index!$X:$Z</definedName>
    <definedName name="Z_B22C7842_6BF9_4A1C_B06C_2AD9B9A784D4_.wvu.PrintArea" localSheetId="2" hidden="1">'1 - Evolução'!$B$2:$L$722</definedName>
    <definedName name="Z_B22C7842_6BF9_4A1C_B06C_2AD9B9A784D4_.wvu.PrintArea" localSheetId="5" hidden="1">'4 - Estado - orgânica'!$B$2:$BG$43</definedName>
    <definedName name="Z_B22C7842_6BF9_4A1C_B06C_2AD9B9A784D4_.wvu.PrintArea" localSheetId="7" hidden="1">'6 - SFA - orgânica'!$B$2:$BG$45</definedName>
    <definedName name="Z_B22C7842_6BF9_4A1C_B06C_2AD9B9A784D4_.wvu.PrintArea" localSheetId="1" hidden="1">Indice_index!$B$3:$C$11</definedName>
    <definedName name="Z_B22C7842_6BF9_4A1C_B06C_2AD9B9A784D4_.wvu.PrintTitles" localSheetId="2" hidden="1">'1 - Evolução'!$2:$2</definedName>
    <definedName name="Z_B22C7842_6BF9_4A1C_B06C_2AD9B9A784D4_.wvu.PrintTitles" localSheetId="5" hidden="1">'4 - Estado - orgânica'!$C:$C</definedName>
    <definedName name="Z_B22C7842_6BF9_4A1C_B06C_2AD9B9A784D4_.wvu.PrintTitles" localSheetId="7" hidden="1">'6 - SFA - orgânica'!$C:$C</definedName>
    <definedName name="Z_C2013F6E_CF9D_4172_87F3_B954A090B414_.wvu.PrintArea" localSheetId="5" hidden="1">'4 - Estado - orgânica'!$D$2:$U$43</definedName>
    <definedName name="Z_C2013F6E_CF9D_4172_87F3_B954A090B414_.wvu.PrintArea" localSheetId="7" hidden="1">'6 - SFA - orgânica'!$D$2:$U$45</definedName>
    <definedName name="Z_C403553D_352C_44B6_83D8_441F3A96C5BE_.wvu.Cols" localSheetId="2" hidden="1">'1 - Evolução'!$E:$E,'1 - Evolução'!$G:$G</definedName>
    <definedName name="Z_C403553D_352C_44B6_83D8_441F3A96C5BE_.wvu.Cols" localSheetId="5" hidden="1">'4 - Estado - orgânica'!$W:$AN</definedName>
    <definedName name="Z_C403553D_352C_44B6_83D8_441F3A96C5BE_.wvu.Cols" localSheetId="7" hidden="1">'6 - SFA - orgânica'!$W:$AN</definedName>
    <definedName name="Z_C403553D_352C_44B6_83D8_441F3A96C5BE_.wvu.Cols" localSheetId="1" hidden="1">Indice_index!$X:$Z</definedName>
    <definedName name="Z_C403553D_352C_44B6_83D8_441F3A96C5BE_.wvu.PrintArea" localSheetId="2" hidden="1">'1 - Evolução'!$B$2:$L$722</definedName>
    <definedName name="Z_C403553D_352C_44B6_83D8_441F3A96C5BE_.wvu.PrintArea" localSheetId="5" hidden="1">'4 - Estado - orgânica'!$B$2:$BG$43</definedName>
    <definedName name="Z_C403553D_352C_44B6_83D8_441F3A96C5BE_.wvu.PrintArea" localSheetId="7" hidden="1">'6 - SFA - orgânica'!$B$2:$BG$45</definedName>
    <definedName name="Z_C403553D_352C_44B6_83D8_441F3A96C5BE_.wvu.PrintArea" localSheetId="1" hidden="1">Indice_index!$B$3:$C$11,Indice_index!#REF!</definedName>
    <definedName name="Z_C403553D_352C_44B6_83D8_441F3A96C5BE_.wvu.PrintTitles" localSheetId="2" hidden="1">'1 - Evolução'!$2:$2</definedName>
    <definedName name="Z_C403553D_352C_44B6_83D8_441F3A96C5BE_.wvu.PrintTitles" localSheetId="5" hidden="1">'4 - Estado - orgânica'!$C:$C</definedName>
    <definedName name="Z_C403553D_352C_44B6_83D8_441F3A96C5BE_.wvu.PrintTitles" localSheetId="7" hidden="1">'6 - SFA - orgânica'!$C:$C</definedName>
    <definedName name="Z_DB1D3FDB_E0D5_4FD7_BD6E_EC28675EBF68_.wvu.Cols" localSheetId="2" hidden="1">'1 - Evolução'!$E:$E,'1 - Evolução'!$G:$G</definedName>
    <definedName name="Z_DB1D3FDB_E0D5_4FD7_BD6E_EC28675EBF68_.wvu.Cols" localSheetId="5" hidden="1">'4 - Estado - orgânica'!$V:$AQ</definedName>
    <definedName name="Z_DB1D3FDB_E0D5_4FD7_BD6E_EC28675EBF68_.wvu.Cols" localSheetId="7" hidden="1">'6 - SFA - orgânica'!$V:$AQ</definedName>
    <definedName name="Z_DB1D3FDB_E0D5_4FD7_BD6E_EC28675EBF68_.wvu.Cols" localSheetId="1" hidden="1">Indice_index!$X:$Z</definedName>
    <definedName name="Z_DB1D3FDB_E0D5_4FD7_BD6E_EC28675EBF68_.wvu.PrintArea" localSheetId="2" hidden="1">'1 - Evolução'!$B$2:$L$722</definedName>
    <definedName name="Z_DB1D3FDB_E0D5_4FD7_BD6E_EC28675EBF68_.wvu.PrintArea" localSheetId="5" hidden="1">'4 - Estado - orgânica'!$B$2:$BG$43</definedName>
    <definedName name="Z_DB1D3FDB_E0D5_4FD7_BD6E_EC28675EBF68_.wvu.PrintArea" localSheetId="7" hidden="1">'6 - SFA - orgânica'!$B$2:$BG$45</definedName>
    <definedName name="Z_DB1D3FDB_E0D5_4FD7_BD6E_EC28675EBF68_.wvu.PrintArea" localSheetId="1" hidden="1">Indice_index!$B$3:$C$11</definedName>
    <definedName name="Z_DB1D3FDB_E0D5_4FD7_BD6E_EC28675EBF68_.wvu.PrintTitles" localSheetId="2" hidden="1">'1 - Evolução'!$2:$2</definedName>
    <definedName name="Z_DB1D3FDB_E0D5_4FD7_BD6E_EC28675EBF68_.wvu.PrintTitles" localSheetId="5" hidden="1">'4 - Estado - orgânica'!$C:$C</definedName>
    <definedName name="Z_DB1D3FDB_E0D5_4FD7_BD6E_EC28675EBF68_.wvu.PrintTitles" localSheetId="7" hidden="1">'6 - SFA - orgânica'!$C:$C</definedName>
    <definedName name="Z_E424CD16_C6CB_4435_8379_83DB8236700E_.wvu.Cols" localSheetId="2" hidden="1">'1 - Evolução'!$E:$E,'1 - Evolução'!$G:$G</definedName>
    <definedName name="Z_E424CD16_C6CB_4435_8379_83DB8236700E_.wvu.Cols" localSheetId="5" hidden="1">'4 - Estado - orgânica'!$W:$AN</definedName>
    <definedName name="Z_E424CD16_C6CB_4435_8379_83DB8236700E_.wvu.Cols" localSheetId="7" hidden="1">'6 - SFA - orgânica'!$W:$AN</definedName>
    <definedName name="Z_E424CD16_C6CB_4435_8379_83DB8236700E_.wvu.Cols" localSheetId="1" hidden="1">Indice_index!$X:$Z</definedName>
    <definedName name="Z_E424CD16_C6CB_4435_8379_83DB8236700E_.wvu.PrintArea" localSheetId="2" hidden="1">'1 - Evolução'!$B$2:$L$722</definedName>
    <definedName name="Z_E424CD16_C6CB_4435_8379_83DB8236700E_.wvu.PrintArea" localSheetId="5" hidden="1">'4 - Estado - orgânica'!$B$2:$BG$43</definedName>
    <definedName name="Z_E424CD16_C6CB_4435_8379_83DB8236700E_.wvu.PrintArea" localSheetId="7" hidden="1">'6 - SFA - orgânica'!$B$2:$BG$45</definedName>
    <definedName name="Z_E424CD16_C6CB_4435_8379_83DB8236700E_.wvu.PrintArea" localSheetId="1" hidden="1">Indice_index!$B$3:$C$11,Indice_index!#REF!</definedName>
    <definedName name="Z_E424CD16_C6CB_4435_8379_83DB8236700E_.wvu.PrintTitles" localSheetId="2" hidden="1">'1 - Evolução'!$2:$2</definedName>
    <definedName name="Z_E424CD16_C6CB_4435_8379_83DB8236700E_.wvu.PrintTitles" localSheetId="5" hidden="1">'4 - Estado - orgânica'!$C:$C</definedName>
    <definedName name="Z_E424CD16_C6CB_4435_8379_83DB8236700E_.wvu.PrintTitles" localSheetId="7" hidden="1">'6 - SFA - orgânica'!$C:$C</definedName>
    <definedName name="Z_E424CD16_C6CB_4435_8379_83DB8236700E_.wvu.Rows" localSheetId="1" hidden="1">Indice_index!#REF!</definedName>
    <definedName name="Z_EBA68B69_6D6E_44F8_8C51_9491A55275C5_.wvu.Cols" localSheetId="2" hidden="1">'1 - Evolução'!$E:$E,'1 - Evolução'!$G:$G</definedName>
    <definedName name="Z_EBA68B69_6D6E_44F8_8C51_9491A55275C5_.wvu.Cols" localSheetId="5" hidden="1">'4 - Estado - orgânica'!$V:$AQ</definedName>
    <definedName name="Z_EBA68B69_6D6E_44F8_8C51_9491A55275C5_.wvu.Cols" localSheetId="7" hidden="1">'6 - SFA - orgânica'!$V:$AQ</definedName>
    <definedName name="Z_EBA68B69_6D6E_44F8_8C51_9491A55275C5_.wvu.Cols" localSheetId="1" hidden="1">Indice_index!$X:$Z</definedName>
    <definedName name="Z_EBA68B69_6D6E_44F8_8C51_9491A55275C5_.wvu.PrintArea" localSheetId="2" hidden="1">'1 - Evolução'!$B$2:$L$722</definedName>
    <definedName name="Z_EBA68B69_6D6E_44F8_8C51_9491A55275C5_.wvu.PrintArea" localSheetId="5" hidden="1">'4 - Estado - orgânica'!$B$2:$BG$43</definedName>
    <definedName name="Z_EBA68B69_6D6E_44F8_8C51_9491A55275C5_.wvu.PrintArea" localSheetId="7" hidden="1">'6 - SFA - orgânica'!$B$2:$BG$45</definedName>
    <definedName name="Z_EBA68B69_6D6E_44F8_8C51_9491A55275C5_.wvu.PrintArea" localSheetId="1" hidden="1">Indice_index!$B$3:$C$11</definedName>
    <definedName name="Z_EBA68B69_6D6E_44F8_8C51_9491A55275C5_.wvu.PrintTitles" localSheetId="2" hidden="1">'1 - Evolução'!$2:$2</definedName>
    <definedName name="Z_EBA68B69_6D6E_44F8_8C51_9491A55275C5_.wvu.PrintTitles" localSheetId="5" hidden="1">'4 - Estado - orgânica'!$C:$C</definedName>
    <definedName name="Z_EBA68B69_6D6E_44F8_8C51_9491A55275C5_.wvu.PrintTitles" localSheetId="7" hidden="1">'6 - SFA - orgânica'!$C:$C</definedName>
  </definedNames>
  <calcPr calcId="191029"/>
</workbook>
</file>

<file path=xl/calcChain.xml><?xml version="1.0" encoding="utf-8"?>
<calcChain xmlns="http://schemas.openxmlformats.org/spreadsheetml/2006/main">
  <c r="E6" i="4" l="1"/>
  <c r="P21" i="14"/>
  <c r="M21" i="14"/>
  <c r="P34" i="14"/>
  <c r="T34" i="14" s="1"/>
  <c r="M34" i="14"/>
  <c r="J675" i="1"/>
  <c r="K675" i="1"/>
  <c r="C55" i="11"/>
  <c r="C32" i="11"/>
  <c r="G6" i="4"/>
  <c r="F6" i="4"/>
  <c r="C5" i="3"/>
  <c r="C5" i="5" s="1"/>
  <c r="K674" i="1"/>
  <c r="J674" i="1"/>
  <c r="C191" i="11"/>
  <c r="C216" i="11"/>
  <c r="P20" i="14"/>
  <c r="M20" i="14"/>
  <c r="P33" i="14"/>
  <c r="M33" i="14"/>
  <c r="I673" i="1"/>
  <c r="J673" i="1"/>
  <c r="K673" i="1"/>
  <c r="P32" i="14"/>
  <c r="Q32" i="14" s="1"/>
  <c r="M32" i="14"/>
  <c r="P19" i="14"/>
  <c r="M19" i="14"/>
  <c r="T19" i="14" s="1"/>
  <c r="C192" i="11"/>
  <c r="B192" i="11"/>
  <c r="C152" i="11"/>
  <c r="B152" i="11"/>
  <c r="K810" i="1"/>
  <c r="J810" i="1"/>
  <c r="I810" i="1"/>
  <c r="K809" i="1"/>
  <c r="J809" i="1"/>
  <c r="I809" i="1"/>
  <c r="I814" i="1"/>
  <c r="J814" i="1"/>
  <c r="K814" i="1"/>
  <c r="I815" i="1"/>
  <c r="J815" i="1"/>
  <c r="K815" i="1"/>
  <c r="J672" i="1"/>
  <c r="I672" i="1"/>
  <c r="K672" i="1"/>
  <c r="T41" i="14"/>
  <c r="T40" i="14"/>
  <c r="T39" i="14"/>
  <c r="T38" i="14"/>
  <c r="T37" i="14"/>
  <c r="T36" i="14"/>
  <c r="T35" i="14"/>
  <c r="Q41" i="14"/>
  <c r="Q40" i="14"/>
  <c r="Q39" i="14"/>
  <c r="Q38" i="14"/>
  <c r="Q37" i="14"/>
  <c r="Q36" i="14"/>
  <c r="Q35" i="14"/>
  <c r="G41" i="14"/>
  <c r="G40" i="14"/>
  <c r="G39" i="14"/>
  <c r="G38" i="14"/>
  <c r="G37" i="14"/>
  <c r="G36" i="14"/>
  <c r="G35" i="14"/>
  <c r="G34" i="14"/>
  <c r="G33" i="14"/>
  <c r="G32" i="14"/>
  <c r="P31" i="14"/>
  <c r="M31" i="14"/>
  <c r="Q31" i="14" s="1"/>
  <c r="G31" i="14"/>
  <c r="P18" i="14"/>
  <c r="M18" i="14"/>
  <c r="F4" i="4"/>
  <c r="E4" i="4"/>
  <c r="A201" i="11"/>
  <c r="A225" i="11" s="1"/>
  <c r="C225" i="11"/>
  <c r="A65" i="11"/>
  <c r="C65" i="11" s="1"/>
  <c r="B188" i="11"/>
  <c r="C188" i="11"/>
  <c r="B148" i="11"/>
  <c r="C148" i="11" s="1"/>
  <c r="B129" i="11"/>
  <c r="C129" i="11"/>
  <c r="B75" i="11"/>
  <c r="C75" i="11" s="1"/>
  <c r="B52" i="11"/>
  <c r="C52" i="11"/>
  <c r="B29" i="11"/>
  <c r="C29" i="11" s="1"/>
  <c r="I671" i="1"/>
  <c r="I659" i="1"/>
  <c r="I660" i="1"/>
  <c r="I661" i="1"/>
  <c r="I662" i="1"/>
  <c r="I663" i="1"/>
  <c r="I664" i="1"/>
  <c r="I665" i="1"/>
  <c r="I666" i="1"/>
  <c r="I667" i="1"/>
  <c r="I668" i="1"/>
  <c r="I669" i="1"/>
  <c r="I658" i="1"/>
  <c r="I646" i="1"/>
  <c r="I647" i="1"/>
  <c r="I648" i="1"/>
  <c r="I649" i="1"/>
  <c r="I650" i="1"/>
  <c r="I651" i="1"/>
  <c r="I652" i="1"/>
  <c r="I653" i="1"/>
  <c r="I654" i="1"/>
  <c r="I655" i="1"/>
  <c r="I656" i="1"/>
  <c r="I645" i="1"/>
  <c r="I633" i="1"/>
  <c r="I634" i="1"/>
  <c r="I635" i="1"/>
  <c r="I636" i="1"/>
  <c r="I637" i="1"/>
  <c r="I638" i="1"/>
  <c r="I639" i="1"/>
  <c r="I640" i="1"/>
  <c r="I641" i="1"/>
  <c r="I642" i="1"/>
  <c r="I643" i="1"/>
  <c r="K409" i="1"/>
  <c r="J409" i="1"/>
  <c r="I409" i="1"/>
  <c r="K408" i="1"/>
  <c r="J408" i="1"/>
  <c r="I408" i="1"/>
  <c r="K407" i="1"/>
  <c r="J407" i="1"/>
  <c r="I407" i="1"/>
  <c r="K406" i="1"/>
  <c r="J406" i="1"/>
  <c r="I406" i="1"/>
  <c r="K405" i="1"/>
  <c r="J405" i="1"/>
  <c r="I405" i="1"/>
  <c r="K404" i="1"/>
  <c r="J404" i="1"/>
  <c r="I404" i="1"/>
  <c r="K403" i="1"/>
  <c r="J403" i="1"/>
  <c r="I403" i="1"/>
  <c r="K402" i="1"/>
  <c r="J402" i="1"/>
  <c r="I402" i="1"/>
  <c r="K401" i="1"/>
  <c r="J401" i="1"/>
  <c r="I401" i="1"/>
  <c r="K400" i="1"/>
  <c r="J400" i="1"/>
  <c r="I400" i="1"/>
  <c r="K399" i="1"/>
  <c r="J399" i="1"/>
  <c r="I399" i="1"/>
  <c r="K398" i="1"/>
  <c r="J398" i="1"/>
  <c r="I398" i="1"/>
  <c r="K671" i="1"/>
  <c r="K659" i="1"/>
  <c r="K660" i="1"/>
  <c r="K661" i="1"/>
  <c r="K662" i="1"/>
  <c r="K663" i="1"/>
  <c r="K664" i="1"/>
  <c r="K665" i="1"/>
  <c r="K666" i="1"/>
  <c r="K667" i="1"/>
  <c r="K668" i="1"/>
  <c r="K669" i="1"/>
  <c r="K658" i="1"/>
  <c r="K646" i="1"/>
  <c r="K647" i="1"/>
  <c r="K648" i="1"/>
  <c r="K649" i="1"/>
  <c r="K650" i="1"/>
  <c r="K651" i="1"/>
  <c r="K652" i="1"/>
  <c r="K653" i="1"/>
  <c r="K654" i="1"/>
  <c r="K655" i="1"/>
  <c r="K656" i="1"/>
  <c r="K645" i="1"/>
  <c r="J671" i="1"/>
  <c r="J659" i="1"/>
  <c r="J660" i="1"/>
  <c r="J661" i="1"/>
  <c r="J662" i="1"/>
  <c r="J663" i="1"/>
  <c r="J664" i="1"/>
  <c r="J665" i="1"/>
  <c r="J666" i="1"/>
  <c r="J667" i="1"/>
  <c r="J668" i="1"/>
  <c r="J669" i="1"/>
  <c r="J658" i="1"/>
  <c r="J646" i="1"/>
  <c r="J647" i="1"/>
  <c r="J648" i="1"/>
  <c r="J649" i="1"/>
  <c r="J650" i="1"/>
  <c r="J651" i="1"/>
  <c r="J652" i="1"/>
  <c r="J653" i="1"/>
  <c r="J654" i="1"/>
  <c r="J655" i="1"/>
  <c r="J656" i="1"/>
  <c r="J645" i="1"/>
  <c r="K633" i="1"/>
  <c r="K634" i="1"/>
  <c r="K635" i="1"/>
  <c r="K636" i="1"/>
  <c r="K637" i="1"/>
  <c r="K638" i="1"/>
  <c r="K639" i="1"/>
  <c r="K640" i="1"/>
  <c r="K641" i="1"/>
  <c r="K642" i="1"/>
  <c r="K643" i="1"/>
  <c r="J634" i="1"/>
  <c r="J635" i="1"/>
  <c r="J636" i="1"/>
  <c r="J637" i="1"/>
  <c r="J638" i="1"/>
  <c r="J639" i="1"/>
  <c r="J640" i="1"/>
  <c r="J641" i="1"/>
  <c r="J642" i="1"/>
  <c r="J643" i="1"/>
  <c r="G30" i="14"/>
  <c r="P30" i="14"/>
  <c r="M30" i="14"/>
  <c r="P17" i="14"/>
  <c r="M17" i="14"/>
  <c r="K151" i="1"/>
  <c r="J151" i="1"/>
  <c r="I151" i="1"/>
  <c r="K150" i="1"/>
  <c r="J150" i="1"/>
  <c r="I150" i="1"/>
  <c r="K149" i="1"/>
  <c r="J149" i="1"/>
  <c r="I149" i="1"/>
  <c r="K148" i="1"/>
  <c r="J148" i="1"/>
  <c r="I148" i="1"/>
  <c r="K147" i="1"/>
  <c r="J147" i="1"/>
  <c r="I147" i="1"/>
  <c r="K146" i="1"/>
  <c r="J146" i="1"/>
  <c r="I146" i="1"/>
  <c r="K145" i="1"/>
  <c r="J145" i="1"/>
  <c r="I145" i="1"/>
  <c r="K144" i="1"/>
  <c r="J144" i="1"/>
  <c r="I144" i="1"/>
  <c r="K143" i="1"/>
  <c r="J143" i="1"/>
  <c r="I143" i="1"/>
  <c r="K142" i="1"/>
  <c r="J142" i="1"/>
  <c r="I142" i="1"/>
  <c r="K141" i="1"/>
  <c r="J141" i="1"/>
  <c r="I141" i="1"/>
  <c r="K140" i="1"/>
  <c r="J140" i="1"/>
  <c r="I140" i="1"/>
  <c r="Y28" i="8"/>
  <c r="D28" i="8"/>
  <c r="Y27" i="8"/>
  <c r="D27" i="8"/>
  <c r="Y26" i="8"/>
  <c r="D26" i="8"/>
  <c r="Y25" i="8"/>
  <c r="D25" i="8"/>
  <c r="Y24" i="8"/>
  <c r="D24" i="8"/>
  <c r="Y23" i="8"/>
  <c r="D23" i="8"/>
  <c r="Y22" i="8"/>
  <c r="D22" i="8"/>
  <c r="Y21" i="8"/>
  <c r="D21" i="8"/>
  <c r="Y20" i="8"/>
  <c r="D20" i="8"/>
  <c r="Y19" i="8"/>
  <c r="D19" i="8"/>
  <c r="Y18" i="8"/>
  <c r="D18" i="8"/>
  <c r="Y17" i="8"/>
  <c r="D17" i="8"/>
  <c r="Y16" i="8"/>
  <c r="Y15" i="8"/>
  <c r="Y28" i="2"/>
  <c r="D28" i="2"/>
  <c r="Y27" i="2"/>
  <c r="D27" i="2"/>
  <c r="Y26" i="2"/>
  <c r="D26" i="2"/>
  <c r="Y25" i="2"/>
  <c r="D25" i="2"/>
  <c r="Y24" i="2"/>
  <c r="D24" i="2"/>
  <c r="Y23" i="2"/>
  <c r="D23" i="2"/>
  <c r="Y22" i="2"/>
  <c r="D22" i="2"/>
  <c r="Y21" i="2"/>
  <c r="D21" i="2"/>
  <c r="Y20" i="2"/>
  <c r="D20" i="2"/>
  <c r="Y19" i="2"/>
  <c r="D19" i="2"/>
  <c r="Y18" i="2"/>
  <c r="D18" i="2"/>
  <c r="Y17" i="2"/>
  <c r="D17" i="2"/>
  <c r="Y16" i="2"/>
  <c r="Y15" i="2"/>
  <c r="T15" i="14"/>
  <c r="P28" i="14"/>
  <c r="M28" i="14"/>
  <c r="G28" i="14"/>
  <c r="D28" i="14"/>
  <c r="P27" i="14"/>
  <c r="M27" i="14"/>
  <c r="T27" i="14"/>
  <c r="G27" i="14"/>
  <c r="D27" i="14"/>
  <c r="P26" i="14"/>
  <c r="M26" i="14"/>
  <c r="G26" i="14"/>
  <c r="D26" i="14"/>
  <c r="P25" i="14"/>
  <c r="M25" i="14"/>
  <c r="G25" i="14"/>
  <c r="D25" i="14"/>
  <c r="P24" i="14"/>
  <c r="T24" i="14" s="1"/>
  <c r="M24" i="14"/>
  <c r="G24" i="14"/>
  <c r="D24" i="14"/>
  <c r="P23" i="14"/>
  <c r="M23" i="14"/>
  <c r="G23" i="14"/>
  <c r="D23" i="14"/>
  <c r="T22" i="14"/>
  <c r="Q22" i="14"/>
  <c r="G22" i="14"/>
  <c r="D22" i="14"/>
  <c r="G21" i="14"/>
  <c r="D21" i="14"/>
  <c r="T20" i="14"/>
  <c r="G20" i="14"/>
  <c r="D20" i="14"/>
  <c r="G19" i="14"/>
  <c r="D19" i="14"/>
  <c r="G18" i="14"/>
  <c r="D18" i="14"/>
  <c r="T17" i="14"/>
  <c r="G17" i="14"/>
  <c r="D17" i="14"/>
  <c r="K820" i="1"/>
  <c r="J820" i="1"/>
  <c r="K819" i="1"/>
  <c r="J819" i="1"/>
  <c r="K818" i="1"/>
  <c r="J818" i="1"/>
  <c r="K817" i="1"/>
  <c r="J817" i="1"/>
  <c r="K816" i="1"/>
  <c r="J816" i="1"/>
  <c r="K811" i="1"/>
  <c r="J811" i="1"/>
  <c r="K807" i="1"/>
  <c r="J807" i="1"/>
  <c r="K806" i="1"/>
  <c r="J806" i="1"/>
  <c r="K805" i="1"/>
  <c r="J805" i="1"/>
  <c r="K804" i="1"/>
  <c r="J804" i="1"/>
  <c r="K803" i="1"/>
  <c r="J803" i="1"/>
  <c r="K802" i="1"/>
  <c r="J802" i="1"/>
  <c r="K801" i="1"/>
  <c r="J801" i="1"/>
  <c r="K800" i="1"/>
  <c r="J800" i="1"/>
  <c r="K799" i="1"/>
  <c r="J799" i="1"/>
  <c r="K798" i="1"/>
  <c r="J798" i="1"/>
  <c r="K797" i="1"/>
  <c r="J797" i="1"/>
  <c r="K796" i="1"/>
  <c r="J796" i="1"/>
  <c r="K794" i="1"/>
  <c r="J794" i="1"/>
  <c r="K793" i="1"/>
  <c r="J793" i="1"/>
  <c r="K792" i="1"/>
  <c r="J792" i="1"/>
  <c r="K791" i="1"/>
  <c r="J791" i="1"/>
  <c r="K790" i="1"/>
  <c r="J790" i="1"/>
  <c r="K789" i="1"/>
  <c r="J789" i="1"/>
  <c r="K788" i="1"/>
  <c r="J788" i="1"/>
  <c r="K787" i="1"/>
  <c r="J787" i="1"/>
  <c r="K786" i="1"/>
  <c r="J786" i="1"/>
  <c r="K785" i="1"/>
  <c r="J785" i="1"/>
  <c r="K784" i="1"/>
  <c r="J784" i="1"/>
  <c r="K783" i="1"/>
  <c r="J783" i="1"/>
  <c r="K781" i="1"/>
  <c r="J781" i="1"/>
  <c r="I820" i="1"/>
  <c r="I819" i="1"/>
  <c r="I818" i="1"/>
  <c r="I817" i="1"/>
  <c r="I816" i="1"/>
  <c r="I811" i="1"/>
  <c r="I807" i="1"/>
  <c r="I806" i="1"/>
  <c r="I805" i="1"/>
  <c r="I804" i="1"/>
  <c r="I803" i="1"/>
  <c r="I802" i="1"/>
  <c r="I801" i="1"/>
  <c r="I800" i="1"/>
  <c r="I799" i="1"/>
  <c r="I798" i="1"/>
  <c r="I797" i="1"/>
  <c r="I796" i="1"/>
  <c r="I794" i="1"/>
  <c r="I793" i="1"/>
  <c r="I792" i="1"/>
  <c r="I791" i="1"/>
  <c r="I790" i="1"/>
  <c r="I789" i="1"/>
  <c r="I788" i="1"/>
  <c r="I787" i="1"/>
  <c r="I786" i="1"/>
  <c r="I785" i="1"/>
  <c r="I784" i="1"/>
  <c r="I783" i="1"/>
  <c r="I781" i="1"/>
  <c r="I780" i="1"/>
  <c r="I779" i="1"/>
  <c r="I778" i="1"/>
  <c r="I777" i="1"/>
  <c r="I776" i="1"/>
  <c r="I775" i="1"/>
  <c r="I774" i="1"/>
  <c r="I773" i="1"/>
  <c r="I772" i="1"/>
  <c r="I771" i="1"/>
  <c r="I770" i="1"/>
  <c r="D807" i="1"/>
  <c r="D806" i="1"/>
  <c r="D805" i="1"/>
  <c r="D804" i="1"/>
  <c r="D803" i="1"/>
  <c r="D802" i="1"/>
  <c r="D801" i="1"/>
  <c r="D800" i="1"/>
  <c r="D799" i="1"/>
  <c r="D798" i="1"/>
  <c r="D797" i="1"/>
  <c r="D796" i="1"/>
  <c r="D669" i="1"/>
  <c r="D668" i="1"/>
  <c r="D667" i="1"/>
  <c r="D666" i="1"/>
  <c r="D665" i="1"/>
  <c r="D664" i="1"/>
  <c r="D663" i="1"/>
  <c r="D662" i="1"/>
  <c r="D661" i="1"/>
  <c r="D660" i="1"/>
  <c r="D659" i="1"/>
  <c r="D658" i="1"/>
  <c r="K544" i="1"/>
  <c r="J544" i="1"/>
  <c r="I544" i="1"/>
  <c r="D544" i="1"/>
  <c r="K543" i="1"/>
  <c r="J543" i="1"/>
  <c r="I543" i="1"/>
  <c r="D543" i="1"/>
  <c r="K542" i="1"/>
  <c r="J542" i="1"/>
  <c r="I542" i="1"/>
  <c r="D542" i="1"/>
  <c r="K541" i="1"/>
  <c r="J541" i="1"/>
  <c r="I541" i="1"/>
  <c r="D541" i="1"/>
  <c r="K540" i="1"/>
  <c r="J540" i="1"/>
  <c r="I540" i="1"/>
  <c r="D540" i="1"/>
  <c r="K539" i="1"/>
  <c r="J539" i="1"/>
  <c r="I539" i="1"/>
  <c r="D539" i="1"/>
  <c r="K538" i="1"/>
  <c r="J538" i="1"/>
  <c r="I538" i="1"/>
  <c r="D538" i="1"/>
  <c r="K537" i="1"/>
  <c r="J537" i="1"/>
  <c r="I537" i="1"/>
  <c r="D537" i="1"/>
  <c r="K536" i="1"/>
  <c r="J536" i="1"/>
  <c r="I536" i="1"/>
  <c r="D536" i="1"/>
  <c r="K535" i="1"/>
  <c r="J535" i="1"/>
  <c r="I535" i="1"/>
  <c r="D535" i="1"/>
  <c r="K534" i="1"/>
  <c r="J534" i="1"/>
  <c r="I534" i="1"/>
  <c r="D534" i="1"/>
  <c r="K533" i="1"/>
  <c r="J533" i="1"/>
  <c r="I533" i="1"/>
  <c r="D533" i="1"/>
  <c r="K396" i="1"/>
  <c r="J396" i="1"/>
  <c r="I396" i="1"/>
  <c r="D396" i="1"/>
  <c r="K395" i="1"/>
  <c r="J395" i="1"/>
  <c r="I395" i="1"/>
  <c r="D395" i="1"/>
  <c r="K394" i="1"/>
  <c r="J394" i="1"/>
  <c r="I394" i="1"/>
  <c r="D394" i="1"/>
  <c r="K393" i="1"/>
  <c r="J393" i="1"/>
  <c r="I393" i="1"/>
  <c r="D393" i="1"/>
  <c r="K392" i="1"/>
  <c r="J392" i="1"/>
  <c r="I392" i="1"/>
  <c r="D392" i="1"/>
  <c r="K391" i="1"/>
  <c r="J391" i="1"/>
  <c r="I391" i="1"/>
  <c r="D391" i="1"/>
  <c r="K390" i="1"/>
  <c r="J390" i="1"/>
  <c r="I390" i="1"/>
  <c r="D390" i="1"/>
  <c r="K389" i="1"/>
  <c r="J389" i="1"/>
  <c r="I389" i="1"/>
  <c r="D389" i="1"/>
  <c r="K388" i="1"/>
  <c r="J388" i="1"/>
  <c r="I388" i="1"/>
  <c r="D388" i="1"/>
  <c r="K387" i="1"/>
  <c r="J387" i="1"/>
  <c r="I387" i="1"/>
  <c r="D387" i="1"/>
  <c r="K386" i="1"/>
  <c r="J386" i="1"/>
  <c r="I386" i="1"/>
  <c r="D386" i="1"/>
  <c r="K385" i="1"/>
  <c r="J385" i="1"/>
  <c r="I385" i="1"/>
  <c r="D385" i="1"/>
  <c r="K287" i="1"/>
  <c r="J287" i="1"/>
  <c r="I287" i="1"/>
  <c r="D287" i="1"/>
  <c r="K286" i="1"/>
  <c r="J286" i="1"/>
  <c r="I286" i="1"/>
  <c r="D286" i="1"/>
  <c r="K285" i="1"/>
  <c r="J285" i="1"/>
  <c r="I285" i="1"/>
  <c r="D285" i="1"/>
  <c r="K284" i="1"/>
  <c r="J284" i="1"/>
  <c r="I284" i="1"/>
  <c r="D284" i="1"/>
  <c r="K283" i="1"/>
  <c r="J283" i="1"/>
  <c r="I283" i="1"/>
  <c r="D283" i="1"/>
  <c r="K282" i="1"/>
  <c r="J282" i="1"/>
  <c r="I282" i="1"/>
  <c r="D282" i="1"/>
  <c r="K281" i="1"/>
  <c r="J281" i="1"/>
  <c r="I281" i="1"/>
  <c r="D281" i="1"/>
  <c r="K280" i="1"/>
  <c r="J280" i="1"/>
  <c r="I280" i="1"/>
  <c r="D280" i="1"/>
  <c r="K279" i="1"/>
  <c r="J279" i="1"/>
  <c r="I279" i="1"/>
  <c r="D279" i="1"/>
  <c r="K278" i="1"/>
  <c r="J278" i="1"/>
  <c r="I278" i="1"/>
  <c r="D278" i="1"/>
  <c r="K277" i="1"/>
  <c r="J277" i="1"/>
  <c r="I277" i="1"/>
  <c r="D277" i="1"/>
  <c r="K276" i="1"/>
  <c r="J276" i="1"/>
  <c r="I276" i="1"/>
  <c r="D276" i="1"/>
  <c r="K138" i="1"/>
  <c r="J138" i="1"/>
  <c r="I138" i="1"/>
  <c r="D138" i="1"/>
  <c r="K137" i="1"/>
  <c r="J137" i="1"/>
  <c r="I137" i="1"/>
  <c r="D137" i="1"/>
  <c r="K136" i="1"/>
  <c r="J136" i="1"/>
  <c r="I136" i="1"/>
  <c r="D136" i="1"/>
  <c r="K135" i="1"/>
  <c r="J135" i="1"/>
  <c r="I135" i="1"/>
  <c r="D135" i="1"/>
  <c r="K134" i="1"/>
  <c r="J134" i="1"/>
  <c r="I134" i="1"/>
  <c r="D134" i="1"/>
  <c r="K133" i="1"/>
  <c r="J133" i="1"/>
  <c r="I133" i="1"/>
  <c r="D133" i="1"/>
  <c r="K132" i="1"/>
  <c r="J132" i="1"/>
  <c r="I132" i="1"/>
  <c r="D132" i="1"/>
  <c r="K131" i="1"/>
  <c r="J131" i="1"/>
  <c r="I131" i="1"/>
  <c r="D131" i="1"/>
  <c r="K130" i="1"/>
  <c r="J130" i="1"/>
  <c r="I130" i="1"/>
  <c r="D130" i="1"/>
  <c r="K129" i="1"/>
  <c r="J129" i="1"/>
  <c r="I129" i="1"/>
  <c r="D129" i="1"/>
  <c r="K128" i="1"/>
  <c r="J128" i="1"/>
  <c r="I128" i="1"/>
  <c r="D128" i="1"/>
  <c r="K127" i="1"/>
  <c r="J127" i="1"/>
  <c r="I127" i="1"/>
  <c r="D127" i="1"/>
  <c r="T18" i="14"/>
  <c r="Q17" i="14"/>
  <c r="Q19" i="14"/>
  <c r="T23" i="14"/>
  <c r="Q27" i="14"/>
  <c r="Q18" i="14"/>
  <c r="Q20" i="14"/>
  <c r="Q23" i="14"/>
  <c r="AN10" i="3"/>
  <c r="AP10" i="3"/>
  <c r="AN11" i="3"/>
  <c r="BG11" i="3" s="1"/>
  <c r="AP11" i="3"/>
  <c r="AN12" i="3"/>
  <c r="AP12" i="3"/>
  <c r="C133" i="11"/>
  <c r="B133" i="11"/>
  <c r="AQ10" i="3"/>
  <c r="AR10" i="3"/>
  <c r="AS10" i="3"/>
  <c r="AT10" i="3"/>
  <c r="AU10" i="3"/>
  <c r="AV10" i="3"/>
  <c r="AW10" i="3"/>
  <c r="AX10" i="3"/>
  <c r="AY10" i="3"/>
  <c r="AZ10" i="3"/>
  <c r="BA10" i="3"/>
  <c r="BB10" i="3"/>
  <c r="BC10" i="3"/>
  <c r="BD10" i="3"/>
  <c r="BE10" i="3"/>
  <c r="BF10" i="3"/>
  <c r="AQ11" i="3"/>
  <c r="AR11" i="3"/>
  <c r="AS11" i="3"/>
  <c r="AT11" i="3"/>
  <c r="AU11" i="3"/>
  <c r="AV11" i="3"/>
  <c r="AW11" i="3"/>
  <c r="AX11" i="3"/>
  <c r="AY11" i="3"/>
  <c r="AZ11" i="3"/>
  <c r="BA11" i="3"/>
  <c r="BB11" i="3"/>
  <c r="BC11" i="3"/>
  <c r="BD11" i="3"/>
  <c r="BE11" i="3"/>
  <c r="BF11" i="3"/>
  <c r="AQ12" i="3"/>
  <c r="AR12" i="3"/>
  <c r="AS12" i="3"/>
  <c r="AT12" i="3"/>
  <c r="AU12" i="3"/>
  <c r="AV12" i="3"/>
  <c r="AW12" i="3"/>
  <c r="AX12" i="3"/>
  <c r="AY12" i="3"/>
  <c r="AZ12" i="3"/>
  <c r="BA12" i="3"/>
  <c r="BB12" i="3"/>
  <c r="BC12" i="3"/>
  <c r="BD12" i="3"/>
  <c r="BE12" i="3"/>
  <c r="BF12" i="3"/>
  <c r="D151" i="1"/>
  <c r="D150" i="1"/>
  <c r="D149" i="1"/>
  <c r="D148" i="1"/>
  <c r="D147" i="1"/>
  <c r="D146" i="1"/>
  <c r="D145" i="1"/>
  <c r="D144" i="1"/>
  <c r="D143" i="1"/>
  <c r="D142" i="1"/>
  <c r="D141" i="1"/>
  <c r="D140" i="1"/>
  <c r="Y41" i="8"/>
  <c r="D41" i="8"/>
  <c r="Y40" i="8"/>
  <c r="D40" i="8"/>
  <c r="Y39" i="8"/>
  <c r="D39" i="8"/>
  <c r="Y38" i="8"/>
  <c r="D38" i="8"/>
  <c r="Y37" i="8"/>
  <c r="D37" i="8"/>
  <c r="Y36" i="8"/>
  <c r="D36" i="8"/>
  <c r="Y35" i="8"/>
  <c r="D35" i="8"/>
  <c r="Y34" i="8"/>
  <c r="D34" i="8"/>
  <c r="Y33" i="8"/>
  <c r="D33" i="8"/>
  <c r="Y32" i="8"/>
  <c r="D32" i="8"/>
  <c r="Y31" i="8"/>
  <c r="D31" i="8"/>
  <c r="Y30" i="8"/>
  <c r="D30" i="8"/>
  <c r="Y29" i="8"/>
  <c r="Y14" i="8"/>
  <c r="Y41" i="2"/>
  <c r="D41" i="2"/>
  <c r="Y40" i="2"/>
  <c r="D40" i="2"/>
  <c r="Y39" i="2"/>
  <c r="D39" i="2"/>
  <c r="Y38" i="2"/>
  <c r="D38" i="2"/>
  <c r="Y37" i="2"/>
  <c r="D37" i="2"/>
  <c r="Y36" i="2"/>
  <c r="D36" i="2"/>
  <c r="Y35" i="2"/>
  <c r="D35" i="2"/>
  <c r="Y34" i="2"/>
  <c r="D34" i="2"/>
  <c r="Y33" i="2"/>
  <c r="D33" i="2"/>
  <c r="Y32" i="2"/>
  <c r="D32" i="2"/>
  <c r="Y31" i="2"/>
  <c r="D31" i="2"/>
  <c r="Y30" i="2"/>
  <c r="D30" i="2"/>
  <c r="Y29" i="2"/>
  <c r="Y14" i="2"/>
  <c r="D41" i="14"/>
  <c r="D40" i="14"/>
  <c r="D39" i="14"/>
  <c r="D38" i="14"/>
  <c r="D37" i="14"/>
  <c r="D36" i="14"/>
  <c r="D35" i="14"/>
  <c r="D34" i="14"/>
  <c r="D33" i="14"/>
  <c r="D32" i="14"/>
  <c r="T31" i="14"/>
  <c r="D31" i="14"/>
  <c r="D30" i="14"/>
  <c r="T14" i="14"/>
  <c r="Q14" i="14"/>
  <c r="G14" i="14"/>
  <c r="D820" i="1"/>
  <c r="D819" i="1"/>
  <c r="D818" i="1"/>
  <c r="D817" i="1"/>
  <c r="D816" i="1"/>
  <c r="D815" i="1"/>
  <c r="D814" i="1"/>
  <c r="D813" i="1"/>
  <c r="D812" i="1"/>
  <c r="D811" i="1"/>
  <c r="D810" i="1"/>
  <c r="D809" i="1"/>
  <c r="D682" i="1"/>
  <c r="D681" i="1"/>
  <c r="D680" i="1"/>
  <c r="D679" i="1"/>
  <c r="D678" i="1"/>
  <c r="D677" i="1"/>
  <c r="D676" i="1"/>
  <c r="D675" i="1"/>
  <c r="D674" i="1"/>
  <c r="D673" i="1"/>
  <c r="D672" i="1"/>
  <c r="D671" i="1"/>
  <c r="K557" i="1"/>
  <c r="J557" i="1"/>
  <c r="I557" i="1"/>
  <c r="D557" i="1"/>
  <c r="K556" i="1"/>
  <c r="J556" i="1"/>
  <c r="I556" i="1"/>
  <c r="D556" i="1"/>
  <c r="K555" i="1"/>
  <c r="J555" i="1"/>
  <c r="I555" i="1"/>
  <c r="D555" i="1"/>
  <c r="K554" i="1"/>
  <c r="J554" i="1"/>
  <c r="I554" i="1"/>
  <c r="D554" i="1"/>
  <c r="K553" i="1"/>
  <c r="J553" i="1"/>
  <c r="I553" i="1"/>
  <c r="D553" i="1"/>
  <c r="K552" i="1"/>
  <c r="J552" i="1"/>
  <c r="I552" i="1"/>
  <c r="D552" i="1"/>
  <c r="K551" i="1"/>
  <c r="J551" i="1"/>
  <c r="I551" i="1"/>
  <c r="D551" i="1"/>
  <c r="K550" i="1"/>
  <c r="J550" i="1"/>
  <c r="I550" i="1"/>
  <c r="D550" i="1"/>
  <c r="K549" i="1"/>
  <c r="J549" i="1"/>
  <c r="I549" i="1"/>
  <c r="D549" i="1"/>
  <c r="K548" i="1"/>
  <c r="J548" i="1"/>
  <c r="I548" i="1"/>
  <c r="D548" i="1"/>
  <c r="K547" i="1"/>
  <c r="J547" i="1"/>
  <c r="I547" i="1"/>
  <c r="D547" i="1"/>
  <c r="K546" i="1"/>
  <c r="J546" i="1"/>
  <c r="I546" i="1"/>
  <c r="D546" i="1"/>
  <c r="D409" i="1"/>
  <c r="D408" i="1"/>
  <c r="D407" i="1"/>
  <c r="D406" i="1"/>
  <c r="D405" i="1"/>
  <c r="D404" i="1"/>
  <c r="D403" i="1"/>
  <c r="D402" i="1"/>
  <c r="D401" i="1"/>
  <c r="D400" i="1"/>
  <c r="D399" i="1"/>
  <c r="D398" i="1"/>
  <c r="K300" i="1"/>
  <c r="J300" i="1"/>
  <c r="I300" i="1"/>
  <c r="D300" i="1"/>
  <c r="K299" i="1"/>
  <c r="J299" i="1"/>
  <c r="I299" i="1"/>
  <c r="D299" i="1"/>
  <c r="K298" i="1"/>
  <c r="J298" i="1"/>
  <c r="I298" i="1"/>
  <c r="D298" i="1"/>
  <c r="K297" i="1"/>
  <c r="J297" i="1"/>
  <c r="I297" i="1"/>
  <c r="D297" i="1"/>
  <c r="K296" i="1"/>
  <c r="J296" i="1"/>
  <c r="I296" i="1"/>
  <c r="D296" i="1"/>
  <c r="K295" i="1"/>
  <c r="J295" i="1"/>
  <c r="I295" i="1"/>
  <c r="D295" i="1"/>
  <c r="K294" i="1"/>
  <c r="J294" i="1"/>
  <c r="I294" i="1"/>
  <c r="D294" i="1"/>
  <c r="K293" i="1"/>
  <c r="J293" i="1"/>
  <c r="I293" i="1"/>
  <c r="D293" i="1"/>
  <c r="K292" i="1"/>
  <c r="J292" i="1"/>
  <c r="I292" i="1"/>
  <c r="D292" i="1"/>
  <c r="K291" i="1"/>
  <c r="J291" i="1"/>
  <c r="I291" i="1"/>
  <c r="D291" i="1"/>
  <c r="K290" i="1"/>
  <c r="J290" i="1"/>
  <c r="I290" i="1"/>
  <c r="D290" i="1"/>
  <c r="K289" i="1"/>
  <c r="J289" i="1"/>
  <c r="I289" i="1"/>
  <c r="D289" i="1"/>
  <c r="C303" i="1"/>
  <c r="K303" i="1"/>
  <c r="E304" i="1"/>
  <c r="G304" i="1"/>
  <c r="I304" i="1"/>
  <c r="J304" i="1"/>
  <c r="J305" i="1"/>
  <c r="K305" i="1"/>
  <c r="E306" i="1"/>
  <c r="F306" i="1"/>
  <c r="G306" i="1"/>
  <c r="H306" i="1"/>
  <c r="I306" i="1"/>
  <c r="J306" i="1"/>
  <c r="K306" i="1"/>
  <c r="D307" i="1"/>
  <c r="I307" i="1"/>
  <c r="D308" i="1"/>
  <c r="I308" i="1"/>
  <c r="D309" i="1"/>
  <c r="I309" i="1"/>
  <c r="D310" i="1"/>
  <c r="I310" i="1"/>
  <c r="D311" i="1"/>
  <c r="D312" i="1"/>
  <c r="I312" i="1"/>
  <c r="D313" i="1"/>
  <c r="I313" i="1"/>
  <c r="AP10" i="5"/>
  <c r="AQ10" i="5"/>
  <c r="AR10" i="5"/>
  <c r="AS10" i="5"/>
  <c r="AT10" i="5"/>
  <c r="AU10" i="5"/>
  <c r="AV10" i="5"/>
  <c r="AW10" i="5"/>
  <c r="AX10" i="5"/>
  <c r="AY10" i="5"/>
  <c r="AZ10" i="5"/>
  <c r="BA10" i="5"/>
  <c r="BB10" i="5"/>
  <c r="BC10" i="5"/>
  <c r="BD10" i="5"/>
  <c r="BE10" i="5"/>
  <c r="BF10" i="5"/>
  <c r="AP11" i="5"/>
  <c r="AQ11" i="5"/>
  <c r="AR11" i="5"/>
  <c r="AS11" i="5"/>
  <c r="AT11" i="5"/>
  <c r="AU11" i="5"/>
  <c r="AV11" i="5"/>
  <c r="AW11" i="5"/>
  <c r="AX11" i="5"/>
  <c r="AY11" i="5"/>
  <c r="AZ11" i="5"/>
  <c r="BA11" i="5"/>
  <c r="BB11" i="5"/>
  <c r="BC11" i="5"/>
  <c r="BD11" i="5"/>
  <c r="BE11" i="5"/>
  <c r="BF11" i="5"/>
  <c r="AP12" i="5"/>
  <c r="AQ12" i="5"/>
  <c r="AR12" i="5"/>
  <c r="AS12" i="5"/>
  <c r="AT12" i="5"/>
  <c r="AU12" i="5"/>
  <c r="AV12" i="5"/>
  <c r="AW12" i="5"/>
  <c r="AX12" i="5"/>
  <c r="AY12" i="5"/>
  <c r="AZ12" i="5"/>
  <c r="BA12" i="5"/>
  <c r="BB12" i="5"/>
  <c r="BC12" i="5"/>
  <c r="BD12" i="5"/>
  <c r="BE12" i="5"/>
  <c r="BF12" i="5"/>
  <c r="W9" i="3"/>
  <c r="X9" i="3"/>
  <c r="Y9" i="3"/>
  <c r="Z9" i="3"/>
  <c r="AA9" i="3"/>
  <c r="AT9" i="3"/>
  <c r="AB9" i="3"/>
  <c r="AC9" i="3"/>
  <c r="AD9" i="3"/>
  <c r="AE9" i="3"/>
  <c r="AX9" i="3" s="1"/>
  <c r="AF9" i="3"/>
  <c r="AG9" i="3"/>
  <c r="AH9" i="3"/>
  <c r="BA9" i="3" s="1"/>
  <c r="AI9" i="3"/>
  <c r="AJ9" i="3"/>
  <c r="AK9" i="3"/>
  <c r="AL9" i="3"/>
  <c r="AM9" i="3"/>
  <c r="C11" i="11"/>
  <c r="G13" i="14"/>
  <c r="G12" i="14"/>
  <c r="G11" i="14"/>
  <c r="G10" i="14"/>
  <c r="G9" i="14"/>
  <c r="G8" i="14"/>
  <c r="C2" i="3"/>
  <c r="C2" i="2"/>
  <c r="C2" i="14"/>
  <c r="C9" i="4"/>
  <c r="C8" i="4"/>
  <c r="C7" i="4"/>
  <c r="T6" i="14"/>
  <c r="Q6" i="14"/>
  <c r="P6" i="14"/>
  <c r="O6" i="14"/>
  <c r="N6" i="14"/>
  <c r="M6" i="14"/>
  <c r="L6" i="14"/>
  <c r="K6" i="14"/>
  <c r="I6" i="14"/>
  <c r="G6" i="14"/>
  <c r="F6" i="14"/>
  <c r="E6" i="14"/>
  <c r="K5" i="14"/>
  <c r="I5" i="14"/>
  <c r="E5" i="14"/>
  <c r="T4" i="14"/>
  <c r="C11" i="4"/>
  <c r="C2" i="5"/>
  <c r="C2" i="8"/>
  <c r="C10" i="4"/>
  <c r="A202" i="11"/>
  <c r="C202" i="11"/>
  <c r="C226" i="11"/>
  <c r="C66" i="11"/>
  <c r="C43" i="11"/>
  <c r="M13" i="14"/>
  <c r="P13" i="14"/>
  <c r="T13" i="14" s="1"/>
  <c r="M12" i="14"/>
  <c r="P12" i="14"/>
  <c r="M11" i="14"/>
  <c r="P11" i="14"/>
  <c r="Q11" i="14" s="1"/>
  <c r="M10" i="14"/>
  <c r="P10" i="14"/>
  <c r="M9" i="14"/>
  <c r="P9" i="14"/>
  <c r="M8" i="14"/>
  <c r="P8" i="14"/>
  <c r="C12" i="4"/>
  <c r="C79" i="11"/>
  <c r="C56" i="11"/>
  <c r="C33" i="11"/>
  <c r="D9" i="3"/>
  <c r="E9" i="3"/>
  <c r="F9" i="3"/>
  <c r="G9" i="3"/>
  <c r="AS9" i="3" s="1"/>
  <c r="H9" i="3"/>
  <c r="I9" i="3"/>
  <c r="AU9" i="3"/>
  <c r="J9" i="3"/>
  <c r="K9" i="3"/>
  <c r="L9" i="3"/>
  <c r="M9" i="3"/>
  <c r="N9" i="3"/>
  <c r="O9" i="3"/>
  <c r="P9" i="3"/>
  <c r="Q9" i="3"/>
  <c r="BC9" i="3" s="1"/>
  <c r="R9" i="3"/>
  <c r="S9" i="3"/>
  <c r="T9" i="3"/>
  <c r="AP14" i="3"/>
  <c r="AQ14" i="3"/>
  <c r="AR14" i="3"/>
  <c r="AS14" i="3"/>
  <c r="AT14" i="3"/>
  <c r="AU14" i="3"/>
  <c r="AV14" i="3"/>
  <c r="AW14" i="3"/>
  <c r="AX14" i="3"/>
  <c r="AY14" i="3"/>
  <c r="AZ14" i="3"/>
  <c r="BA14" i="3"/>
  <c r="BB14" i="3"/>
  <c r="BC14" i="3"/>
  <c r="BD14" i="3"/>
  <c r="BE14" i="3"/>
  <c r="BF14" i="3"/>
  <c r="AP15" i="3"/>
  <c r="AQ15" i="3"/>
  <c r="AR15" i="3"/>
  <c r="AS15" i="3"/>
  <c r="AT15" i="3"/>
  <c r="AU15" i="3"/>
  <c r="AV15" i="3"/>
  <c r="AW15" i="3"/>
  <c r="AX15" i="3"/>
  <c r="AY15" i="3"/>
  <c r="AZ15" i="3"/>
  <c r="BA15" i="3"/>
  <c r="BB15" i="3"/>
  <c r="BC15" i="3"/>
  <c r="BD15" i="3"/>
  <c r="BE15" i="3"/>
  <c r="BF15" i="3"/>
  <c r="AP16" i="3"/>
  <c r="AQ16" i="3"/>
  <c r="AR16" i="3"/>
  <c r="AS16" i="3"/>
  <c r="AT16" i="3"/>
  <c r="AU16" i="3"/>
  <c r="AV16" i="3"/>
  <c r="AW16" i="3"/>
  <c r="AX16" i="3"/>
  <c r="AY16" i="3"/>
  <c r="AZ16" i="3"/>
  <c r="BA16" i="3"/>
  <c r="BB16" i="3"/>
  <c r="BC16" i="3"/>
  <c r="BD16" i="3"/>
  <c r="BE16" i="3"/>
  <c r="BF16" i="3"/>
  <c r="AP19" i="3"/>
  <c r="AQ19" i="3"/>
  <c r="AR19" i="3"/>
  <c r="AS19" i="3"/>
  <c r="AT19" i="3"/>
  <c r="AU19" i="3"/>
  <c r="AV19" i="3"/>
  <c r="AW19" i="3"/>
  <c r="AX19" i="3"/>
  <c r="AY19" i="3"/>
  <c r="AZ19" i="3"/>
  <c r="BA19" i="3"/>
  <c r="BB19" i="3"/>
  <c r="BC19" i="3"/>
  <c r="BD19" i="3"/>
  <c r="BE19" i="3"/>
  <c r="BF19" i="3"/>
  <c r="AP20" i="3"/>
  <c r="AQ20" i="3"/>
  <c r="AR20" i="3"/>
  <c r="AS20" i="3"/>
  <c r="AT20" i="3"/>
  <c r="AU20" i="3"/>
  <c r="AV20" i="3"/>
  <c r="AW20" i="3"/>
  <c r="AX20" i="3"/>
  <c r="AY20" i="3"/>
  <c r="AZ20" i="3"/>
  <c r="BA20" i="3"/>
  <c r="BB20" i="3"/>
  <c r="BC20" i="3"/>
  <c r="BD20" i="3"/>
  <c r="BE20" i="3"/>
  <c r="BF20" i="3"/>
  <c r="AP21" i="3"/>
  <c r="AQ21" i="3"/>
  <c r="AR21" i="3"/>
  <c r="AS21" i="3"/>
  <c r="AT21" i="3"/>
  <c r="AU21" i="3"/>
  <c r="AV21" i="3"/>
  <c r="AW21" i="3"/>
  <c r="AX21" i="3"/>
  <c r="AY21" i="3"/>
  <c r="AZ21" i="3"/>
  <c r="BA21" i="3"/>
  <c r="BB21" i="3"/>
  <c r="BC21" i="3"/>
  <c r="BD21" i="3"/>
  <c r="BE21" i="3"/>
  <c r="BF21" i="3"/>
  <c r="AP22" i="3"/>
  <c r="AQ22" i="3"/>
  <c r="AR22" i="3"/>
  <c r="AS22" i="3"/>
  <c r="AT22" i="3"/>
  <c r="AU22" i="3"/>
  <c r="AV22" i="3"/>
  <c r="AW22" i="3"/>
  <c r="AX22" i="3"/>
  <c r="AY22" i="3"/>
  <c r="AZ22" i="3"/>
  <c r="BA22" i="3"/>
  <c r="BB22" i="3"/>
  <c r="BC22" i="3"/>
  <c r="BD22" i="3"/>
  <c r="BE22" i="3"/>
  <c r="BF22" i="3"/>
  <c r="AP23" i="3"/>
  <c r="AQ23" i="3"/>
  <c r="AR23" i="3"/>
  <c r="AS23" i="3"/>
  <c r="AT23" i="3"/>
  <c r="AU23" i="3"/>
  <c r="AV23" i="3"/>
  <c r="AW23" i="3"/>
  <c r="AX23" i="3"/>
  <c r="AY23" i="3"/>
  <c r="AZ23" i="3"/>
  <c r="BA23" i="3"/>
  <c r="BB23" i="3"/>
  <c r="BC23" i="3"/>
  <c r="BD23" i="3"/>
  <c r="BE23" i="3"/>
  <c r="BF23" i="3"/>
  <c r="AP24" i="3"/>
  <c r="AQ24" i="3"/>
  <c r="AR24" i="3"/>
  <c r="AS24" i="3"/>
  <c r="AT24" i="3"/>
  <c r="AU24" i="3"/>
  <c r="AV24" i="3"/>
  <c r="AW24" i="3"/>
  <c r="AX24" i="3"/>
  <c r="AY24" i="3"/>
  <c r="AZ24" i="3"/>
  <c r="BA24" i="3"/>
  <c r="BB24" i="3"/>
  <c r="BC24" i="3"/>
  <c r="BD24" i="3"/>
  <c r="BE24" i="3"/>
  <c r="BF24" i="3"/>
  <c r="AP25" i="3"/>
  <c r="AQ25" i="3"/>
  <c r="AR25" i="3"/>
  <c r="AS25" i="3"/>
  <c r="AT25" i="3"/>
  <c r="AU25" i="3"/>
  <c r="AV25" i="3"/>
  <c r="AW25" i="3"/>
  <c r="AX25" i="3"/>
  <c r="AY25" i="3"/>
  <c r="AZ25" i="3"/>
  <c r="BA25" i="3"/>
  <c r="BB25" i="3"/>
  <c r="BC25" i="3"/>
  <c r="BD25" i="3"/>
  <c r="BE25" i="3"/>
  <c r="BF25" i="3"/>
  <c r="AP28" i="3"/>
  <c r="AQ28" i="3"/>
  <c r="AR28" i="3"/>
  <c r="AS28" i="3"/>
  <c r="AT28" i="3"/>
  <c r="AU28" i="3"/>
  <c r="AV28" i="3"/>
  <c r="AW28" i="3"/>
  <c r="AX28" i="3"/>
  <c r="AY28" i="3"/>
  <c r="AZ28" i="3"/>
  <c r="BA28" i="3"/>
  <c r="BB28" i="3"/>
  <c r="BC28" i="3"/>
  <c r="BD28" i="3"/>
  <c r="BE28" i="3"/>
  <c r="BF28" i="3"/>
  <c r="AP31" i="3"/>
  <c r="AQ31" i="3"/>
  <c r="AR31" i="3"/>
  <c r="AS31" i="3"/>
  <c r="AT31" i="3"/>
  <c r="AU31" i="3"/>
  <c r="AV31" i="3"/>
  <c r="AW31" i="3"/>
  <c r="AX31" i="3"/>
  <c r="AY31" i="3"/>
  <c r="AZ31" i="3"/>
  <c r="BA31" i="3"/>
  <c r="BB31" i="3"/>
  <c r="BC31" i="3"/>
  <c r="BD31" i="3"/>
  <c r="BE31" i="3"/>
  <c r="BF31" i="3"/>
  <c r="AP32" i="3"/>
  <c r="AQ32" i="3"/>
  <c r="AR32" i="3"/>
  <c r="AS32" i="3"/>
  <c r="AT32" i="3"/>
  <c r="AU32" i="3"/>
  <c r="AV32" i="3"/>
  <c r="AW32" i="3"/>
  <c r="AX32" i="3"/>
  <c r="AY32" i="3"/>
  <c r="AZ32" i="3"/>
  <c r="BA32" i="3"/>
  <c r="BB32" i="3"/>
  <c r="BC32" i="3"/>
  <c r="BD32" i="3"/>
  <c r="BE32" i="3"/>
  <c r="BF32" i="3"/>
  <c r="AP33" i="3"/>
  <c r="AQ33" i="3"/>
  <c r="AR33" i="3"/>
  <c r="AS33" i="3"/>
  <c r="AT33" i="3"/>
  <c r="AU33" i="3"/>
  <c r="AV33" i="3"/>
  <c r="AW33" i="3"/>
  <c r="AX33" i="3"/>
  <c r="AY33" i="3"/>
  <c r="AZ33" i="3"/>
  <c r="BA33" i="3"/>
  <c r="BB33" i="3"/>
  <c r="BC33" i="3"/>
  <c r="BD33" i="3"/>
  <c r="BE33" i="3"/>
  <c r="BF33" i="3"/>
  <c r="AP34" i="3"/>
  <c r="AQ34" i="3"/>
  <c r="AR34" i="3"/>
  <c r="AS34" i="3"/>
  <c r="AT34" i="3"/>
  <c r="AU34" i="3"/>
  <c r="AV34" i="3"/>
  <c r="AW34" i="3"/>
  <c r="AX34" i="3"/>
  <c r="AY34" i="3"/>
  <c r="AZ34" i="3"/>
  <c r="BA34" i="3"/>
  <c r="BB34" i="3"/>
  <c r="BC34" i="3"/>
  <c r="BD34" i="3"/>
  <c r="BE34" i="3"/>
  <c r="BF34" i="3"/>
  <c r="AP35" i="3"/>
  <c r="AQ35" i="3"/>
  <c r="AR35" i="3"/>
  <c r="AS35" i="3"/>
  <c r="AT35" i="3"/>
  <c r="AU35" i="3"/>
  <c r="AV35" i="3"/>
  <c r="AW35" i="3"/>
  <c r="AX35" i="3"/>
  <c r="AY35" i="3"/>
  <c r="AZ35" i="3"/>
  <c r="BA35" i="3"/>
  <c r="BB35" i="3"/>
  <c r="BC35" i="3"/>
  <c r="BD35" i="3"/>
  <c r="BE35" i="3"/>
  <c r="BF35" i="3"/>
  <c r="AP36" i="3"/>
  <c r="AQ36" i="3"/>
  <c r="AR36" i="3"/>
  <c r="AS36" i="3"/>
  <c r="AT36" i="3"/>
  <c r="AU36" i="3"/>
  <c r="AV36" i="3"/>
  <c r="AW36" i="3"/>
  <c r="AX36" i="3"/>
  <c r="AY36" i="3"/>
  <c r="AZ36" i="3"/>
  <c r="BA36" i="3"/>
  <c r="BB36" i="3"/>
  <c r="BC36" i="3"/>
  <c r="BD36" i="3"/>
  <c r="BE36" i="3"/>
  <c r="BF36" i="3"/>
  <c r="K531" i="1"/>
  <c r="J531" i="1"/>
  <c r="I531" i="1"/>
  <c r="K530" i="1"/>
  <c r="J530" i="1"/>
  <c r="I530" i="1"/>
  <c r="K529" i="1"/>
  <c r="J529" i="1"/>
  <c r="I529" i="1"/>
  <c r="K528" i="1"/>
  <c r="J528" i="1"/>
  <c r="I528" i="1"/>
  <c r="K527" i="1"/>
  <c r="J527" i="1"/>
  <c r="I527" i="1"/>
  <c r="K526" i="1"/>
  <c r="J526" i="1"/>
  <c r="I526" i="1"/>
  <c r="K525" i="1"/>
  <c r="J525" i="1"/>
  <c r="I525" i="1"/>
  <c r="K524" i="1"/>
  <c r="J524" i="1"/>
  <c r="I524" i="1"/>
  <c r="K523" i="1"/>
  <c r="J523" i="1"/>
  <c r="I523" i="1"/>
  <c r="K522" i="1"/>
  <c r="J522" i="1"/>
  <c r="I522" i="1"/>
  <c r="K521" i="1"/>
  <c r="J521" i="1"/>
  <c r="I521" i="1"/>
  <c r="K520" i="1"/>
  <c r="J520" i="1"/>
  <c r="I520" i="1"/>
  <c r="K383" i="1"/>
  <c r="J383" i="1"/>
  <c r="I383" i="1"/>
  <c r="K382" i="1"/>
  <c r="J382" i="1"/>
  <c r="I382" i="1"/>
  <c r="K381" i="1"/>
  <c r="J381" i="1"/>
  <c r="I381" i="1"/>
  <c r="K380" i="1"/>
  <c r="J380" i="1"/>
  <c r="I380" i="1"/>
  <c r="K379" i="1"/>
  <c r="J379" i="1"/>
  <c r="I379" i="1"/>
  <c r="K378" i="1"/>
  <c r="J378" i="1"/>
  <c r="I378" i="1"/>
  <c r="K377" i="1"/>
  <c r="J377" i="1"/>
  <c r="I377" i="1"/>
  <c r="K376" i="1"/>
  <c r="J376" i="1"/>
  <c r="I376" i="1"/>
  <c r="K375" i="1"/>
  <c r="J375" i="1"/>
  <c r="I375" i="1"/>
  <c r="K374" i="1"/>
  <c r="J374" i="1"/>
  <c r="I374" i="1"/>
  <c r="K373" i="1"/>
  <c r="J373" i="1"/>
  <c r="I373" i="1"/>
  <c r="K372" i="1"/>
  <c r="J372" i="1"/>
  <c r="I372" i="1"/>
  <c r="K274" i="1"/>
  <c r="J274" i="1"/>
  <c r="I274" i="1"/>
  <c r="K273" i="1"/>
  <c r="J273" i="1"/>
  <c r="I273" i="1"/>
  <c r="K272" i="1"/>
  <c r="J272" i="1"/>
  <c r="I272" i="1"/>
  <c r="K271" i="1"/>
  <c r="J271" i="1"/>
  <c r="I271" i="1"/>
  <c r="K270" i="1"/>
  <c r="J270" i="1"/>
  <c r="I270" i="1"/>
  <c r="K269" i="1"/>
  <c r="J269" i="1"/>
  <c r="I269" i="1"/>
  <c r="K268" i="1"/>
  <c r="J268" i="1"/>
  <c r="I268" i="1"/>
  <c r="K267" i="1"/>
  <c r="J267" i="1"/>
  <c r="I267" i="1"/>
  <c r="K266" i="1"/>
  <c r="J266" i="1"/>
  <c r="I266" i="1"/>
  <c r="K265" i="1"/>
  <c r="J265" i="1"/>
  <c r="I265" i="1"/>
  <c r="K264" i="1"/>
  <c r="J264" i="1"/>
  <c r="I264" i="1"/>
  <c r="K263" i="1"/>
  <c r="J263" i="1"/>
  <c r="I263" i="1"/>
  <c r="K125" i="1"/>
  <c r="J125" i="1"/>
  <c r="I125" i="1"/>
  <c r="K124" i="1"/>
  <c r="J124" i="1"/>
  <c r="I124" i="1"/>
  <c r="K123" i="1"/>
  <c r="J123" i="1"/>
  <c r="I123" i="1"/>
  <c r="K122" i="1"/>
  <c r="J122" i="1"/>
  <c r="I122" i="1"/>
  <c r="K121" i="1"/>
  <c r="J121" i="1"/>
  <c r="I121" i="1"/>
  <c r="K120" i="1"/>
  <c r="J120" i="1"/>
  <c r="I120" i="1"/>
  <c r="K119" i="1"/>
  <c r="J119" i="1"/>
  <c r="I119" i="1"/>
  <c r="K118" i="1"/>
  <c r="J118" i="1"/>
  <c r="I118" i="1"/>
  <c r="K117" i="1"/>
  <c r="J117" i="1"/>
  <c r="I117" i="1"/>
  <c r="K116" i="1"/>
  <c r="J116" i="1"/>
  <c r="I116" i="1"/>
  <c r="K115" i="1"/>
  <c r="J115" i="1"/>
  <c r="I115" i="1"/>
  <c r="K114" i="1"/>
  <c r="J114" i="1"/>
  <c r="I114" i="1"/>
  <c r="Y13" i="8"/>
  <c r="Y13" i="2"/>
  <c r="D794" i="1"/>
  <c r="D793" i="1"/>
  <c r="D792" i="1"/>
  <c r="D791" i="1"/>
  <c r="D790" i="1"/>
  <c r="D789" i="1"/>
  <c r="D788" i="1"/>
  <c r="D787" i="1"/>
  <c r="D786" i="1"/>
  <c r="D785" i="1"/>
  <c r="D784" i="1"/>
  <c r="D656" i="1"/>
  <c r="D655" i="1"/>
  <c r="D654" i="1"/>
  <c r="D653" i="1"/>
  <c r="D652" i="1"/>
  <c r="D651" i="1"/>
  <c r="D650" i="1"/>
  <c r="D649" i="1"/>
  <c r="D648" i="1"/>
  <c r="D647" i="1"/>
  <c r="D646" i="1"/>
  <c r="D531" i="1"/>
  <c r="D530" i="1"/>
  <c r="D529" i="1"/>
  <c r="D528" i="1"/>
  <c r="D527" i="1"/>
  <c r="D526" i="1"/>
  <c r="D525" i="1"/>
  <c r="D524" i="1"/>
  <c r="D523" i="1"/>
  <c r="D522" i="1"/>
  <c r="D521" i="1"/>
  <c r="D520" i="1"/>
  <c r="D383" i="1"/>
  <c r="D382" i="1"/>
  <c r="D381" i="1"/>
  <c r="D380" i="1"/>
  <c r="D379" i="1"/>
  <c r="D378" i="1"/>
  <c r="D377" i="1"/>
  <c r="D376" i="1"/>
  <c r="D375" i="1"/>
  <c r="D374" i="1"/>
  <c r="D373" i="1"/>
  <c r="D372" i="1"/>
  <c r="D274" i="1"/>
  <c r="D273" i="1"/>
  <c r="D272" i="1"/>
  <c r="D271" i="1"/>
  <c r="D270" i="1"/>
  <c r="D269" i="1"/>
  <c r="D268" i="1"/>
  <c r="D267" i="1"/>
  <c r="D266" i="1"/>
  <c r="D265" i="1"/>
  <c r="D264" i="1"/>
  <c r="D263" i="1"/>
  <c r="D125" i="1"/>
  <c r="D124" i="1"/>
  <c r="D123" i="1"/>
  <c r="D122" i="1"/>
  <c r="D121" i="1"/>
  <c r="D120" i="1"/>
  <c r="D119" i="1"/>
  <c r="D118" i="1"/>
  <c r="D117" i="1"/>
  <c r="D116" i="1"/>
  <c r="D115" i="1"/>
  <c r="D114" i="1"/>
  <c r="U40" i="5"/>
  <c r="K780" i="1"/>
  <c r="J779" i="1"/>
  <c r="K779" i="1"/>
  <c r="J780" i="1"/>
  <c r="J777" i="1"/>
  <c r="K777" i="1"/>
  <c r="J776" i="1"/>
  <c r="K776" i="1"/>
  <c r="C213" i="11"/>
  <c r="B213" i="11"/>
  <c r="J774" i="1"/>
  <c r="K774" i="1"/>
  <c r="J775" i="1"/>
  <c r="K775" i="1"/>
  <c r="Y12" i="8"/>
  <c r="Y12" i="2"/>
  <c r="BF36" i="5"/>
  <c r="BE36" i="5"/>
  <c r="BD36" i="5"/>
  <c r="BC36" i="5"/>
  <c r="BB36" i="5"/>
  <c r="BA36" i="5"/>
  <c r="AZ36" i="5"/>
  <c r="AY36" i="5"/>
  <c r="AX36" i="5"/>
  <c r="AW36" i="5"/>
  <c r="AV36" i="5"/>
  <c r="AU36" i="5"/>
  <c r="AT36" i="5"/>
  <c r="AS36" i="5"/>
  <c r="AR36" i="5"/>
  <c r="AQ36" i="5"/>
  <c r="AP36" i="5"/>
  <c r="BF35" i="5"/>
  <c r="BE35" i="5"/>
  <c r="BD35" i="5"/>
  <c r="BC35" i="5"/>
  <c r="BB35" i="5"/>
  <c r="BA35" i="5"/>
  <c r="AZ35" i="5"/>
  <c r="AY35" i="5"/>
  <c r="AX35" i="5"/>
  <c r="AW35" i="5"/>
  <c r="AV35" i="5"/>
  <c r="AU35" i="5"/>
  <c r="AT35" i="5"/>
  <c r="AS35" i="5"/>
  <c r="AR35" i="5"/>
  <c r="AQ35" i="5"/>
  <c r="AP35" i="5"/>
  <c r="BF34" i="5"/>
  <c r="BE34" i="5"/>
  <c r="BD34" i="5"/>
  <c r="BC34" i="5"/>
  <c r="BB34" i="5"/>
  <c r="BA34" i="5"/>
  <c r="AZ34" i="5"/>
  <c r="AY34" i="5"/>
  <c r="AX34" i="5"/>
  <c r="AW34" i="5"/>
  <c r="AV34" i="5"/>
  <c r="AU34" i="5"/>
  <c r="AT34" i="5"/>
  <c r="AS34" i="5"/>
  <c r="AR34" i="5"/>
  <c r="AQ34" i="5"/>
  <c r="AP34" i="5"/>
  <c r="BF33" i="5"/>
  <c r="BE33" i="5"/>
  <c r="BD33" i="5"/>
  <c r="BC33" i="5"/>
  <c r="BB33" i="5"/>
  <c r="BA33" i="5"/>
  <c r="AZ33" i="5"/>
  <c r="AY33" i="5"/>
  <c r="AX33" i="5"/>
  <c r="AW33" i="5"/>
  <c r="AV33" i="5"/>
  <c r="AU33" i="5"/>
  <c r="AT33" i="5"/>
  <c r="AS33" i="5"/>
  <c r="AR33" i="5"/>
  <c r="AQ33" i="5"/>
  <c r="AP33" i="5"/>
  <c r="BF32" i="5"/>
  <c r="BE32" i="5"/>
  <c r="BD32" i="5"/>
  <c r="BC32" i="5"/>
  <c r="BB32" i="5"/>
  <c r="BA32" i="5"/>
  <c r="AZ32" i="5"/>
  <c r="AY32" i="5"/>
  <c r="AX32" i="5"/>
  <c r="AW32" i="5"/>
  <c r="AV32" i="5"/>
  <c r="AU32" i="5"/>
  <c r="AT32" i="5"/>
  <c r="AS32" i="5"/>
  <c r="AR32" i="5"/>
  <c r="AQ32" i="5"/>
  <c r="AP32" i="5"/>
  <c r="BF31" i="5"/>
  <c r="BE31" i="5"/>
  <c r="BD31" i="5"/>
  <c r="BC31" i="5"/>
  <c r="BB31" i="5"/>
  <c r="BA31" i="5"/>
  <c r="AZ31" i="5"/>
  <c r="AY31" i="5"/>
  <c r="AX31" i="5"/>
  <c r="AW31" i="5"/>
  <c r="AV31" i="5"/>
  <c r="AU31" i="5"/>
  <c r="AT31" i="5"/>
  <c r="AS31" i="5"/>
  <c r="AR31" i="5"/>
  <c r="AQ31" i="5"/>
  <c r="AP31" i="5"/>
  <c r="BF28" i="5"/>
  <c r="BE28" i="5"/>
  <c r="BD28" i="5"/>
  <c r="BC28" i="5"/>
  <c r="BB28" i="5"/>
  <c r="BA28" i="5"/>
  <c r="AZ28" i="5"/>
  <c r="AY28" i="5"/>
  <c r="AX28" i="5"/>
  <c r="AW28" i="5"/>
  <c r="AV28" i="5"/>
  <c r="AU28" i="5"/>
  <c r="AT28" i="5"/>
  <c r="AS28" i="5"/>
  <c r="AR28" i="5"/>
  <c r="AQ28" i="5"/>
  <c r="AP28" i="5"/>
  <c r="BF25" i="5"/>
  <c r="BE25" i="5"/>
  <c r="BD25" i="5"/>
  <c r="BC25" i="5"/>
  <c r="BB25" i="5"/>
  <c r="BA25" i="5"/>
  <c r="AZ25" i="5"/>
  <c r="AY25" i="5"/>
  <c r="AX25" i="5"/>
  <c r="AW25" i="5"/>
  <c r="AV25" i="5"/>
  <c r="AU25" i="5"/>
  <c r="AT25" i="5"/>
  <c r="AS25" i="5"/>
  <c r="AR25" i="5"/>
  <c r="AQ25" i="5"/>
  <c r="AP25" i="5"/>
  <c r="BF24" i="5"/>
  <c r="BE24" i="5"/>
  <c r="BD24" i="5"/>
  <c r="BC24" i="5"/>
  <c r="BB24" i="5"/>
  <c r="BA24" i="5"/>
  <c r="AZ24" i="5"/>
  <c r="AY24" i="5"/>
  <c r="AX24" i="5"/>
  <c r="AW24" i="5"/>
  <c r="AV24" i="5"/>
  <c r="AU24" i="5"/>
  <c r="AT24" i="5"/>
  <c r="AS24" i="5"/>
  <c r="AR24" i="5"/>
  <c r="AQ24" i="5"/>
  <c r="AP24" i="5"/>
  <c r="BF23" i="5"/>
  <c r="BE23" i="5"/>
  <c r="BD23" i="5"/>
  <c r="BC23" i="5"/>
  <c r="BB23" i="5"/>
  <c r="BA23" i="5"/>
  <c r="AZ23" i="5"/>
  <c r="AY23" i="5"/>
  <c r="AX23" i="5"/>
  <c r="AW23" i="5"/>
  <c r="AV23" i="5"/>
  <c r="AU23" i="5"/>
  <c r="AT23" i="5"/>
  <c r="AS23" i="5"/>
  <c r="AR23" i="5"/>
  <c r="AQ23" i="5"/>
  <c r="AP23" i="5"/>
  <c r="BF22" i="5"/>
  <c r="BE22" i="5"/>
  <c r="BD22" i="5"/>
  <c r="BC22" i="5"/>
  <c r="BB22" i="5"/>
  <c r="BA22" i="5"/>
  <c r="AZ22" i="5"/>
  <c r="AY22" i="5"/>
  <c r="AX22" i="5"/>
  <c r="AW22" i="5"/>
  <c r="AV22" i="5"/>
  <c r="AU22" i="5"/>
  <c r="AT22" i="5"/>
  <c r="AS22" i="5"/>
  <c r="AR22" i="5"/>
  <c r="AQ22" i="5"/>
  <c r="AP22" i="5"/>
  <c r="BF21" i="5"/>
  <c r="BE21" i="5"/>
  <c r="BD21" i="5"/>
  <c r="BC21" i="5"/>
  <c r="BB21" i="5"/>
  <c r="BA21" i="5"/>
  <c r="AZ21" i="5"/>
  <c r="AY21" i="5"/>
  <c r="AX21" i="5"/>
  <c r="AW21" i="5"/>
  <c r="AV21" i="5"/>
  <c r="AU21" i="5"/>
  <c r="AT21" i="5"/>
  <c r="AS21" i="5"/>
  <c r="AR21" i="5"/>
  <c r="AQ21" i="5"/>
  <c r="AP21" i="5"/>
  <c r="BF20" i="5"/>
  <c r="BE20" i="5"/>
  <c r="BD20" i="5"/>
  <c r="BC20" i="5"/>
  <c r="BB20" i="5"/>
  <c r="BA20" i="5"/>
  <c r="AZ20" i="5"/>
  <c r="AY20" i="5"/>
  <c r="AX20" i="5"/>
  <c r="AW20" i="5"/>
  <c r="AV20" i="5"/>
  <c r="AU20" i="5"/>
  <c r="AT20" i="5"/>
  <c r="AS20" i="5"/>
  <c r="AR20" i="5"/>
  <c r="AQ20" i="5"/>
  <c r="AP20" i="5"/>
  <c r="BF19" i="5"/>
  <c r="BE19" i="5"/>
  <c r="BD19" i="5"/>
  <c r="BC19" i="5"/>
  <c r="BB19" i="5"/>
  <c r="BA19" i="5"/>
  <c r="AZ19" i="5"/>
  <c r="AY19" i="5"/>
  <c r="AX19" i="5"/>
  <c r="AW19" i="5"/>
  <c r="AV19" i="5"/>
  <c r="AU19" i="5"/>
  <c r="AT19" i="5"/>
  <c r="AS19" i="5"/>
  <c r="AR19" i="5"/>
  <c r="AQ19" i="5"/>
  <c r="AP19" i="5"/>
  <c r="BF16" i="5"/>
  <c r="BE16" i="5"/>
  <c r="BD16" i="5"/>
  <c r="BC16" i="5"/>
  <c r="BB16" i="5"/>
  <c r="BA16" i="5"/>
  <c r="AZ16" i="5"/>
  <c r="AY16" i="5"/>
  <c r="AX16" i="5"/>
  <c r="AW16" i="5"/>
  <c r="AV16" i="5"/>
  <c r="AU16" i="5"/>
  <c r="AT16" i="5"/>
  <c r="AS16" i="5"/>
  <c r="AR16" i="5"/>
  <c r="AQ16" i="5"/>
  <c r="AP16" i="5"/>
  <c r="BF15" i="5"/>
  <c r="BE15" i="5"/>
  <c r="BD15" i="5"/>
  <c r="BC15" i="5"/>
  <c r="BB15" i="5"/>
  <c r="BA15" i="5"/>
  <c r="AZ15" i="5"/>
  <c r="AY15" i="5"/>
  <c r="AX15" i="5"/>
  <c r="AW15" i="5"/>
  <c r="AV15" i="5"/>
  <c r="AU15" i="5"/>
  <c r="AT15" i="5"/>
  <c r="AS15" i="5"/>
  <c r="AR15" i="5"/>
  <c r="AQ15" i="5"/>
  <c r="AP15" i="5"/>
  <c r="BF14" i="5"/>
  <c r="BE14" i="5"/>
  <c r="BD14" i="5"/>
  <c r="BC14" i="5"/>
  <c r="BB14" i="5"/>
  <c r="BA14" i="5"/>
  <c r="AZ14" i="5"/>
  <c r="AY14" i="5"/>
  <c r="AX14" i="5"/>
  <c r="AW14" i="5"/>
  <c r="AV14" i="5"/>
  <c r="AU14" i="5"/>
  <c r="AT14" i="5"/>
  <c r="AS14" i="5"/>
  <c r="AR14" i="5"/>
  <c r="AQ14" i="5"/>
  <c r="AP14" i="5"/>
  <c r="AN36" i="3"/>
  <c r="AN35" i="3"/>
  <c r="AN34" i="3"/>
  <c r="AN33" i="3"/>
  <c r="AN32" i="3"/>
  <c r="AN31" i="3"/>
  <c r="AM30" i="3"/>
  <c r="AM29" i="3"/>
  <c r="AL30" i="3"/>
  <c r="AL29" i="3"/>
  <c r="AK30" i="3"/>
  <c r="AK29" i="3"/>
  <c r="AJ30" i="3"/>
  <c r="AJ29" i="3"/>
  <c r="AI30" i="3"/>
  <c r="AI29" i="3"/>
  <c r="BB29" i="3" s="1"/>
  <c r="AH30" i="3"/>
  <c r="AH29" i="3"/>
  <c r="AG30" i="3"/>
  <c r="AG29" i="3"/>
  <c r="AZ29" i="3" s="1"/>
  <c r="AF30" i="3"/>
  <c r="AF29" i="3"/>
  <c r="AE30" i="3"/>
  <c r="AE29" i="3"/>
  <c r="AE27" i="3" s="1"/>
  <c r="AD30" i="3"/>
  <c r="AD29" i="3"/>
  <c r="AD27" i="3" s="1"/>
  <c r="AW27" i="3" s="1"/>
  <c r="AC30" i="3"/>
  <c r="J30" i="3"/>
  <c r="AB30" i="3"/>
  <c r="AB29" i="3"/>
  <c r="AU29" i="3" s="1"/>
  <c r="AA30" i="3"/>
  <c r="AA29" i="3" s="1"/>
  <c r="AA27" i="3" s="1"/>
  <c r="Z30" i="3"/>
  <c r="Z29" i="3"/>
  <c r="Y30" i="3"/>
  <c r="Y29" i="3"/>
  <c r="X30" i="3"/>
  <c r="X29" i="3"/>
  <c r="AQ29" i="3" s="1"/>
  <c r="W30" i="3"/>
  <c r="W29" i="3"/>
  <c r="AN28" i="3"/>
  <c r="AN26" i="3"/>
  <c r="AN25" i="3"/>
  <c r="AN24" i="3"/>
  <c r="AN23" i="3"/>
  <c r="U23" i="3"/>
  <c r="BG23" i="3" s="1"/>
  <c r="AN22" i="3"/>
  <c r="AN21" i="3"/>
  <c r="AN20" i="3"/>
  <c r="AN19" i="3"/>
  <c r="U19" i="3"/>
  <c r="AM18" i="3"/>
  <c r="AM17" i="3"/>
  <c r="BF17" i="3" s="1"/>
  <c r="AL18" i="3"/>
  <c r="AL17" i="3"/>
  <c r="AK18" i="3"/>
  <c r="AK17" i="3"/>
  <c r="AJ18" i="3"/>
  <c r="AJ17" i="3"/>
  <c r="AI18" i="3"/>
  <c r="AI17" i="3"/>
  <c r="AH18" i="3"/>
  <c r="AH17" i="3"/>
  <c r="AG18" i="3"/>
  <c r="AG17" i="3"/>
  <c r="AF18" i="3"/>
  <c r="AF17" i="3"/>
  <c r="AE18" i="3"/>
  <c r="AE17" i="3"/>
  <c r="AD18" i="3"/>
  <c r="AC18" i="3"/>
  <c r="AC17" i="3"/>
  <c r="AB18" i="3"/>
  <c r="AB17" i="3" s="1"/>
  <c r="AU17" i="3" s="1"/>
  <c r="AA18" i="3"/>
  <c r="AA17" i="3"/>
  <c r="Z18" i="3"/>
  <c r="Z17" i="3"/>
  <c r="Y18" i="3"/>
  <c r="AR18" i="3" s="1"/>
  <c r="Y17" i="3"/>
  <c r="AR17" i="3" s="1"/>
  <c r="X18" i="3"/>
  <c r="X17" i="3"/>
  <c r="W18" i="3"/>
  <c r="AP18" i="3" s="1"/>
  <c r="W17" i="3"/>
  <c r="AP17" i="3" s="1"/>
  <c r="AN16" i="3"/>
  <c r="AN15" i="3"/>
  <c r="AN14" i="3"/>
  <c r="BG14" i="3" s="1"/>
  <c r="AN13" i="3"/>
  <c r="BG13" i="3" s="1"/>
  <c r="AM13" i="3"/>
  <c r="AL13" i="3"/>
  <c r="AK13" i="3"/>
  <c r="AJ13" i="3"/>
  <c r="BC13" i="3" s="1"/>
  <c r="AI13" i="3"/>
  <c r="AH13" i="3"/>
  <c r="AG13" i="3"/>
  <c r="AF13" i="3"/>
  <c r="M13" i="3"/>
  <c r="AE13" i="3"/>
  <c r="AE8" i="3" s="1"/>
  <c r="AE38" i="3" s="1"/>
  <c r="AD13" i="3"/>
  <c r="AC13" i="3"/>
  <c r="AB13" i="3"/>
  <c r="I13" i="3"/>
  <c r="AU13" i="3" s="1"/>
  <c r="AA13" i="3"/>
  <c r="Z13" i="3"/>
  <c r="Y13" i="3"/>
  <c r="X13" i="3"/>
  <c r="W13" i="3"/>
  <c r="B191" i="11"/>
  <c r="B216" i="11"/>
  <c r="AN40" i="5"/>
  <c r="C201" i="11"/>
  <c r="N30" i="5"/>
  <c r="N29" i="5" s="1"/>
  <c r="N27" i="5" s="1"/>
  <c r="M30" i="5"/>
  <c r="M29" i="5" s="1"/>
  <c r="M27" i="5" s="1"/>
  <c r="L30" i="5"/>
  <c r="L29" i="5" s="1"/>
  <c r="K30" i="5"/>
  <c r="K29" i="5"/>
  <c r="K27" i="5"/>
  <c r="N18" i="5"/>
  <c r="N17" i="5"/>
  <c r="M18" i="5"/>
  <c r="M17" i="5"/>
  <c r="L18" i="5"/>
  <c r="L17" i="5"/>
  <c r="K18" i="5"/>
  <c r="K17" i="5" s="1"/>
  <c r="N13" i="5"/>
  <c r="AZ13" i="5" s="1"/>
  <c r="M13" i="5"/>
  <c r="L13" i="5"/>
  <c r="K13" i="5"/>
  <c r="AW13" i="5" s="1"/>
  <c r="N9" i="5"/>
  <c r="M9" i="5"/>
  <c r="L9" i="5"/>
  <c r="K9" i="5"/>
  <c r="AG18" i="5"/>
  <c r="AF18" i="5"/>
  <c r="AF17" i="5"/>
  <c r="AY17" i="5" s="1"/>
  <c r="AE18" i="5"/>
  <c r="AE17" i="5"/>
  <c r="AD18" i="5"/>
  <c r="AD17" i="5" s="1"/>
  <c r="AH30" i="5"/>
  <c r="AH29" i="5"/>
  <c r="AG30" i="5"/>
  <c r="AG29" i="5" s="1"/>
  <c r="AF30" i="5"/>
  <c r="AF29" i="5" s="1"/>
  <c r="AY30" i="5"/>
  <c r="AE30" i="5"/>
  <c r="AE29" i="5"/>
  <c r="AE27" i="5"/>
  <c r="AD30" i="5"/>
  <c r="AW30" i="5" s="1"/>
  <c r="AG13" i="5"/>
  <c r="AF13" i="5"/>
  <c r="AE13" i="5"/>
  <c r="AD13" i="5"/>
  <c r="AG9" i="5"/>
  <c r="AF9" i="5"/>
  <c r="AE9" i="5"/>
  <c r="AX9" i="5" s="1"/>
  <c r="AD9" i="5"/>
  <c r="D6" i="5"/>
  <c r="W6" i="5"/>
  <c r="D18" i="3"/>
  <c r="D17" i="3"/>
  <c r="E18" i="3"/>
  <c r="E17" i="3" s="1"/>
  <c r="F18" i="3"/>
  <c r="F17" i="3"/>
  <c r="F8" i="3"/>
  <c r="F38" i="3" s="1"/>
  <c r="G18" i="3"/>
  <c r="G17" i="3"/>
  <c r="H18" i="3"/>
  <c r="H17" i="3" s="1"/>
  <c r="H8" i="3" s="1"/>
  <c r="I18" i="3"/>
  <c r="I17" i="3"/>
  <c r="J18" i="3"/>
  <c r="J17" i="3" s="1"/>
  <c r="K18" i="3"/>
  <c r="K17" i="3" s="1"/>
  <c r="AW17" i="3" s="1"/>
  <c r="L18" i="3"/>
  <c r="L17" i="3"/>
  <c r="L8" i="3"/>
  <c r="M18" i="3"/>
  <c r="M17" i="3"/>
  <c r="N18" i="3"/>
  <c r="N17" i="3"/>
  <c r="O18" i="3"/>
  <c r="O17" i="3"/>
  <c r="BA17" i="3"/>
  <c r="O13" i="3"/>
  <c r="P18" i="3"/>
  <c r="P17" i="3"/>
  <c r="Q18" i="3"/>
  <c r="BC18" i="3" s="1"/>
  <c r="Q17" i="3"/>
  <c r="BC17" i="3" s="1"/>
  <c r="R18" i="3"/>
  <c r="R17" i="3"/>
  <c r="R13" i="3"/>
  <c r="R8" i="3" s="1"/>
  <c r="S18" i="3"/>
  <c r="S17" i="3" s="1"/>
  <c r="BE17" i="3" s="1"/>
  <c r="T18" i="3"/>
  <c r="T17" i="3"/>
  <c r="N30" i="3"/>
  <c r="N29" i="3"/>
  <c r="N27" i="3"/>
  <c r="M30" i="3"/>
  <c r="M29" i="3" s="1"/>
  <c r="M27" i="3" s="1"/>
  <c r="L30" i="3"/>
  <c r="AX30" i="3" s="1"/>
  <c r="L29" i="3"/>
  <c r="L27" i="3" s="1"/>
  <c r="K30" i="3"/>
  <c r="K29" i="3"/>
  <c r="K27" i="3"/>
  <c r="N13" i="3"/>
  <c r="L13" i="3"/>
  <c r="K13" i="3"/>
  <c r="C42" i="11"/>
  <c r="G630" i="1"/>
  <c r="K630" i="1"/>
  <c r="E630" i="1"/>
  <c r="J630" i="1"/>
  <c r="D630" i="1"/>
  <c r="I629" i="1"/>
  <c r="G629" i="1"/>
  <c r="K629" i="1"/>
  <c r="E629" i="1"/>
  <c r="J629" i="1"/>
  <c r="D629" i="1"/>
  <c r="I628" i="1"/>
  <c r="G628" i="1"/>
  <c r="K628" i="1"/>
  <c r="E628" i="1"/>
  <c r="J628" i="1"/>
  <c r="D628" i="1"/>
  <c r="I627" i="1"/>
  <c r="G627" i="1"/>
  <c r="K627" i="1"/>
  <c r="E627" i="1"/>
  <c r="J627" i="1"/>
  <c r="D627" i="1"/>
  <c r="I626" i="1"/>
  <c r="G626" i="1"/>
  <c r="K626" i="1"/>
  <c r="E626" i="1"/>
  <c r="J626" i="1"/>
  <c r="D626" i="1"/>
  <c r="I625" i="1"/>
  <c r="G625" i="1"/>
  <c r="K625" i="1"/>
  <c r="E625" i="1"/>
  <c r="J625" i="1"/>
  <c r="D625" i="1"/>
  <c r="I624" i="1"/>
  <c r="G624" i="1"/>
  <c r="K624" i="1"/>
  <c r="E624" i="1"/>
  <c r="J624" i="1"/>
  <c r="D624" i="1"/>
  <c r="I623" i="1"/>
  <c r="G623" i="1"/>
  <c r="K623" i="1"/>
  <c r="E623" i="1"/>
  <c r="J623" i="1"/>
  <c r="D623" i="1"/>
  <c r="I622" i="1"/>
  <c r="G622" i="1"/>
  <c r="K622" i="1"/>
  <c r="E622" i="1"/>
  <c r="J622" i="1"/>
  <c r="D622" i="1"/>
  <c r="I621" i="1"/>
  <c r="G621" i="1"/>
  <c r="K621" i="1"/>
  <c r="E621" i="1"/>
  <c r="J621" i="1"/>
  <c r="D621" i="1"/>
  <c r="I620" i="1"/>
  <c r="G620" i="1"/>
  <c r="K620" i="1"/>
  <c r="E620" i="1"/>
  <c r="J620" i="1"/>
  <c r="D620" i="1"/>
  <c r="I619" i="1"/>
  <c r="G619" i="1"/>
  <c r="K619" i="1"/>
  <c r="E619" i="1"/>
  <c r="J619" i="1"/>
  <c r="D619" i="1"/>
  <c r="K505" i="1"/>
  <c r="J505" i="1"/>
  <c r="I505" i="1"/>
  <c r="D505" i="1"/>
  <c r="K504" i="1"/>
  <c r="J504" i="1"/>
  <c r="I504" i="1"/>
  <c r="D504" i="1"/>
  <c r="K503" i="1"/>
  <c r="J503" i="1"/>
  <c r="I503" i="1"/>
  <c r="D503" i="1"/>
  <c r="K502" i="1"/>
  <c r="J502" i="1"/>
  <c r="I502" i="1"/>
  <c r="D502" i="1"/>
  <c r="K501" i="1"/>
  <c r="J501" i="1"/>
  <c r="I501" i="1"/>
  <c r="D501" i="1"/>
  <c r="K500" i="1"/>
  <c r="J500" i="1"/>
  <c r="I500" i="1"/>
  <c r="D500" i="1"/>
  <c r="K499" i="1"/>
  <c r="J499" i="1"/>
  <c r="I499" i="1"/>
  <c r="D499" i="1"/>
  <c r="K498" i="1"/>
  <c r="J498" i="1"/>
  <c r="I498" i="1"/>
  <c r="D498" i="1"/>
  <c r="K497" i="1"/>
  <c r="J497" i="1"/>
  <c r="I497" i="1"/>
  <c r="D497" i="1"/>
  <c r="K496" i="1"/>
  <c r="J496" i="1"/>
  <c r="I496" i="1"/>
  <c r="D496" i="1"/>
  <c r="K495" i="1"/>
  <c r="J495" i="1"/>
  <c r="I495" i="1"/>
  <c r="D495" i="1"/>
  <c r="K494" i="1"/>
  <c r="J494" i="1"/>
  <c r="I494" i="1"/>
  <c r="D494" i="1"/>
  <c r="K357" i="1"/>
  <c r="J357" i="1"/>
  <c r="I357" i="1"/>
  <c r="D357" i="1"/>
  <c r="K356" i="1"/>
  <c r="J356" i="1"/>
  <c r="I356" i="1"/>
  <c r="D356" i="1"/>
  <c r="K355" i="1"/>
  <c r="J355" i="1"/>
  <c r="I355" i="1"/>
  <c r="D355" i="1"/>
  <c r="K354" i="1"/>
  <c r="J354" i="1"/>
  <c r="I354" i="1"/>
  <c r="D354" i="1"/>
  <c r="K353" i="1"/>
  <c r="J353" i="1"/>
  <c r="I353" i="1"/>
  <c r="D353" i="1"/>
  <c r="K352" i="1"/>
  <c r="J352" i="1"/>
  <c r="I352" i="1"/>
  <c r="D352" i="1"/>
  <c r="K351" i="1"/>
  <c r="J351" i="1"/>
  <c r="I351" i="1"/>
  <c r="D351" i="1"/>
  <c r="K350" i="1"/>
  <c r="J350" i="1"/>
  <c r="I350" i="1"/>
  <c r="D350" i="1"/>
  <c r="K349" i="1"/>
  <c r="J349" i="1"/>
  <c r="I349" i="1"/>
  <c r="D349" i="1"/>
  <c r="K348" i="1"/>
  <c r="J348" i="1"/>
  <c r="I348" i="1"/>
  <c r="D348" i="1"/>
  <c r="K347" i="1"/>
  <c r="J347" i="1"/>
  <c r="I347" i="1"/>
  <c r="D347" i="1"/>
  <c r="K346" i="1"/>
  <c r="J346" i="1"/>
  <c r="I346" i="1"/>
  <c r="D346" i="1"/>
  <c r="K248" i="1"/>
  <c r="J248" i="1"/>
  <c r="I248" i="1"/>
  <c r="D248" i="1"/>
  <c r="K247" i="1"/>
  <c r="J247" i="1"/>
  <c r="I247" i="1"/>
  <c r="D247" i="1"/>
  <c r="K246" i="1"/>
  <c r="J246" i="1"/>
  <c r="I246" i="1"/>
  <c r="D246" i="1"/>
  <c r="K245" i="1"/>
  <c r="J245" i="1"/>
  <c r="I245" i="1"/>
  <c r="D245" i="1"/>
  <c r="K244" i="1"/>
  <c r="J244" i="1"/>
  <c r="I244" i="1"/>
  <c r="D244" i="1"/>
  <c r="K243" i="1"/>
  <c r="J243" i="1"/>
  <c r="I243" i="1"/>
  <c r="D243" i="1"/>
  <c r="K242" i="1"/>
  <c r="J242" i="1"/>
  <c r="I242" i="1"/>
  <c r="D242" i="1"/>
  <c r="K241" i="1"/>
  <c r="J241" i="1"/>
  <c r="I241" i="1"/>
  <c r="D241" i="1"/>
  <c r="K240" i="1"/>
  <c r="J240" i="1"/>
  <c r="I240" i="1"/>
  <c r="D240" i="1"/>
  <c r="K239" i="1"/>
  <c r="J239" i="1"/>
  <c r="I239" i="1"/>
  <c r="D239" i="1"/>
  <c r="K238" i="1"/>
  <c r="J238" i="1"/>
  <c r="I238" i="1"/>
  <c r="D238" i="1"/>
  <c r="K237" i="1"/>
  <c r="J237" i="1"/>
  <c r="I237" i="1"/>
  <c r="D237" i="1"/>
  <c r="K99" i="1"/>
  <c r="J99" i="1"/>
  <c r="I99" i="1"/>
  <c r="D99" i="1"/>
  <c r="K98" i="1"/>
  <c r="J98" i="1"/>
  <c r="I98" i="1"/>
  <c r="D98" i="1"/>
  <c r="K97" i="1"/>
  <c r="J97" i="1"/>
  <c r="I97" i="1"/>
  <c r="D97" i="1"/>
  <c r="K96" i="1"/>
  <c r="J96" i="1"/>
  <c r="I96" i="1"/>
  <c r="D96" i="1"/>
  <c r="K95" i="1"/>
  <c r="J95" i="1"/>
  <c r="I95" i="1"/>
  <c r="D95" i="1"/>
  <c r="K94" i="1"/>
  <c r="J94" i="1"/>
  <c r="I94" i="1"/>
  <c r="D94" i="1"/>
  <c r="K93" i="1"/>
  <c r="J93" i="1"/>
  <c r="I93" i="1"/>
  <c r="D93" i="1"/>
  <c r="K92" i="1"/>
  <c r="J92" i="1"/>
  <c r="I92" i="1"/>
  <c r="D92" i="1"/>
  <c r="K91" i="1"/>
  <c r="J91" i="1"/>
  <c r="I91" i="1"/>
  <c r="D91" i="1"/>
  <c r="K90" i="1"/>
  <c r="J90" i="1"/>
  <c r="I90" i="1"/>
  <c r="D90" i="1"/>
  <c r="K89" i="1"/>
  <c r="J89" i="1"/>
  <c r="I89" i="1"/>
  <c r="D89" i="1"/>
  <c r="K88" i="1"/>
  <c r="J88" i="1"/>
  <c r="I88" i="1"/>
  <c r="D88" i="1"/>
  <c r="D101" i="1"/>
  <c r="I101" i="1"/>
  <c r="J101" i="1"/>
  <c r="K101" i="1"/>
  <c r="D102" i="1"/>
  <c r="I102" i="1"/>
  <c r="J102" i="1"/>
  <c r="K102" i="1"/>
  <c r="D103" i="1"/>
  <c r="I103" i="1"/>
  <c r="J103" i="1"/>
  <c r="K103" i="1"/>
  <c r="D104" i="1"/>
  <c r="I104" i="1"/>
  <c r="J104" i="1"/>
  <c r="K104" i="1"/>
  <c r="D105" i="1"/>
  <c r="I105" i="1"/>
  <c r="J105" i="1"/>
  <c r="K105" i="1"/>
  <c r="D106" i="1"/>
  <c r="I106" i="1"/>
  <c r="J106" i="1"/>
  <c r="K106" i="1"/>
  <c r="D107" i="1"/>
  <c r="I107" i="1"/>
  <c r="J107" i="1"/>
  <c r="K107" i="1"/>
  <c r="D108" i="1"/>
  <c r="I108" i="1"/>
  <c r="J108" i="1"/>
  <c r="K108" i="1"/>
  <c r="D109" i="1"/>
  <c r="I109" i="1"/>
  <c r="J109" i="1"/>
  <c r="K109" i="1"/>
  <c r="D110" i="1"/>
  <c r="I110" i="1"/>
  <c r="J110" i="1"/>
  <c r="K110" i="1"/>
  <c r="D111" i="1"/>
  <c r="I111" i="1"/>
  <c r="J111" i="1"/>
  <c r="K111" i="1"/>
  <c r="D112" i="1"/>
  <c r="I112" i="1"/>
  <c r="J112" i="1"/>
  <c r="K112" i="1"/>
  <c r="K768" i="1"/>
  <c r="J768" i="1"/>
  <c r="I768" i="1"/>
  <c r="D768" i="1"/>
  <c r="K767" i="1"/>
  <c r="J767" i="1"/>
  <c r="I767" i="1"/>
  <c r="D767" i="1"/>
  <c r="I766" i="1"/>
  <c r="G766" i="1"/>
  <c r="K766" i="1"/>
  <c r="E766" i="1"/>
  <c r="J766" i="1"/>
  <c r="D766" i="1"/>
  <c r="I765" i="1"/>
  <c r="G765" i="1"/>
  <c r="K765" i="1"/>
  <c r="E765" i="1"/>
  <c r="J765" i="1"/>
  <c r="D765" i="1"/>
  <c r="K764" i="1"/>
  <c r="J764" i="1"/>
  <c r="I764" i="1"/>
  <c r="D764" i="1"/>
  <c r="K763" i="1"/>
  <c r="J763" i="1"/>
  <c r="I763" i="1"/>
  <c r="D763" i="1"/>
  <c r="I762" i="1"/>
  <c r="G762" i="1"/>
  <c r="K762" i="1"/>
  <c r="E762" i="1"/>
  <c r="J762" i="1"/>
  <c r="D762" i="1"/>
  <c r="I761" i="1"/>
  <c r="G761" i="1"/>
  <c r="K761" i="1"/>
  <c r="E761" i="1"/>
  <c r="J761" i="1"/>
  <c r="D761" i="1"/>
  <c r="K760" i="1"/>
  <c r="J760" i="1"/>
  <c r="I760" i="1"/>
  <c r="D760" i="1"/>
  <c r="K759" i="1"/>
  <c r="J759" i="1"/>
  <c r="I759" i="1"/>
  <c r="D759" i="1"/>
  <c r="K758" i="1"/>
  <c r="J758" i="1"/>
  <c r="I758" i="1"/>
  <c r="D758" i="1"/>
  <c r="K757" i="1"/>
  <c r="J757" i="1"/>
  <c r="I757" i="1"/>
  <c r="D757" i="1"/>
  <c r="T13" i="3"/>
  <c r="T8" i="3" s="1"/>
  <c r="S13" i="3"/>
  <c r="S8" i="3" s="1"/>
  <c r="Q13" i="3"/>
  <c r="P13" i="3"/>
  <c r="BB13" i="3" s="1"/>
  <c r="J13" i="3"/>
  <c r="AV13" i="3" s="1"/>
  <c r="H13" i="3"/>
  <c r="AT13" i="3"/>
  <c r="G13" i="3"/>
  <c r="F13" i="3"/>
  <c r="AR13" i="3" s="1"/>
  <c r="E13" i="3"/>
  <c r="D13" i="3"/>
  <c r="AN24" i="5"/>
  <c r="AN23" i="5"/>
  <c r="BG23" i="5" s="1"/>
  <c r="AN22" i="5"/>
  <c r="U22" i="5"/>
  <c r="AN21" i="5"/>
  <c r="AN20" i="5"/>
  <c r="AN19" i="5"/>
  <c r="I259" i="1"/>
  <c r="U14" i="5"/>
  <c r="U15" i="5"/>
  <c r="U16" i="5"/>
  <c r="BG16" i="5" s="1"/>
  <c r="U14" i="3"/>
  <c r="U15" i="3"/>
  <c r="U16" i="3"/>
  <c r="U20" i="3"/>
  <c r="U21" i="3"/>
  <c r="U22" i="3"/>
  <c r="G607" i="1"/>
  <c r="K607" i="1"/>
  <c r="G608" i="1"/>
  <c r="K608" i="1" s="1"/>
  <c r="G609" i="1"/>
  <c r="K609" i="1"/>
  <c r="G610" i="1"/>
  <c r="K610" i="1" s="1"/>
  <c r="G611" i="1"/>
  <c r="K611" i="1"/>
  <c r="G612" i="1"/>
  <c r="K612" i="1" s="1"/>
  <c r="G613" i="1"/>
  <c r="K613" i="1"/>
  <c r="G614" i="1"/>
  <c r="K614" i="1" s="1"/>
  <c r="G615" i="1"/>
  <c r="K615" i="1"/>
  <c r="G616" i="1"/>
  <c r="K616" i="1" s="1"/>
  <c r="G617" i="1"/>
  <c r="K617" i="1"/>
  <c r="E617" i="1"/>
  <c r="J617" i="1" s="1"/>
  <c r="E616" i="1"/>
  <c r="J616" i="1"/>
  <c r="E615" i="1"/>
  <c r="J615" i="1" s="1"/>
  <c r="E614" i="1"/>
  <c r="J614" i="1"/>
  <c r="E613" i="1"/>
  <c r="J613" i="1" s="1"/>
  <c r="E612" i="1"/>
  <c r="J612" i="1"/>
  <c r="E611" i="1"/>
  <c r="E610" i="1"/>
  <c r="J610" i="1"/>
  <c r="E609" i="1"/>
  <c r="J609" i="1"/>
  <c r="E608" i="1"/>
  <c r="J608" i="1"/>
  <c r="E607" i="1"/>
  <c r="J607" i="1"/>
  <c r="G606" i="1"/>
  <c r="K606" i="1"/>
  <c r="E606" i="1"/>
  <c r="J606" i="1"/>
  <c r="U5" i="5"/>
  <c r="AN5" i="5"/>
  <c r="AP6" i="5"/>
  <c r="C8" i="5"/>
  <c r="C9" i="5"/>
  <c r="D9" i="5"/>
  <c r="AP9" i="5" s="1"/>
  <c r="E9" i="5"/>
  <c r="F9" i="5"/>
  <c r="G9" i="5"/>
  <c r="H9" i="5"/>
  <c r="AT9" i="5" s="1"/>
  <c r="I9" i="5"/>
  <c r="J9" i="5"/>
  <c r="O9" i="5"/>
  <c r="BA9" i="5"/>
  <c r="P9" i="5"/>
  <c r="Q9" i="5"/>
  <c r="R9" i="5"/>
  <c r="S9" i="5"/>
  <c r="S8" i="5" s="1"/>
  <c r="S38" i="5" s="1"/>
  <c r="T9" i="5"/>
  <c r="W9" i="5"/>
  <c r="X9" i="5"/>
  <c r="Y9" i="5"/>
  <c r="Z9" i="5"/>
  <c r="AA9" i="5"/>
  <c r="AB9" i="5"/>
  <c r="AU9" i="5"/>
  <c r="AC9" i="5"/>
  <c r="AH9" i="5"/>
  <c r="AI9" i="5"/>
  <c r="BB9" i="5"/>
  <c r="AJ9" i="5"/>
  <c r="BC9" i="5" s="1"/>
  <c r="AK9" i="5"/>
  <c r="AL9" i="5"/>
  <c r="AM9" i="5"/>
  <c r="C10" i="5"/>
  <c r="U10" i="5"/>
  <c r="AN10" i="5"/>
  <c r="BG10" i="5"/>
  <c r="C11" i="5"/>
  <c r="U11" i="5"/>
  <c r="AN11" i="5"/>
  <c r="BG11" i="5" s="1"/>
  <c r="C12" i="5"/>
  <c r="U12" i="5"/>
  <c r="AN12" i="5"/>
  <c r="BG12" i="5"/>
  <c r="C13" i="5"/>
  <c r="D13" i="5"/>
  <c r="E13" i="5"/>
  <c r="F13" i="5"/>
  <c r="F8" i="5" s="1"/>
  <c r="G13" i="5"/>
  <c r="H13" i="5"/>
  <c r="I13" i="5"/>
  <c r="J13" i="5"/>
  <c r="O13" i="5"/>
  <c r="O8" i="5" s="1"/>
  <c r="P13" i="5"/>
  <c r="Q13" i="5"/>
  <c r="BC13" i="5" s="1"/>
  <c r="R13" i="5"/>
  <c r="S13" i="5"/>
  <c r="T13" i="5"/>
  <c r="W13" i="5"/>
  <c r="W8" i="5" s="1"/>
  <c r="AP8" i="5" s="1"/>
  <c r="AP13" i="5"/>
  <c r="X13" i="5"/>
  <c r="AQ13" i="5"/>
  <c r="Y13" i="5"/>
  <c r="Z13" i="5"/>
  <c r="AA13" i="5"/>
  <c r="AB13" i="5"/>
  <c r="AU13" i="5"/>
  <c r="AC13" i="5"/>
  <c r="AH13" i="5"/>
  <c r="AI13" i="5"/>
  <c r="AJ13" i="5"/>
  <c r="AK13" i="5"/>
  <c r="AL13" i="5"/>
  <c r="BE13" i="5" s="1"/>
  <c r="AM13" i="5"/>
  <c r="BF13" i="5"/>
  <c r="C14" i="5"/>
  <c r="AN14" i="5"/>
  <c r="AN13" i="5" s="1"/>
  <c r="C15" i="5"/>
  <c r="AN15" i="5"/>
  <c r="BG15" i="5" s="1"/>
  <c r="C16" i="5"/>
  <c r="AN16" i="5"/>
  <c r="C17" i="5"/>
  <c r="C18" i="5"/>
  <c r="D18" i="5"/>
  <c r="D17" i="5"/>
  <c r="E18" i="5"/>
  <c r="E17" i="5"/>
  <c r="F18" i="5"/>
  <c r="F17" i="5"/>
  <c r="G18" i="5"/>
  <c r="G17" i="5" s="1"/>
  <c r="H18" i="5"/>
  <c r="H17" i="5"/>
  <c r="I18" i="5"/>
  <c r="I17" i="5" s="1"/>
  <c r="J18" i="5"/>
  <c r="J17" i="5"/>
  <c r="J8" i="5" s="1"/>
  <c r="J38" i="5" s="1"/>
  <c r="O18" i="5"/>
  <c r="O17" i="5" s="1"/>
  <c r="P18" i="5"/>
  <c r="P17" i="5"/>
  <c r="Q18" i="5"/>
  <c r="Q17" i="5" s="1"/>
  <c r="R18" i="5"/>
  <c r="R17" i="5"/>
  <c r="S18" i="5"/>
  <c r="S17" i="5" s="1"/>
  <c r="T18" i="5"/>
  <c r="T17" i="5"/>
  <c r="T8" i="5" s="1"/>
  <c r="T38" i="5" s="1"/>
  <c r="W18" i="5"/>
  <c r="W17" i="5"/>
  <c r="X18" i="5"/>
  <c r="X17" i="5" s="1"/>
  <c r="AQ17" i="5" s="1"/>
  <c r="Y18" i="5"/>
  <c r="AR18" i="5" s="1"/>
  <c r="Z18" i="5"/>
  <c r="Z17" i="5"/>
  <c r="AS17" i="5" s="1"/>
  <c r="AA18" i="5"/>
  <c r="AT18" i="5" s="1"/>
  <c r="AB18" i="5"/>
  <c r="AB17" i="5"/>
  <c r="AB8" i="5"/>
  <c r="AB38" i="5" s="1"/>
  <c r="AU38" i="5" s="1"/>
  <c r="AC18" i="5"/>
  <c r="AC17" i="5"/>
  <c r="AH18" i="5"/>
  <c r="BA18" i="5" s="1"/>
  <c r="AH17" i="5"/>
  <c r="AI18" i="5"/>
  <c r="AI17" i="5"/>
  <c r="AJ18" i="5"/>
  <c r="AK18" i="5"/>
  <c r="AL18" i="5"/>
  <c r="AM18" i="5"/>
  <c r="AM17" i="5"/>
  <c r="AM8" i="5"/>
  <c r="BF8" i="5" s="1"/>
  <c r="C19" i="5"/>
  <c r="U19" i="5"/>
  <c r="C20" i="5"/>
  <c r="U20" i="5"/>
  <c r="U18" i="5" s="1"/>
  <c r="U17" i="5" s="1"/>
  <c r="C21" i="5"/>
  <c r="U21" i="5"/>
  <c r="C22" i="5"/>
  <c r="C23" i="5"/>
  <c r="U23" i="5"/>
  <c r="C24" i="5"/>
  <c r="U24" i="5"/>
  <c r="C25" i="5"/>
  <c r="U25" i="5"/>
  <c r="BG25" i="5"/>
  <c r="AN25" i="5"/>
  <c r="C27" i="5"/>
  <c r="C28" i="5"/>
  <c r="U28" i="5"/>
  <c r="BG28" i="5" s="1"/>
  <c r="AN28" i="5"/>
  <c r="C29" i="5"/>
  <c r="C30" i="5"/>
  <c r="D30" i="5"/>
  <c r="D29" i="5"/>
  <c r="D27" i="5"/>
  <c r="E30" i="5"/>
  <c r="E29" i="5" s="1"/>
  <c r="E27" i="5" s="1"/>
  <c r="F30" i="5"/>
  <c r="F29" i="5"/>
  <c r="F27" i="5" s="1"/>
  <c r="G30" i="5"/>
  <c r="G29" i="5"/>
  <c r="H30" i="5"/>
  <c r="H29" i="5" s="1"/>
  <c r="H27" i="5" s="1"/>
  <c r="I30" i="5"/>
  <c r="I29" i="5" s="1"/>
  <c r="I27" i="5" s="1"/>
  <c r="I38" i="5" s="1"/>
  <c r="J30" i="5"/>
  <c r="J29" i="5"/>
  <c r="O30" i="5"/>
  <c r="P30" i="5"/>
  <c r="P29" i="5"/>
  <c r="P27" i="5" s="1"/>
  <c r="Q30" i="5"/>
  <c r="Q29" i="5" s="1"/>
  <c r="Q27" i="5" s="1"/>
  <c r="R30" i="5"/>
  <c r="R29" i="5"/>
  <c r="S30" i="5"/>
  <c r="S29" i="5"/>
  <c r="S27" i="5"/>
  <c r="T30" i="5"/>
  <c r="T29" i="5" s="1"/>
  <c r="T27" i="5" s="1"/>
  <c r="W30" i="5"/>
  <c r="W29" i="5"/>
  <c r="W27" i="5" s="1"/>
  <c r="AP27" i="5" s="1"/>
  <c r="X30" i="5"/>
  <c r="AQ30" i="5"/>
  <c r="Y30" i="5"/>
  <c r="AR30" i="5" s="1"/>
  <c r="Y29" i="5"/>
  <c r="Z30" i="5"/>
  <c r="AS30" i="5"/>
  <c r="AA30" i="5"/>
  <c r="AB30" i="5"/>
  <c r="AU30" i="5"/>
  <c r="AC30" i="5"/>
  <c r="AC29" i="5" s="1"/>
  <c r="AV29" i="5" s="1"/>
  <c r="AI30" i="5"/>
  <c r="AI29" i="5"/>
  <c r="AI27" i="5" s="1"/>
  <c r="BB27" i="5" s="1"/>
  <c r="AJ30" i="5"/>
  <c r="AK30" i="5"/>
  <c r="AK29" i="5" s="1"/>
  <c r="AK27" i="5" s="1"/>
  <c r="BD27" i="5" s="1"/>
  <c r="AL30" i="5"/>
  <c r="AL29" i="5"/>
  <c r="AL27" i="5" s="1"/>
  <c r="AM30" i="5"/>
  <c r="BF30" i="5"/>
  <c r="C31" i="5"/>
  <c r="U31" i="5"/>
  <c r="AN31" i="5"/>
  <c r="AN29" i="5"/>
  <c r="C32" i="5"/>
  <c r="U32" i="5"/>
  <c r="AN32" i="5"/>
  <c r="AN30" i="5" s="1"/>
  <c r="BG32" i="5"/>
  <c r="C33" i="5"/>
  <c r="U33" i="5"/>
  <c r="AN33" i="5"/>
  <c r="C34" i="5"/>
  <c r="U34" i="5"/>
  <c r="AN34" i="5"/>
  <c r="BG34" i="5"/>
  <c r="C35" i="5"/>
  <c r="U35" i="5"/>
  <c r="AN35" i="5"/>
  <c r="C36" i="5"/>
  <c r="U36" i="5"/>
  <c r="AN36" i="5"/>
  <c r="U37" i="5"/>
  <c r="AN37" i="5"/>
  <c r="C38" i="5"/>
  <c r="C39" i="5"/>
  <c r="C40" i="5"/>
  <c r="C42" i="5"/>
  <c r="U42" i="5"/>
  <c r="AN42" i="5"/>
  <c r="C43" i="5"/>
  <c r="U43" i="5"/>
  <c r="AN43" i="5"/>
  <c r="C45" i="5"/>
  <c r="U45" i="5"/>
  <c r="AN45" i="5"/>
  <c r="Y4" i="8"/>
  <c r="E5" i="8"/>
  <c r="I5" i="8"/>
  <c r="O5" i="8"/>
  <c r="U5" i="8"/>
  <c r="E6" i="8"/>
  <c r="F6" i="8"/>
  <c r="G6" i="8"/>
  <c r="I6" i="8"/>
  <c r="J6" i="8"/>
  <c r="K6" i="8"/>
  <c r="L6" i="8"/>
  <c r="M6" i="8"/>
  <c r="O6" i="8"/>
  <c r="P6" i="8"/>
  <c r="Q6" i="8"/>
  <c r="R6" i="8"/>
  <c r="S6" i="8"/>
  <c r="U6" i="8"/>
  <c r="V6" i="8"/>
  <c r="W6" i="8"/>
  <c r="Y6" i="8"/>
  <c r="Y8" i="8"/>
  <c r="Y9" i="8"/>
  <c r="Y10" i="8"/>
  <c r="Y11" i="8"/>
  <c r="U5" i="3"/>
  <c r="AN5" i="3"/>
  <c r="AP6" i="3"/>
  <c r="C8" i="3"/>
  <c r="C9" i="3"/>
  <c r="C10" i="3"/>
  <c r="U10" i="3"/>
  <c r="BG10" i="3" s="1"/>
  <c r="C11" i="3"/>
  <c r="U11" i="3"/>
  <c r="C12" i="3"/>
  <c r="U12" i="3"/>
  <c r="BG12" i="3" s="1"/>
  <c r="C13" i="3"/>
  <c r="C14" i="3"/>
  <c r="C15" i="3"/>
  <c r="C16" i="3"/>
  <c r="C17" i="3"/>
  <c r="C18" i="3"/>
  <c r="C19" i="3"/>
  <c r="C20" i="3"/>
  <c r="C21" i="3"/>
  <c r="C22" i="3"/>
  <c r="C23" i="3"/>
  <c r="C24" i="3"/>
  <c r="U24" i="3"/>
  <c r="C25" i="3"/>
  <c r="U25" i="3"/>
  <c r="BG25" i="3" s="1"/>
  <c r="U26" i="3"/>
  <c r="C27" i="3"/>
  <c r="C28" i="3"/>
  <c r="U28" i="3"/>
  <c r="C29" i="3"/>
  <c r="C30" i="3"/>
  <c r="D30" i="3"/>
  <c r="AP30" i="3" s="1"/>
  <c r="D29" i="3"/>
  <c r="D27" i="3" s="1"/>
  <c r="E30" i="3"/>
  <c r="E29" i="3"/>
  <c r="E27" i="3"/>
  <c r="F30" i="3"/>
  <c r="F29" i="3"/>
  <c r="F27" i="3"/>
  <c r="G30" i="3"/>
  <c r="H30" i="3"/>
  <c r="H29" i="3" s="1"/>
  <c r="I30" i="3"/>
  <c r="I29" i="3"/>
  <c r="I27" i="3"/>
  <c r="J29" i="3"/>
  <c r="J27" i="3"/>
  <c r="O30" i="3"/>
  <c r="BA30" i="3" s="1"/>
  <c r="O29" i="3"/>
  <c r="O27" i="3" s="1"/>
  <c r="BA27" i="3" s="1"/>
  <c r="P30" i="3"/>
  <c r="P29" i="3"/>
  <c r="P27" i="3"/>
  <c r="Q30" i="3"/>
  <c r="Q29" i="3"/>
  <c r="Q27" i="3"/>
  <c r="R30" i="3"/>
  <c r="R29" i="3" s="1"/>
  <c r="S30" i="3"/>
  <c r="T30" i="3"/>
  <c r="T29" i="3"/>
  <c r="T27" i="3" s="1"/>
  <c r="C31" i="3"/>
  <c r="U31" i="3"/>
  <c r="U30" i="3"/>
  <c r="U29" i="3" s="1"/>
  <c r="C32" i="3"/>
  <c r="U32" i="3"/>
  <c r="C33" i="3"/>
  <c r="U33" i="3"/>
  <c r="C34" i="3"/>
  <c r="U34" i="3"/>
  <c r="C35" i="3"/>
  <c r="U35" i="3"/>
  <c r="BG35" i="3"/>
  <c r="C36" i="3"/>
  <c r="U36" i="3"/>
  <c r="BG36" i="3" s="1"/>
  <c r="C38" i="3"/>
  <c r="C39" i="3"/>
  <c r="C40" i="3"/>
  <c r="U40" i="3"/>
  <c r="AN40" i="3"/>
  <c r="C41" i="3"/>
  <c r="U41" i="3"/>
  <c r="AN41" i="3"/>
  <c r="C42" i="3"/>
  <c r="U42" i="3"/>
  <c r="AN42" i="3"/>
  <c r="Y4" i="2"/>
  <c r="E5" i="2"/>
  <c r="I5" i="2"/>
  <c r="O5" i="2"/>
  <c r="U5" i="2"/>
  <c r="E6" i="2"/>
  <c r="F6" i="2"/>
  <c r="G6" i="2"/>
  <c r="I6" i="2"/>
  <c r="J6" i="2"/>
  <c r="K6" i="2"/>
  <c r="L6" i="2"/>
  <c r="M6" i="2"/>
  <c r="O6" i="2"/>
  <c r="P6" i="2"/>
  <c r="Q6" i="2"/>
  <c r="R6" i="2"/>
  <c r="S6" i="2"/>
  <c r="U6" i="2"/>
  <c r="V6" i="2"/>
  <c r="W6" i="2"/>
  <c r="Y6" i="2"/>
  <c r="Y8" i="2"/>
  <c r="Y9" i="2"/>
  <c r="Y10" i="2"/>
  <c r="Y11" i="2"/>
  <c r="C2" i="1"/>
  <c r="C4" i="1"/>
  <c r="C6" i="1"/>
  <c r="K6" i="1"/>
  <c r="E7" i="1"/>
  <c r="G7" i="1"/>
  <c r="I7" i="1"/>
  <c r="J7" i="1"/>
  <c r="J8" i="1"/>
  <c r="K8" i="1"/>
  <c r="E9" i="1"/>
  <c r="F9" i="1"/>
  <c r="G9" i="1"/>
  <c r="H9" i="1"/>
  <c r="I9" i="1"/>
  <c r="J9" i="1"/>
  <c r="K9" i="1"/>
  <c r="D10" i="1"/>
  <c r="I10" i="1"/>
  <c r="J10" i="1"/>
  <c r="K10" i="1"/>
  <c r="D11" i="1"/>
  <c r="I11" i="1"/>
  <c r="J11" i="1"/>
  <c r="K11" i="1"/>
  <c r="D12" i="1"/>
  <c r="I12" i="1"/>
  <c r="J12" i="1"/>
  <c r="K12" i="1"/>
  <c r="D13" i="1"/>
  <c r="I13" i="1"/>
  <c r="J13" i="1"/>
  <c r="K13" i="1"/>
  <c r="D14" i="1"/>
  <c r="I14" i="1"/>
  <c r="J14" i="1"/>
  <c r="K14" i="1"/>
  <c r="D15" i="1"/>
  <c r="I15" i="1"/>
  <c r="J15" i="1"/>
  <c r="K15" i="1"/>
  <c r="D16" i="1"/>
  <c r="I16" i="1"/>
  <c r="J16" i="1"/>
  <c r="K16" i="1"/>
  <c r="D17" i="1"/>
  <c r="I17" i="1"/>
  <c r="J17" i="1"/>
  <c r="K17" i="1"/>
  <c r="D18" i="1"/>
  <c r="I18" i="1"/>
  <c r="J18" i="1"/>
  <c r="K18" i="1"/>
  <c r="D19" i="1"/>
  <c r="I19" i="1"/>
  <c r="J19" i="1"/>
  <c r="K19" i="1"/>
  <c r="D20" i="1"/>
  <c r="I20" i="1"/>
  <c r="J20" i="1"/>
  <c r="K20" i="1"/>
  <c r="D21" i="1"/>
  <c r="I21" i="1"/>
  <c r="J21" i="1"/>
  <c r="K21" i="1"/>
  <c r="D23" i="1"/>
  <c r="I23" i="1"/>
  <c r="J23" i="1"/>
  <c r="K23" i="1"/>
  <c r="D24" i="1"/>
  <c r="I24" i="1"/>
  <c r="J24" i="1"/>
  <c r="K24" i="1"/>
  <c r="D25" i="1"/>
  <c r="I25" i="1"/>
  <c r="J25" i="1"/>
  <c r="K25" i="1"/>
  <c r="D26" i="1"/>
  <c r="I26" i="1"/>
  <c r="J26" i="1"/>
  <c r="K26" i="1"/>
  <c r="D27" i="1"/>
  <c r="I27" i="1"/>
  <c r="J27" i="1"/>
  <c r="K27" i="1"/>
  <c r="D28" i="1"/>
  <c r="I28" i="1"/>
  <c r="J28" i="1"/>
  <c r="K28" i="1"/>
  <c r="D29" i="1"/>
  <c r="I29" i="1"/>
  <c r="J29" i="1"/>
  <c r="K29" i="1"/>
  <c r="D30" i="1"/>
  <c r="I30" i="1"/>
  <c r="J30" i="1"/>
  <c r="K30" i="1"/>
  <c r="D31" i="1"/>
  <c r="I31" i="1"/>
  <c r="J31" i="1"/>
  <c r="K31" i="1"/>
  <c r="D32" i="1"/>
  <c r="I32" i="1"/>
  <c r="J32" i="1"/>
  <c r="K32" i="1"/>
  <c r="D33" i="1"/>
  <c r="I33" i="1"/>
  <c r="J33" i="1"/>
  <c r="K33" i="1"/>
  <c r="D34" i="1"/>
  <c r="I34" i="1"/>
  <c r="J34" i="1"/>
  <c r="K34" i="1"/>
  <c r="D36" i="1"/>
  <c r="I36" i="1"/>
  <c r="J36" i="1"/>
  <c r="K36" i="1"/>
  <c r="D37" i="1"/>
  <c r="I37" i="1"/>
  <c r="J37" i="1"/>
  <c r="K37" i="1"/>
  <c r="D38" i="1"/>
  <c r="I38" i="1"/>
  <c r="J38" i="1"/>
  <c r="K38" i="1"/>
  <c r="D39" i="1"/>
  <c r="I39" i="1"/>
  <c r="J39" i="1"/>
  <c r="K39" i="1"/>
  <c r="D40" i="1"/>
  <c r="I40" i="1"/>
  <c r="J40" i="1"/>
  <c r="K40" i="1"/>
  <c r="D41" i="1"/>
  <c r="I41" i="1"/>
  <c r="J41" i="1"/>
  <c r="K41" i="1"/>
  <c r="D42" i="1"/>
  <c r="I42" i="1"/>
  <c r="J42" i="1"/>
  <c r="K42" i="1"/>
  <c r="D43" i="1"/>
  <c r="I43" i="1"/>
  <c r="J43" i="1"/>
  <c r="K43" i="1"/>
  <c r="D44" i="1"/>
  <c r="I44" i="1"/>
  <c r="J44" i="1"/>
  <c r="K44" i="1"/>
  <c r="D45" i="1"/>
  <c r="I45" i="1"/>
  <c r="J45" i="1"/>
  <c r="K45" i="1"/>
  <c r="D46" i="1"/>
  <c r="I46" i="1"/>
  <c r="J46" i="1"/>
  <c r="K46" i="1"/>
  <c r="D47" i="1"/>
  <c r="I47" i="1"/>
  <c r="J47" i="1"/>
  <c r="K47" i="1"/>
  <c r="D49" i="1"/>
  <c r="I49" i="1"/>
  <c r="J49" i="1"/>
  <c r="K49" i="1"/>
  <c r="D50" i="1"/>
  <c r="I50" i="1"/>
  <c r="J50" i="1"/>
  <c r="K50" i="1"/>
  <c r="D51" i="1"/>
  <c r="I51" i="1"/>
  <c r="J51" i="1"/>
  <c r="K51" i="1"/>
  <c r="D52" i="1"/>
  <c r="I52" i="1"/>
  <c r="J52" i="1"/>
  <c r="K52" i="1"/>
  <c r="D53" i="1"/>
  <c r="I53" i="1"/>
  <c r="J53" i="1"/>
  <c r="K53" i="1"/>
  <c r="D54" i="1"/>
  <c r="I54" i="1"/>
  <c r="J54" i="1"/>
  <c r="K54" i="1"/>
  <c r="D55" i="1"/>
  <c r="I55" i="1"/>
  <c r="J55" i="1"/>
  <c r="K55" i="1"/>
  <c r="D56" i="1"/>
  <c r="I56" i="1"/>
  <c r="J56" i="1"/>
  <c r="K56" i="1"/>
  <c r="D57" i="1"/>
  <c r="I57" i="1"/>
  <c r="J57" i="1"/>
  <c r="K57" i="1"/>
  <c r="D58" i="1"/>
  <c r="I58" i="1"/>
  <c r="J58" i="1"/>
  <c r="K58" i="1"/>
  <c r="D59" i="1"/>
  <c r="I59" i="1"/>
  <c r="J59" i="1"/>
  <c r="K59" i="1"/>
  <c r="D60" i="1"/>
  <c r="I60" i="1"/>
  <c r="J60" i="1"/>
  <c r="K60" i="1"/>
  <c r="D62" i="1"/>
  <c r="I62" i="1"/>
  <c r="J62" i="1"/>
  <c r="K62" i="1"/>
  <c r="D63" i="1"/>
  <c r="I63" i="1"/>
  <c r="J63" i="1"/>
  <c r="K63" i="1"/>
  <c r="D64" i="1"/>
  <c r="I64" i="1"/>
  <c r="J64" i="1"/>
  <c r="K64" i="1"/>
  <c r="D65" i="1"/>
  <c r="I65" i="1"/>
  <c r="J65" i="1"/>
  <c r="K65" i="1"/>
  <c r="D66" i="1"/>
  <c r="I66" i="1"/>
  <c r="J66" i="1"/>
  <c r="K66" i="1"/>
  <c r="D67" i="1"/>
  <c r="I67" i="1"/>
  <c r="J67" i="1"/>
  <c r="K67" i="1"/>
  <c r="D68" i="1"/>
  <c r="I68" i="1"/>
  <c r="J68" i="1"/>
  <c r="K68" i="1"/>
  <c r="D69" i="1"/>
  <c r="I69" i="1"/>
  <c r="J69" i="1"/>
  <c r="K69" i="1"/>
  <c r="D70" i="1"/>
  <c r="I70" i="1"/>
  <c r="J70" i="1"/>
  <c r="K70" i="1"/>
  <c r="D71" i="1"/>
  <c r="I71" i="1"/>
  <c r="J71" i="1"/>
  <c r="K71" i="1"/>
  <c r="D72" i="1"/>
  <c r="I72" i="1"/>
  <c r="J72" i="1"/>
  <c r="K72" i="1"/>
  <c r="D73" i="1"/>
  <c r="I73" i="1"/>
  <c r="J73" i="1"/>
  <c r="K73" i="1"/>
  <c r="D75" i="1"/>
  <c r="I75" i="1"/>
  <c r="J75" i="1"/>
  <c r="K75" i="1"/>
  <c r="D76" i="1"/>
  <c r="I76" i="1"/>
  <c r="J76" i="1"/>
  <c r="K76" i="1"/>
  <c r="D77" i="1"/>
  <c r="I77" i="1"/>
  <c r="J77" i="1"/>
  <c r="K77" i="1"/>
  <c r="D78" i="1"/>
  <c r="I78" i="1"/>
  <c r="J78" i="1"/>
  <c r="K78" i="1"/>
  <c r="D79" i="1"/>
  <c r="I79" i="1"/>
  <c r="J79" i="1"/>
  <c r="K79" i="1"/>
  <c r="D80" i="1"/>
  <c r="I80" i="1"/>
  <c r="J80" i="1"/>
  <c r="K80" i="1"/>
  <c r="D81" i="1"/>
  <c r="I81" i="1"/>
  <c r="J81" i="1"/>
  <c r="K81" i="1"/>
  <c r="D82" i="1"/>
  <c r="I82" i="1"/>
  <c r="J82" i="1"/>
  <c r="K82" i="1"/>
  <c r="D83" i="1"/>
  <c r="I83" i="1"/>
  <c r="J83" i="1"/>
  <c r="K83" i="1"/>
  <c r="D84" i="1"/>
  <c r="I84" i="1"/>
  <c r="J84" i="1"/>
  <c r="K84" i="1"/>
  <c r="D85" i="1"/>
  <c r="I85" i="1"/>
  <c r="J85" i="1"/>
  <c r="K85" i="1"/>
  <c r="D86" i="1"/>
  <c r="I86" i="1"/>
  <c r="J86" i="1"/>
  <c r="K86" i="1"/>
  <c r="C155" i="1"/>
  <c r="K155" i="1"/>
  <c r="E156" i="1"/>
  <c r="G156" i="1"/>
  <c r="I156" i="1"/>
  <c r="J156" i="1"/>
  <c r="J157" i="1"/>
  <c r="K157" i="1"/>
  <c r="E158" i="1"/>
  <c r="F158" i="1"/>
  <c r="G158" i="1"/>
  <c r="H158" i="1"/>
  <c r="I158" i="1"/>
  <c r="J158" i="1"/>
  <c r="K158" i="1"/>
  <c r="D159" i="1"/>
  <c r="I159" i="1"/>
  <c r="J159" i="1"/>
  <c r="K159" i="1"/>
  <c r="D160" i="1"/>
  <c r="I160" i="1"/>
  <c r="J160" i="1"/>
  <c r="K160" i="1"/>
  <c r="D161" i="1"/>
  <c r="I161" i="1"/>
  <c r="J161" i="1"/>
  <c r="K161" i="1"/>
  <c r="D162" i="1"/>
  <c r="I162" i="1"/>
  <c r="J162" i="1"/>
  <c r="K162" i="1"/>
  <c r="D163" i="1"/>
  <c r="I163" i="1"/>
  <c r="J163" i="1"/>
  <c r="K163" i="1"/>
  <c r="D164" i="1"/>
  <c r="I164" i="1"/>
  <c r="J164" i="1"/>
  <c r="K164" i="1"/>
  <c r="D165" i="1"/>
  <c r="I165" i="1"/>
  <c r="J165" i="1"/>
  <c r="K165" i="1"/>
  <c r="D166" i="1"/>
  <c r="I166" i="1"/>
  <c r="J166" i="1"/>
  <c r="K166" i="1"/>
  <c r="D167" i="1"/>
  <c r="I167" i="1"/>
  <c r="J167" i="1"/>
  <c r="K167" i="1"/>
  <c r="D168" i="1"/>
  <c r="I168" i="1"/>
  <c r="J168" i="1"/>
  <c r="K168" i="1"/>
  <c r="D169" i="1"/>
  <c r="I169" i="1"/>
  <c r="J169" i="1"/>
  <c r="K169" i="1"/>
  <c r="D170" i="1"/>
  <c r="I170" i="1"/>
  <c r="J170" i="1"/>
  <c r="K170" i="1"/>
  <c r="D172" i="1"/>
  <c r="I172" i="1"/>
  <c r="J172" i="1"/>
  <c r="K172" i="1"/>
  <c r="D173" i="1"/>
  <c r="I173" i="1"/>
  <c r="J173" i="1"/>
  <c r="K173" i="1"/>
  <c r="D174" i="1"/>
  <c r="I174" i="1"/>
  <c r="J174" i="1"/>
  <c r="K174" i="1"/>
  <c r="D175" i="1"/>
  <c r="I175" i="1"/>
  <c r="J175" i="1"/>
  <c r="K175" i="1"/>
  <c r="D176" i="1"/>
  <c r="I176" i="1"/>
  <c r="J176" i="1"/>
  <c r="K176" i="1"/>
  <c r="D177" i="1"/>
  <c r="I177" i="1"/>
  <c r="J177" i="1"/>
  <c r="K177" i="1"/>
  <c r="D178" i="1"/>
  <c r="I178" i="1"/>
  <c r="J178" i="1"/>
  <c r="K178" i="1"/>
  <c r="D179" i="1"/>
  <c r="I179" i="1"/>
  <c r="J179" i="1"/>
  <c r="K179" i="1"/>
  <c r="D180" i="1"/>
  <c r="I180" i="1"/>
  <c r="J180" i="1"/>
  <c r="K180" i="1"/>
  <c r="D181" i="1"/>
  <c r="I181" i="1"/>
  <c r="J181" i="1"/>
  <c r="K181" i="1"/>
  <c r="D182" i="1"/>
  <c r="I182" i="1"/>
  <c r="J182" i="1"/>
  <c r="K182" i="1"/>
  <c r="D183" i="1"/>
  <c r="I183" i="1"/>
  <c r="J183" i="1"/>
  <c r="K183" i="1"/>
  <c r="D185" i="1"/>
  <c r="I185" i="1"/>
  <c r="J185" i="1"/>
  <c r="K185" i="1"/>
  <c r="D186" i="1"/>
  <c r="I186" i="1"/>
  <c r="J186" i="1"/>
  <c r="K186" i="1"/>
  <c r="D187" i="1"/>
  <c r="I187" i="1"/>
  <c r="J187" i="1"/>
  <c r="K187" i="1"/>
  <c r="D188" i="1"/>
  <c r="I188" i="1"/>
  <c r="J188" i="1"/>
  <c r="K188" i="1"/>
  <c r="D189" i="1"/>
  <c r="I189" i="1"/>
  <c r="J189" i="1"/>
  <c r="K189" i="1"/>
  <c r="D190" i="1"/>
  <c r="I190" i="1"/>
  <c r="J190" i="1"/>
  <c r="K190" i="1"/>
  <c r="D191" i="1"/>
  <c r="I191" i="1"/>
  <c r="J191" i="1"/>
  <c r="K191" i="1"/>
  <c r="D192" i="1"/>
  <c r="I192" i="1"/>
  <c r="J192" i="1"/>
  <c r="K192" i="1"/>
  <c r="D193" i="1"/>
  <c r="I193" i="1"/>
  <c r="J193" i="1"/>
  <c r="K193" i="1"/>
  <c r="D194" i="1"/>
  <c r="I194" i="1"/>
  <c r="J194" i="1"/>
  <c r="K194" i="1"/>
  <c r="D195" i="1"/>
  <c r="I195" i="1"/>
  <c r="J195" i="1"/>
  <c r="K195" i="1"/>
  <c r="D196" i="1"/>
  <c r="I196" i="1"/>
  <c r="J196" i="1"/>
  <c r="K196" i="1"/>
  <c r="D198" i="1"/>
  <c r="I198" i="1"/>
  <c r="J198" i="1"/>
  <c r="K198" i="1"/>
  <c r="D199" i="1"/>
  <c r="I199" i="1"/>
  <c r="J199" i="1"/>
  <c r="K199" i="1"/>
  <c r="D200" i="1"/>
  <c r="I200" i="1"/>
  <c r="J200" i="1"/>
  <c r="K200" i="1"/>
  <c r="D201" i="1"/>
  <c r="I201" i="1"/>
  <c r="J201" i="1"/>
  <c r="K201" i="1"/>
  <c r="D202" i="1"/>
  <c r="I202" i="1"/>
  <c r="J202" i="1"/>
  <c r="K202" i="1"/>
  <c r="D203" i="1"/>
  <c r="I203" i="1"/>
  <c r="J203" i="1"/>
  <c r="K203" i="1"/>
  <c r="D204" i="1"/>
  <c r="I204" i="1"/>
  <c r="J204" i="1"/>
  <c r="K204" i="1"/>
  <c r="D205" i="1"/>
  <c r="I205" i="1"/>
  <c r="J205" i="1"/>
  <c r="K205" i="1"/>
  <c r="D206" i="1"/>
  <c r="I206" i="1"/>
  <c r="J206" i="1"/>
  <c r="K206" i="1"/>
  <c r="D207" i="1"/>
  <c r="I207" i="1"/>
  <c r="J207" i="1"/>
  <c r="K207" i="1"/>
  <c r="D208" i="1"/>
  <c r="I208" i="1"/>
  <c r="J208" i="1"/>
  <c r="K208" i="1"/>
  <c r="D209" i="1"/>
  <c r="I209" i="1"/>
  <c r="J209" i="1"/>
  <c r="K209" i="1"/>
  <c r="D211" i="1"/>
  <c r="I211" i="1"/>
  <c r="J211" i="1"/>
  <c r="K211" i="1"/>
  <c r="D212" i="1"/>
  <c r="I212" i="1"/>
  <c r="J212" i="1"/>
  <c r="K212" i="1"/>
  <c r="D213" i="1"/>
  <c r="I213" i="1"/>
  <c r="J213" i="1"/>
  <c r="K213" i="1"/>
  <c r="D214" i="1"/>
  <c r="I214" i="1"/>
  <c r="J214" i="1"/>
  <c r="K214" i="1"/>
  <c r="D215" i="1"/>
  <c r="I215" i="1"/>
  <c r="J215" i="1"/>
  <c r="K215" i="1"/>
  <c r="D216" i="1"/>
  <c r="I216" i="1"/>
  <c r="J216" i="1"/>
  <c r="K216" i="1"/>
  <c r="D217" i="1"/>
  <c r="I217" i="1"/>
  <c r="J217" i="1"/>
  <c r="K217" i="1"/>
  <c r="D218" i="1"/>
  <c r="I218" i="1"/>
  <c r="J218" i="1"/>
  <c r="K218" i="1"/>
  <c r="D219" i="1"/>
  <c r="I219" i="1"/>
  <c r="J219" i="1"/>
  <c r="K219" i="1"/>
  <c r="D220" i="1"/>
  <c r="I220" i="1"/>
  <c r="J220" i="1"/>
  <c r="K220" i="1"/>
  <c r="D221" i="1"/>
  <c r="I221" i="1"/>
  <c r="J221" i="1"/>
  <c r="K221" i="1"/>
  <c r="D222" i="1"/>
  <c r="I222" i="1"/>
  <c r="J222" i="1"/>
  <c r="K222" i="1"/>
  <c r="D224" i="1"/>
  <c r="I224" i="1"/>
  <c r="J224" i="1"/>
  <c r="K224" i="1"/>
  <c r="D225" i="1"/>
  <c r="I225" i="1"/>
  <c r="J225" i="1"/>
  <c r="K225" i="1"/>
  <c r="D226" i="1"/>
  <c r="I226" i="1"/>
  <c r="J226" i="1"/>
  <c r="K226" i="1"/>
  <c r="D227" i="1"/>
  <c r="I227" i="1"/>
  <c r="J227" i="1"/>
  <c r="K227" i="1"/>
  <c r="D228" i="1"/>
  <c r="I228" i="1"/>
  <c r="J228" i="1"/>
  <c r="K228" i="1"/>
  <c r="D229" i="1"/>
  <c r="I229" i="1"/>
  <c r="J229" i="1"/>
  <c r="K229" i="1"/>
  <c r="D230" i="1"/>
  <c r="I230" i="1"/>
  <c r="J230" i="1"/>
  <c r="K230" i="1"/>
  <c r="D231" i="1"/>
  <c r="I231" i="1"/>
  <c r="J231" i="1"/>
  <c r="K231" i="1"/>
  <c r="D232" i="1"/>
  <c r="I232" i="1"/>
  <c r="J232" i="1"/>
  <c r="K232" i="1"/>
  <c r="D233" i="1"/>
  <c r="I233" i="1"/>
  <c r="J233" i="1"/>
  <c r="K233" i="1"/>
  <c r="D234" i="1"/>
  <c r="I234" i="1"/>
  <c r="J234" i="1"/>
  <c r="K234" i="1"/>
  <c r="D235" i="1"/>
  <c r="I235" i="1"/>
  <c r="J235" i="1"/>
  <c r="K235" i="1"/>
  <c r="D250" i="1"/>
  <c r="I250" i="1"/>
  <c r="J250" i="1"/>
  <c r="K250" i="1"/>
  <c r="D251" i="1"/>
  <c r="I251" i="1"/>
  <c r="J251" i="1"/>
  <c r="K251" i="1"/>
  <c r="D252" i="1"/>
  <c r="I252" i="1"/>
  <c r="J252" i="1"/>
  <c r="K252" i="1"/>
  <c r="D253" i="1"/>
  <c r="I253" i="1"/>
  <c r="J253" i="1"/>
  <c r="K253" i="1"/>
  <c r="D254" i="1"/>
  <c r="I254" i="1"/>
  <c r="J254" i="1"/>
  <c r="K254" i="1"/>
  <c r="D255" i="1"/>
  <c r="I255" i="1"/>
  <c r="J255" i="1"/>
  <c r="K255" i="1"/>
  <c r="D256" i="1"/>
  <c r="I256" i="1"/>
  <c r="J256" i="1"/>
  <c r="K256" i="1"/>
  <c r="D257" i="1"/>
  <c r="I257" i="1"/>
  <c r="J257" i="1"/>
  <c r="K257" i="1"/>
  <c r="D258" i="1"/>
  <c r="I258" i="1"/>
  <c r="J258" i="1"/>
  <c r="K258" i="1"/>
  <c r="D259" i="1"/>
  <c r="J259" i="1"/>
  <c r="K259" i="1"/>
  <c r="D260" i="1"/>
  <c r="I260" i="1"/>
  <c r="J260" i="1"/>
  <c r="K260" i="1"/>
  <c r="D261" i="1"/>
  <c r="I261" i="1"/>
  <c r="J261" i="1"/>
  <c r="K261" i="1"/>
  <c r="D314" i="1"/>
  <c r="I314" i="1"/>
  <c r="D315" i="1"/>
  <c r="I315" i="1"/>
  <c r="D316" i="1"/>
  <c r="I316" i="1"/>
  <c r="D317" i="1"/>
  <c r="D318" i="1"/>
  <c r="I318" i="1"/>
  <c r="D320" i="1"/>
  <c r="I320" i="1"/>
  <c r="J320" i="1"/>
  <c r="K320" i="1"/>
  <c r="D321" i="1"/>
  <c r="I321" i="1"/>
  <c r="J321" i="1"/>
  <c r="K321" i="1"/>
  <c r="D322" i="1"/>
  <c r="I322" i="1"/>
  <c r="J322" i="1"/>
  <c r="K322" i="1"/>
  <c r="D323" i="1"/>
  <c r="I323" i="1"/>
  <c r="J323" i="1"/>
  <c r="K323" i="1"/>
  <c r="D324" i="1"/>
  <c r="I324" i="1"/>
  <c r="J324" i="1"/>
  <c r="K324" i="1"/>
  <c r="D325" i="1"/>
  <c r="I325" i="1"/>
  <c r="J325" i="1"/>
  <c r="K325" i="1"/>
  <c r="D326" i="1"/>
  <c r="I326" i="1"/>
  <c r="J326" i="1"/>
  <c r="K326" i="1"/>
  <c r="D327" i="1"/>
  <c r="I327" i="1"/>
  <c r="J327" i="1"/>
  <c r="K327" i="1"/>
  <c r="D328" i="1"/>
  <c r="I328" i="1"/>
  <c r="J328" i="1"/>
  <c r="K328" i="1"/>
  <c r="D329" i="1"/>
  <c r="I329" i="1"/>
  <c r="J329" i="1"/>
  <c r="K329" i="1"/>
  <c r="D330" i="1"/>
  <c r="I330" i="1"/>
  <c r="J330" i="1"/>
  <c r="K330" i="1"/>
  <c r="D331" i="1"/>
  <c r="I331" i="1"/>
  <c r="J331" i="1"/>
  <c r="K331" i="1"/>
  <c r="D333" i="1"/>
  <c r="I333" i="1"/>
  <c r="J333" i="1"/>
  <c r="K333" i="1"/>
  <c r="D334" i="1"/>
  <c r="I334" i="1"/>
  <c r="J334" i="1"/>
  <c r="K334" i="1"/>
  <c r="D335" i="1"/>
  <c r="I335" i="1"/>
  <c r="J335" i="1"/>
  <c r="K335" i="1"/>
  <c r="D336" i="1"/>
  <c r="I336" i="1"/>
  <c r="J336" i="1"/>
  <c r="K336" i="1"/>
  <c r="D337" i="1"/>
  <c r="I337" i="1"/>
  <c r="J337" i="1"/>
  <c r="K337" i="1"/>
  <c r="D338" i="1"/>
  <c r="I338" i="1"/>
  <c r="J338" i="1"/>
  <c r="K338" i="1"/>
  <c r="D339" i="1"/>
  <c r="I339" i="1"/>
  <c r="J339" i="1"/>
  <c r="K339" i="1"/>
  <c r="D340" i="1"/>
  <c r="I340" i="1"/>
  <c r="J340" i="1"/>
  <c r="K340" i="1"/>
  <c r="D341" i="1"/>
  <c r="I341" i="1"/>
  <c r="J341" i="1"/>
  <c r="K341" i="1"/>
  <c r="D342" i="1"/>
  <c r="I342" i="1"/>
  <c r="J342" i="1"/>
  <c r="K342" i="1"/>
  <c r="D343" i="1"/>
  <c r="I343" i="1"/>
  <c r="J343" i="1"/>
  <c r="K343" i="1"/>
  <c r="D344" i="1"/>
  <c r="I344" i="1"/>
  <c r="J344" i="1"/>
  <c r="K344" i="1"/>
  <c r="D359" i="1"/>
  <c r="I359" i="1"/>
  <c r="J359" i="1"/>
  <c r="K359" i="1"/>
  <c r="D360" i="1"/>
  <c r="I360" i="1"/>
  <c r="J360" i="1"/>
  <c r="K360" i="1"/>
  <c r="D361" i="1"/>
  <c r="I361" i="1"/>
  <c r="J361" i="1"/>
  <c r="K361" i="1"/>
  <c r="D362" i="1"/>
  <c r="I362" i="1"/>
  <c r="J362" i="1"/>
  <c r="K362" i="1"/>
  <c r="D363" i="1"/>
  <c r="I363" i="1"/>
  <c r="J363" i="1"/>
  <c r="K363" i="1"/>
  <c r="D364" i="1"/>
  <c r="I364" i="1"/>
  <c r="J364" i="1"/>
  <c r="K364" i="1"/>
  <c r="D365" i="1"/>
  <c r="I365" i="1"/>
  <c r="J365" i="1"/>
  <c r="K365" i="1"/>
  <c r="D366" i="1"/>
  <c r="I366" i="1"/>
  <c r="J366" i="1"/>
  <c r="K366" i="1"/>
  <c r="D367" i="1"/>
  <c r="I367" i="1"/>
  <c r="J367" i="1"/>
  <c r="K367" i="1"/>
  <c r="D368" i="1"/>
  <c r="I368" i="1"/>
  <c r="J368" i="1"/>
  <c r="K368" i="1"/>
  <c r="D369" i="1"/>
  <c r="I369" i="1"/>
  <c r="J369" i="1"/>
  <c r="K369" i="1"/>
  <c r="D370" i="1"/>
  <c r="I370" i="1"/>
  <c r="J370" i="1"/>
  <c r="K370" i="1"/>
  <c r="C412" i="1"/>
  <c r="K412" i="1"/>
  <c r="E413" i="1"/>
  <c r="G413" i="1"/>
  <c r="I413" i="1"/>
  <c r="J413" i="1"/>
  <c r="J414" i="1"/>
  <c r="K414" i="1"/>
  <c r="E415" i="1"/>
  <c r="F415" i="1"/>
  <c r="G415" i="1"/>
  <c r="H415" i="1"/>
  <c r="I415" i="1"/>
  <c r="J415" i="1"/>
  <c r="K415" i="1"/>
  <c r="D416" i="1"/>
  <c r="I416" i="1"/>
  <c r="J416" i="1"/>
  <c r="K416" i="1"/>
  <c r="D417" i="1"/>
  <c r="I417" i="1"/>
  <c r="J417" i="1"/>
  <c r="K417" i="1"/>
  <c r="D418" i="1"/>
  <c r="I418" i="1"/>
  <c r="J418" i="1"/>
  <c r="K418" i="1"/>
  <c r="D419" i="1"/>
  <c r="I419" i="1"/>
  <c r="J419" i="1"/>
  <c r="K419" i="1"/>
  <c r="D420" i="1"/>
  <c r="I420" i="1"/>
  <c r="J420" i="1"/>
  <c r="K420" i="1"/>
  <c r="D421" i="1"/>
  <c r="I421" i="1"/>
  <c r="J421" i="1"/>
  <c r="K421" i="1"/>
  <c r="D422" i="1"/>
  <c r="I422" i="1"/>
  <c r="J422" i="1"/>
  <c r="K422" i="1"/>
  <c r="D423" i="1"/>
  <c r="I423" i="1"/>
  <c r="J423" i="1"/>
  <c r="K423" i="1"/>
  <c r="D424" i="1"/>
  <c r="I424" i="1"/>
  <c r="J424" i="1"/>
  <c r="K424" i="1"/>
  <c r="D425" i="1"/>
  <c r="I425" i="1"/>
  <c r="J425" i="1"/>
  <c r="K425" i="1"/>
  <c r="D426" i="1"/>
  <c r="I426" i="1"/>
  <c r="J426" i="1"/>
  <c r="K426" i="1"/>
  <c r="D427" i="1"/>
  <c r="I427" i="1"/>
  <c r="J427" i="1"/>
  <c r="K427" i="1"/>
  <c r="D429" i="1"/>
  <c r="I429" i="1"/>
  <c r="J429" i="1"/>
  <c r="K429" i="1"/>
  <c r="D430" i="1"/>
  <c r="I430" i="1"/>
  <c r="J430" i="1"/>
  <c r="K430" i="1"/>
  <c r="D431" i="1"/>
  <c r="I431" i="1"/>
  <c r="J431" i="1"/>
  <c r="K431" i="1"/>
  <c r="D432" i="1"/>
  <c r="I432" i="1"/>
  <c r="J432" i="1"/>
  <c r="K432" i="1"/>
  <c r="D433" i="1"/>
  <c r="I433" i="1"/>
  <c r="J433" i="1"/>
  <c r="K433" i="1"/>
  <c r="D434" i="1"/>
  <c r="I434" i="1"/>
  <c r="J434" i="1"/>
  <c r="K434" i="1"/>
  <c r="D435" i="1"/>
  <c r="I435" i="1"/>
  <c r="J435" i="1"/>
  <c r="K435" i="1"/>
  <c r="D436" i="1"/>
  <c r="I436" i="1"/>
  <c r="J436" i="1"/>
  <c r="K436" i="1"/>
  <c r="D437" i="1"/>
  <c r="I437" i="1"/>
  <c r="J437" i="1"/>
  <c r="K437" i="1"/>
  <c r="D438" i="1"/>
  <c r="I438" i="1"/>
  <c r="J438" i="1"/>
  <c r="K438" i="1"/>
  <c r="D439" i="1"/>
  <c r="I439" i="1"/>
  <c r="J439" i="1"/>
  <c r="K439" i="1"/>
  <c r="D440" i="1"/>
  <c r="I440" i="1"/>
  <c r="J440" i="1"/>
  <c r="K440" i="1"/>
  <c r="D442" i="1"/>
  <c r="I442" i="1"/>
  <c r="J442" i="1"/>
  <c r="K442" i="1"/>
  <c r="D443" i="1"/>
  <c r="I443" i="1"/>
  <c r="J443" i="1"/>
  <c r="K443" i="1"/>
  <c r="D444" i="1"/>
  <c r="I444" i="1"/>
  <c r="J444" i="1"/>
  <c r="K444" i="1"/>
  <c r="D445" i="1"/>
  <c r="I445" i="1"/>
  <c r="J445" i="1"/>
  <c r="K445" i="1"/>
  <c r="D446" i="1"/>
  <c r="I446" i="1"/>
  <c r="J446" i="1"/>
  <c r="K446" i="1"/>
  <c r="D447" i="1"/>
  <c r="I447" i="1"/>
  <c r="J447" i="1"/>
  <c r="K447" i="1"/>
  <c r="D448" i="1"/>
  <c r="I448" i="1"/>
  <c r="J448" i="1"/>
  <c r="K448" i="1"/>
  <c r="D449" i="1"/>
  <c r="I449" i="1"/>
  <c r="J449" i="1"/>
  <c r="K449" i="1"/>
  <c r="D450" i="1"/>
  <c r="I450" i="1"/>
  <c r="J450" i="1"/>
  <c r="K450" i="1"/>
  <c r="D451" i="1"/>
  <c r="I451" i="1"/>
  <c r="J451" i="1"/>
  <c r="K451" i="1"/>
  <c r="D452" i="1"/>
  <c r="I452" i="1"/>
  <c r="J452" i="1"/>
  <c r="K452" i="1"/>
  <c r="D453" i="1"/>
  <c r="D455" i="1"/>
  <c r="I455" i="1"/>
  <c r="J455" i="1"/>
  <c r="K455" i="1"/>
  <c r="D456" i="1"/>
  <c r="I456" i="1"/>
  <c r="J456" i="1"/>
  <c r="K456" i="1"/>
  <c r="D457" i="1"/>
  <c r="I457" i="1"/>
  <c r="J457" i="1"/>
  <c r="K457" i="1"/>
  <c r="D458" i="1"/>
  <c r="I458" i="1"/>
  <c r="J458" i="1"/>
  <c r="K458" i="1"/>
  <c r="D459" i="1"/>
  <c r="I459" i="1"/>
  <c r="J459" i="1"/>
  <c r="K459" i="1"/>
  <c r="D460" i="1"/>
  <c r="I460" i="1"/>
  <c r="J460" i="1"/>
  <c r="K460" i="1"/>
  <c r="D461" i="1"/>
  <c r="I461" i="1"/>
  <c r="J461" i="1"/>
  <c r="K461" i="1"/>
  <c r="D462" i="1"/>
  <c r="I462" i="1"/>
  <c r="J462" i="1"/>
  <c r="K462" i="1"/>
  <c r="D463" i="1"/>
  <c r="I463" i="1"/>
  <c r="J463" i="1"/>
  <c r="K463" i="1"/>
  <c r="D464" i="1"/>
  <c r="I464" i="1"/>
  <c r="J464" i="1"/>
  <c r="K464" i="1"/>
  <c r="D465" i="1"/>
  <c r="I465" i="1"/>
  <c r="J465" i="1"/>
  <c r="K465" i="1"/>
  <c r="D466" i="1"/>
  <c r="I466" i="1"/>
  <c r="J466" i="1"/>
  <c r="K466" i="1"/>
  <c r="D468" i="1"/>
  <c r="I468" i="1"/>
  <c r="J468" i="1"/>
  <c r="K468" i="1"/>
  <c r="D469" i="1"/>
  <c r="I469" i="1"/>
  <c r="J469" i="1"/>
  <c r="K469" i="1"/>
  <c r="D470" i="1"/>
  <c r="I470" i="1"/>
  <c r="J470" i="1"/>
  <c r="K470" i="1"/>
  <c r="D471" i="1"/>
  <c r="I471" i="1"/>
  <c r="J471" i="1"/>
  <c r="K471" i="1"/>
  <c r="D472" i="1"/>
  <c r="I472" i="1"/>
  <c r="J472" i="1"/>
  <c r="K472" i="1"/>
  <c r="D473" i="1"/>
  <c r="I473" i="1"/>
  <c r="J473" i="1"/>
  <c r="K473" i="1"/>
  <c r="D474" i="1"/>
  <c r="I474" i="1"/>
  <c r="J474" i="1"/>
  <c r="K474" i="1"/>
  <c r="D475" i="1"/>
  <c r="I475" i="1"/>
  <c r="J475" i="1"/>
  <c r="K475" i="1"/>
  <c r="D476" i="1"/>
  <c r="I476" i="1"/>
  <c r="J476" i="1"/>
  <c r="K476" i="1"/>
  <c r="D477" i="1"/>
  <c r="I477" i="1"/>
  <c r="J477" i="1"/>
  <c r="K477" i="1"/>
  <c r="D478" i="1"/>
  <c r="I478" i="1"/>
  <c r="J478" i="1"/>
  <c r="K478" i="1"/>
  <c r="D479" i="1"/>
  <c r="I479" i="1"/>
  <c r="J479" i="1"/>
  <c r="K479" i="1"/>
  <c r="D481" i="1"/>
  <c r="I481" i="1"/>
  <c r="J481" i="1"/>
  <c r="K481" i="1"/>
  <c r="D482" i="1"/>
  <c r="I482" i="1"/>
  <c r="J482" i="1"/>
  <c r="K482" i="1"/>
  <c r="D483" i="1"/>
  <c r="I483" i="1"/>
  <c r="J483" i="1"/>
  <c r="K483" i="1"/>
  <c r="D484" i="1"/>
  <c r="I484" i="1"/>
  <c r="J484" i="1"/>
  <c r="K484" i="1"/>
  <c r="D485" i="1"/>
  <c r="I485" i="1"/>
  <c r="J485" i="1"/>
  <c r="K485" i="1"/>
  <c r="D486" i="1"/>
  <c r="I486" i="1"/>
  <c r="J486" i="1"/>
  <c r="K486" i="1"/>
  <c r="D487" i="1"/>
  <c r="I487" i="1"/>
  <c r="J487" i="1"/>
  <c r="K487" i="1"/>
  <c r="D488" i="1"/>
  <c r="I488" i="1"/>
  <c r="J488" i="1"/>
  <c r="K488" i="1"/>
  <c r="D489" i="1"/>
  <c r="I489" i="1"/>
  <c r="J489" i="1"/>
  <c r="K489" i="1"/>
  <c r="D490" i="1"/>
  <c r="I490" i="1"/>
  <c r="J490" i="1"/>
  <c r="K490" i="1"/>
  <c r="D491" i="1"/>
  <c r="I491" i="1"/>
  <c r="J491" i="1"/>
  <c r="K491" i="1"/>
  <c r="D492" i="1"/>
  <c r="I492" i="1"/>
  <c r="J492" i="1"/>
  <c r="K492" i="1"/>
  <c r="D507" i="1"/>
  <c r="I507" i="1"/>
  <c r="J507" i="1"/>
  <c r="K507" i="1"/>
  <c r="D508" i="1"/>
  <c r="I508" i="1"/>
  <c r="J508" i="1"/>
  <c r="K508" i="1"/>
  <c r="D509" i="1"/>
  <c r="I509" i="1"/>
  <c r="J509" i="1"/>
  <c r="K509" i="1"/>
  <c r="D510" i="1"/>
  <c r="I510" i="1"/>
  <c r="J510" i="1"/>
  <c r="K510" i="1"/>
  <c r="D511" i="1"/>
  <c r="I511" i="1"/>
  <c r="J511" i="1"/>
  <c r="K511" i="1"/>
  <c r="D512" i="1"/>
  <c r="I512" i="1"/>
  <c r="J512" i="1"/>
  <c r="K512" i="1"/>
  <c r="D513" i="1"/>
  <c r="I513" i="1"/>
  <c r="J513" i="1"/>
  <c r="K513" i="1"/>
  <c r="D514" i="1"/>
  <c r="I514" i="1"/>
  <c r="J514" i="1"/>
  <c r="K514" i="1"/>
  <c r="D515" i="1"/>
  <c r="I515" i="1"/>
  <c r="J515" i="1"/>
  <c r="K515" i="1"/>
  <c r="D516" i="1"/>
  <c r="I516" i="1"/>
  <c r="J516" i="1"/>
  <c r="K516" i="1"/>
  <c r="D517" i="1"/>
  <c r="I517" i="1"/>
  <c r="J517" i="1"/>
  <c r="K517" i="1"/>
  <c r="D518" i="1"/>
  <c r="I518" i="1"/>
  <c r="J518" i="1"/>
  <c r="K518" i="1"/>
  <c r="C561" i="1"/>
  <c r="K561" i="1"/>
  <c r="E562" i="1"/>
  <c r="G562" i="1"/>
  <c r="I562" i="1"/>
  <c r="J562" i="1"/>
  <c r="J563" i="1"/>
  <c r="K563" i="1"/>
  <c r="E564" i="1"/>
  <c r="F564" i="1"/>
  <c r="G564" i="1"/>
  <c r="H564" i="1"/>
  <c r="I564" i="1"/>
  <c r="J564" i="1"/>
  <c r="K564" i="1"/>
  <c r="D565" i="1"/>
  <c r="I565" i="1"/>
  <c r="J565" i="1"/>
  <c r="K565" i="1"/>
  <c r="D566" i="1"/>
  <c r="I566" i="1"/>
  <c r="J566" i="1"/>
  <c r="K566" i="1"/>
  <c r="D567" i="1"/>
  <c r="I567" i="1"/>
  <c r="J567" i="1"/>
  <c r="K567" i="1"/>
  <c r="D568" i="1"/>
  <c r="I568" i="1"/>
  <c r="J568" i="1"/>
  <c r="K568" i="1"/>
  <c r="D570" i="1"/>
  <c r="E570" i="1"/>
  <c r="J570" i="1"/>
  <c r="G570" i="1"/>
  <c r="K570" i="1" s="1"/>
  <c r="I570" i="1"/>
  <c r="D571" i="1"/>
  <c r="E571" i="1"/>
  <c r="J571" i="1" s="1"/>
  <c r="G571" i="1"/>
  <c r="K571" i="1" s="1"/>
  <c r="I571" i="1"/>
  <c r="D572" i="1"/>
  <c r="E572" i="1"/>
  <c r="J572" i="1" s="1"/>
  <c r="G572" i="1"/>
  <c r="K572" i="1" s="1"/>
  <c r="I572" i="1"/>
  <c r="D573" i="1"/>
  <c r="E573" i="1"/>
  <c r="J573" i="1" s="1"/>
  <c r="G573" i="1"/>
  <c r="K573" i="1"/>
  <c r="I573" i="1"/>
  <c r="D575" i="1"/>
  <c r="E575" i="1"/>
  <c r="J575" i="1"/>
  <c r="G575" i="1"/>
  <c r="K575" i="1" s="1"/>
  <c r="I575" i="1"/>
  <c r="D576" i="1"/>
  <c r="E576" i="1"/>
  <c r="J576" i="1" s="1"/>
  <c r="G576" i="1"/>
  <c r="K576" i="1" s="1"/>
  <c r="I576" i="1"/>
  <c r="D577" i="1"/>
  <c r="E577" i="1"/>
  <c r="J577" i="1" s="1"/>
  <c r="G577" i="1"/>
  <c r="K577" i="1" s="1"/>
  <c r="I577" i="1"/>
  <c r="D578" i="1"/>
  <c r="E578" i="1"/>
  <c r="J578" i="1" s="1"/>
  <c r="G578" i="1"/>
  <c r="K578" i="1"/>
  <c r="I578" i="1"/>
  <c r="D580" i="1"/>
  <c r="I580" i="1"/>
  <c r="J580" i="1"/>
  <c r="K580" i="1"/>
  <c r="D581" i="1"/>
  <c r="I581" i="1"/>
  <c r="J581" i="1"/>
  <c r="K581" i="1"/>
  <c r="D582" i="1"/>
  <c r="E582" i="1"/>
  <c r="J582" i="1"/>
  <c r="G582" i="1"/>
  <c r="K582" i="1" s="1"/>
  <c r="I582" i="1"/>
  <c r="D583" i="1"/>
  <c r="I583" i="1"/>
  <c r="D584" i="1"/>
  <c r="I584" i="1"/>
  <c r="D585" i="1"/>
  <c r="E585" i="1"/>
  <c r="J585" i="1" s="1"/>
  <c r="G585" i="1"/>
  <c r="K585" i="1" s="1"/>
  <c r="I585" i="1"/>
  <c r="D586" i="1"/>
  <c r="I586" i="1"/>
  <c r="D587" i="1"/>
  <c r="I587" i="1"/>
  <c r="D588" i="1"/>
  <c r="E588" i="1"/>
  <c r="J588" i="1" s="1"/>
  <c r="G588" i="1"/>
  <c r="K588" i="1" s="1"/>
  <c r="I588" i="1"/>
  <c r="D589" i="1"/>
  <c r="I589" i="1"/>
  <c r="J589" i="1"/>
  <c r="K589" i="1"/>
  <c r="D590" i="1"/>
  <c r="I590" i="1"/>
  <c r="D591" i="1"/>
  <c r="E591" i="1"/>
  <c r="J591" i="1"/>
  <c r="G591" i="1"/>
  <c r="K591" i="1" s="1"/>
  <c r="I591" i="1"/>
  <c r="D593" i="1"/>
  <c r="E593" i="1"/>
  <c r="J593" i="1" s="1"/>
  <c r="G593" i="1"/>
  <c r="K593" i="1"/>
  <c r="I593" i="1"/>
  <c r="D594" i="1"/>
  <c r="E594" i="1"/>
  <c r="J594" i="1"/>
  <c r="G594" i="1"/>
  <c r="K594" i="1" s="1"/>
  <c r="I594" i="1"/>
  <c r="D595" i="1"/>
  <c r="E595" i="1"/>
  <c r="J595" i="1" s="1"/>
  <c r="G595" i="1"/>
  <c r="K595" i="1"/>
  <c r="I595" i="1"/>
  <c r="D596" i="1"/>
  <c r="E596" i="1"/>
  <c r="J596" i="1"/>
  <c r="G596" i="1"/>
  <c r="K596" i="1" s="1"/>
  <c r="I596" i="1"/>
  <c r="D597" i="1"/>
  <c r="E597" i="1"/>
  <c r="J597" i="1" s="1"/>
  <c r="G597" i="1"/>
  <c r="K597" i="1"/>
  <c r="I597" i="1"/>
  <c r="D598" i="1"/>
  <c r="E598" i="1"/>
  <c r="J598" i="1"/>
  <c r="G598" i="1"/>
  <c r="K598" i="1" s="1"/>
  <c r="I598" i="1"/>
  <c r="D599" i="1"/>
  <c r="E599" i="1"/>
  <c r="J599" i="1" s="1"/>
  <c r="G599" i="1"/>
  <c r="K599" i="1"/>
  <c r="I599" i="1"/>
  <c r="D600" i="1"/>
  <c r="E600" i="1"/>
  <c r="J600" i="1"/>
  <c r="G600" i="1"/>
  <c r="K600" i="1" s="1"/>
  <c r="I600" i="1"/>
  <c r="D601" i="1"/>
  <c r="E601" i="1"/>
  <c r="J601" i="1" s="1"/>
  <c r="G601" i="1"/>
  <c r="K601" i="1"/>
  <c r="I601" i="1"/>
  <c r="D602" i="1"/>
  <c r="E602" i="1"/>
  <c r="J602" i="1"/>
  <c r="G602" i="1"/>
  <c r="K602" i="1" s="1"/>
  <c r="I602" i="1"/>
  <c r="D603" i="1"/>
  <c r="E603" i="1"/>
  <c r="J603" i="1" s="1"/>
  <c r="G603" i="1"/>
  <c r="K603" i="1"/>
  <c r="I603" i="1"/>
  <c r="D604" i="1"/>
  <c r="E604" i="1"/>
  <c r="J604" i="1"/>
  <c r="G604" i="1"/>
  <c r="K604" i="1" s="1"/>
  <c r="I604" i="1"/>
  <c r="D606" i="1"/>
  <c r="I606" i="1"/>
  <c r="D607" i="1"/>
  <c r="I607" i="1"/>
  <c r="D608" i="1"/>
  <c r="I608" i="1"/>
  <c r="D609" i="1"/>
  <c r="I609" i="1"/>
  <c r="D610" i="1"/>
  <c r="I610" i="1"/>
  <c r="D611" i="1"/>
  <c r="I611" i="1"/>
  <c r="J611" i="1"/>
  <c r="D612" i="1"/>
  <c r="I612" i="1"/>
  <c r="D613" i="1"/>
  <c r="I613" i="1"/>
  <c r="D614" i="1"/>
  <c r="I614" i="1"/>
  <c r="D615" i="1"/>
  <c r="I615" i="1"/>
  <c r="D616" i="1"/>
  <c r="I616" i="1"/>
  <c r="D617" i="1"/>
  <c r="I617" i="1"/>
  <c r="D632" i="1"/>
  <c r="I632" i="1"/>
  <c r="J632" i="1"/>
  <c r="K632" i="1"/>
  <c r="D633" i="1"/>
  <c r="J633" i="1"/>
  <c r="D634" i="1"/>
  <c r="D635" i="1"/>
  <c r="D636" i="1"/>
  <c r="D637" i="1"/>
  <c r="D638" i="1"/>
  <c r="D639" i="1"/>
  <c r="D640" i="1"/>
  <c r="D641" i="1"/>
  <c r="D642" i="1"/>
  <c r="D643" i="1"/>
  <c r="C686" i="1"/>
  <c r="K686" i="1"/>
  <c r="E687" i="1"/>
  <c r="G687" i="1"/>
  <c r="I687" i="1"/>
  <c r="J687" i="1"/>
  <c r="J688" i="1"/>
  <c r="K688" i="1"/>
  <c r="E689" i="1"/>
  <c r="F689" i="1"/>
  <c r="G689" i="1"/>
  <c r="H689" i="1"/>
  <c r="I689" i="1"/>
  <c r="J689" i="1"/>
  <c r="K689" i="1"/>
  <c r="D690" i="1"/>
  <c r="I690" i="1"/>
  <c r="J690" i="1"/>
  <c r="K690" i="1"/>
  <c r="D691" i="1"/>
  <c r="I691" i="1"/>
  <c r="J691" i="1"/>
  <c r="K691" i="1"/>
  <c r="D692" i="1"/>
  <c r="I692" i="1"/>
  <c r="J692" i="1"/>
  <c r="K692" i="1"/>
  <c r="D693" i="1"/>
  <c r="I693" i="1"/>
  <c r="J693" i="1"/>
  <c r="K693" i="1"/>
  <c r="D695" i="1"/>
  <c r="I695" i="1"/>
  <c r="J695" i="1"/>
  <c r="K695" i="1"/>
  <c r="D696" i="1"/>
  <c r="I696" i="1"/>
  <c r="J696" i="1"/>
  <c r="K696" i="1"/>
  <c r="D697" i="1"/>
  <c r="I697" i="1"/>
  <c r="J697" i="1"/>
  <c r="K697" i="1"/>
  <c r="D698" i="1"/>
  <c r="I698" i="1"/>
  <c r="J698" i="1"/>
  <c r="K698" i="1"/>
  <c r="D700" i="1"/>
  <c r="I700" i="1"/>
  <c r="J700" i="1"/>
  <c r="K700" i="1"/>
  <c r="D701" i="1"/>
  <c r="I701" i="1"/>
  <c r="J701" i="1"/>
  <c r="K701" i="1"/>
  <c r="D702" i="1"/>
  <c r="I702" i="1"/>
  <c r="J702" i="1"/>
  <c r="K702" i="1"/>
  <c r="D703" i="1"/>
  <c r="I703" i="1"/>
  <c r="J703" i="1"/>
  <c r="K703" i="1"/>
  <c r="D705" i="1"/>
  <c r="I705" i="1"/>
  <c r="J705" i="1"/>
  <c r="K705" i="1"/>
  <c r="D706" i="1"/>
  <c r="I706" i="1"/>
  <c r="J706" i="1"/>
  <c r="K706" i="1"/>
  <c r="D707" i="1"/>
  <c r="I707" i="1"/>
  <c r="J707" i="1"/>
  <c r="K707" i="1"/>
  <c r="D708" i="1"/>
  <c r="I708" i="1"/>
  <c r="J708" i="1"/>
  <c r="K708" i="1"/>
  <c r="D709" i="1"/>
  <c r="I709" i="1"/>
  <c r="J709" i="1"/>
  <c r="K709" i="1"/>
  <c r="D710" i="1"/>
  <c r="I710" i="1"/>
  <c r="J710" i="1"/>
  <c r="K710" i="1"/>
  <c r="D711" i="1"/>
  <c r="I711" i="1"/>
  <c r="J711" i="1"/>
  <c r="K711" i="1"/>
  <c r="D712" i="1"/>
  <c r="I712" i="1"/>
  <c r="J712" i="1"/>
  <c r="K712" i="1"/>
  <c r="D713" i="1"/>
  <c r="I713" i="1"/>
  <c r="J713" i="1"/>
  <c r="K713" i="1"/>
  <c r="D714" i="1"/>
  <c r="I714" i="1"/>
  <c r="J714" i="1"/>
  <c r="K714" i="1"/>
  <c r="D715" i="1"/>
  <c r="I715" i="1"/>
  <c r="J715" i="1"/>
  <c r="K715" i="1"/>
  <c r="D716" i="1"/>
  <c r="I716" i="1"/>
  <c r="J716" i="1"/>
  <c r="K716" i="1"/>
  <c r="D718" i="1"/>
  <c r="I718" i="1"/>
  <c r="J718" i="1"/>
  <c r="K718" i="1"/>
  <c r="D719" i="1"/>
  <c r="I719" i="1"/>
  <c r="J719" i="1"/>
  <c r="K719" i="1"/>
  <c r="D720" i="1"/>
  <c r="I720" i="1"/>
  <c r="J720" i="1"/>
  <c r="K720" i="1"/>
  <c r="D721" i="1"/>
  <c r="I721" i="1"/>
  <c r="J721" i="1"/>
  <c r="K721" i="1"/>
  <c r="D722" i="1"/>
  <c r="D723" i="1"/>
  <c r="I723" i="1"/>
  <c r="J723" i="1"/>
  <c r="K723" i="1"/>
  <c r="D724" i="1"/>
  <c r="I724" i="1"/>
  <c r="J724" i="1"/>
  <c r="K724" i="1"/>
  <c r="D725" i="1"/>
  <c r="I725" i="1"/>
  <c r="J725" i="1"/>
  <c r="K725" i="1"/>
  <c r="D726" i="1"/>
  <c r="I726" i="1"/>
  <c r="J726" i="1"/>
  <c r="K726" i="1"/>
  <c r="D727" i="1"/>
  <c r="I727" i="1"/>
  <c r="J727" i="1"/>
  <c r="K727" i="1"/>
  <c r="D728" i="1"/>
  <c r="I728" i="1"/>
  <c r="J728" i="1"/>
  <c r="K728" i="1"/>
  <c r="D729" i="1"/>
  <c r="I729" i="1"/>
  <c r="J729" i="1"/>
  <c r="K729" i="1"/>
  <c r="D731" i="1"/>
  <c r="E731" i="1"/>
  <c r="J731" i="1"/>
  <c r="G731" i="1"/>
  <c r="K731" i="1"/>
  <c r="I731" i="1"/>
  <c r="D732" i="1"/>
  <c r="E732" i="1"/>
  <c r="J732" i="1"/>
  <c r="G732" i="1"/>
  <c r="K732" i="1"/>
  <c r="I732" i="1"/>
  <c r="D733" i="1"/>
  <c r="E733" i="1"/>
  <c r="J733" i="1"/>
  <c r="G733" i="1"/>
  <c r="K733" i="1"/>
  <c r="I733" i="1"/>
  <c r="D734" i="1"/>
  <c r="E734" i="1"/>
  <c r="J734" i="1"/>
  <c r="G734" i="1"/>
  <c r="K734" i="1"/>
  <c r="I734" i="1"/>
  <c r="D735" i="1"/>
  <c r="E735" i="1"/>
  <c r="J735" i="1"/>
  <c r="G735" i="1"/>
  <c r="K735" i="1"/>
  <c r="I735" i="1"/>
  <c r="D736" i="1"/>
  <c r="E736" i="1"/>
  <c r="J736" i="1"/>
  <c r="G736" i="1"/>
  <c r="K736" i="1"/>
  <c r="I736" i="1"/>
  <c r="D737" i="1"/>
  <c r="E737" i="1"/>
  <c r="J737" i="1"/>
  <c r="G737" i="1"/>
  <c r="K737" i="1"/>
  <c r="I737" i="1"/>
  <c r="D738" i="1"/>
  <c r="E738" i="1"/>
  <c r="J738" i="1"/>
  <c r="G738" i="1"/>
  <c r="K738" i="1"/>
  <c r="I738" i="1"/>
  <c r="D739" i="1"/>
  <c r="E739" i="1"/>
  <c r="J739" i="1"/>
  <c r="G739" i="1"/>
  <c r="K739" i="1"/>
  <c r="I739" i="1"/>
  <c r="D740" i="1"/>
  <c r="E740" i="1"/>
  <c r="J740" i="1"/>
  <c r="G740" i="1"/>
  <c r="K740" i="1"/>
  <c r="I740" i="1"/>
  <c r="D741" i="1"/>
  <c r="E741" i="1"/>
  <c r="J741" i="1"/>
  <c r="G741" i="1"/>
  <c r="K741" i="1"/>
  <c r="I741" i="1"/>
  <c r="D742" i="1"/>
  <c r="E742" i="1"/>
  <c r="J742" i="1"/>
  <c r="G742" i="1"/>
  <c r="K742" i="1"/>
  <c r="I742" i="1"/>
  <c r="D744" i="1"/>
  <c r="E744" i="1"/>
  <c r="J744" i="1"/>
  <c r="G744" i="1"/>
  <c r="K744" i="1"/>
  <c r="I744" i="1"/>
  <c r="D745" i="1"/>
  <c r="E745" i="1"/>
  <c r="J745" i="1"/>
  <c r="G745" i="1"/>
  <c r="K745" i="1"/>
  <c r="I745" i="1"/>
  <c r="D746" i="1"/>
  <c r="E746" i="1"/>
  <c r="J746" i="1"/>
  <c r="G746" i="1"/>
  <c r="K746" i="1"/>
  <c r="I746" i="1"/>
  <c r="D747" i="1"/>
  <c r="E747" i="1"/>
  <c r="J747" i="1"/>
  <c r="G747" i="1"/>
  <c r="K747" i="1"/>
  <c r="I747" i="1"/>
  <c r="D748" i="1"/>
  <c r="E748" i="1"/>
  <c r="J748" i="1"/>
  <c r="G748" i="1"/>
  <c r="K748" i="1"/>
  <c r="I748" i="1"/>
  <c r="D749" i="1"/>
  <c r="E749" i="1"/>
  <c r="J749" i="1"/>
  <c r="G749" i="1"/>
  <c r="K749" i="1"/>
  <c r="I749" i="1"/>
  <c r="D750" i="1"/>
  <c r="E750" i="1"/>
  <c r="J750" i="1"/>
  <c r="G750" i="1"/>
  <c r="K750" i="1"/>
  <c r="I750" i="1"/>
  <c r="D751" i="1"/>
  <c r="E751" i="1"/>
  <c r="J751" i="1"/>
  <c r="G751" i="1"/>
  <c r="K751" i="1"/>
  <c r="I751" i="1"/>
  <c r="D752" i="1"/>
  <c r="E752" i="1"/>
  <c r="J752" i="1"/>
  <c r="G752" i="1"/>
  <c r="K752" i="1"/>
  <c r="I752" i="1"/>
  <c r="D753" i="1"/>
  <c r="E753" i="1"/>
  <c r="J753" i="1"/>
  <c r="G753" i="1"/>
  <c r="K753" i="1"/>
  <c r="I753" i="1"/>
  <c r="D754" i="1"/>
  <c r="E754" i="1"/>
  <c r="J754" i="1"/>
  <c r="G754" i="1"/>
  <c r="K754" i="1"/>
  <c r="I754" i="1"/>
  <c r="D755" i="1"/>
  <c r="E755" i="1"/>
  <c r="J755" i="1"/>
  <c r="G755" i="1"/>
  <c r="K755" i="1"/>
  <c r="I755" i="1"/>
  <c r="D770" i="1"/>
  <c r="J770" i="1"/>
  <c r="K770" i="1"/>
  <c r="D771" i="1"/>
  <c r="J771" i="1"/>
  <c r="K771" i="1"/>
  <c r="D772" i="1"/>
  <c r="J772" i="1"/>
  <c r="K772" i="1"/>
  <c r="D773" i="1"/>
  <c r="J773" i="1"/>
  <c r="K773" i="1"/>
  <c r="D774" i="1"/>
  <c r="D775" i="1"/>
  <c r="D776" i="1"/>
  <c r="D777" i="1"/>
  <c r="D778" i="1"/>
  <c r="J778" i="1"/>
  <c r="K778" i="1"/>
  <c r="D779" i="1"/>
  <c r="D780" i="1"/>
  <c r="D781" i="1"/>
  <c r="C4" i="4"/>
  <c r="G4" i="4"/>
  <c r="C6" i="4"/>
  <c r="B79" i="11"/>
  <c r="B56" i="11"/>
  <c r="B33" i="11"/>
  <c r="T9" i="14"/>
  <c r="Q8" i="14"/>
  <c r="Q10" i="14"/>
  <c r="T12" i="14"/>
  <c r="T8" i="14"/>
  <c r="Q13" i="14"/>
  <c r="T11" i="14"/>
  <c r="Q12" i="14"/>
  <c r="T10" i="14"/>
  <c r="Q9" i="14"/>
  <c r="AK17" i="5"/>
  <c r="U13" i="5"/>
  <c r="U8" i="5" s="1"/>
  <c r="AV18" i="3"/>
  <c r="U18" i="3"/>
  <c r="BA13" i="3"/>
  <c r="BD9" i="3"/>
  <c r="BG21" i="3"/>
  <c r="AP18" i="5"/>
  <c r="AJ17" i="5"/>
  <c r="BB18" i="5"/>
  <c r="BG21" i="5"/>
  <c r="AQ9" i="5"/>
  <c r="AS9" i="5"/>
  <c r="BG35" i="5"/>
  <c r="AY18" i="5"/>
  <c r="BG14" i="5"/>
  <c r="BG22" i="3"/>
  <c r="AS13" i="3"/>
  <c r="BA18" i="3"/>
  <c r="BG15" i="3"/>
  <c r="X29" i="5"/>
  <c r="X27" i="5" s="1"/>
  <c r="AQ27" i="5" s="1"/>
  <c r="Z29" i="5"/>
  <c r="Z27" i="5" s="1"/>
  <c r="AV18" i="5"/>
  <c r="BD18" i="5"/>
  <c r="AW18" i="5"/>
  <c r="AZ9" i="5"/>
  <c r="AN9" i="5"/>
  <c r="BG9" i="5" s="1"/>
  <c r="U9" i="5"/>
  <c r="AV9" i="5"/>
  <c r="AW9" i="5"/>
  <c r="BG33" i="5"/>
  <c r="H8" i="5"/>
  <c r="H38" i="5" s="1"/>
  <c r="BB13" i="5"/>
  <c r="AT13" i="5"/>
  <c r="AX13" i="5"/>
  <c r="BD9" i="5"/>
  <c r="P8" i="5"/>
  <c r="U13" i="3"/>
  <c r="BG24" i="5"/>
  <c r="BF9" i="5"/>
  <c r="AG27" i="5"/>
  <c r="AJ29" i="5"/>
  <c r="AC27" i="5"/>
  <c r="AV27" i="5" s="1"/>
  <c r="BE30" i="5"/>
  <c r="AZ30" i="5"/>
  <c r="AR13" i="5"/>
  <c r="AI8" i="5"/>
  <c r="BC30" i="3"/>
  <c r="AY30" i="3"/>
  <c r="BF18" i="3"/>
  <c r="AW30" i="3"/>
  <c r="BB30" i="3"/>
  <c r="P8" i="3"/>
  <c r="P38" i="3" s="1"/>
  <c r="AX18" i="3"/>
  <c r="Q8" i="3"/>
  <c r="AP13" i="3"/>
  <c r="AY9" i="3"/>
  <c r="AT30" i="3"/>
  <c r="AC29" i="3"/>
  <c r="AC27" i="3" s="1"/>
  <c r="AV27" i="3" s="1"/>
  <c r="AS18" i="3"/>
  <c r="AW9" i="3"/>
  <c r="AQ29" i="5"/>
  <c r="AJ27" i="5"/>
  <c r="A226" i="11"/>
  <c r="AR30" i="3"/>
  <c r="BG31" i="3"/>
  <c r="AU30" i="3"/>
  <c r="AZ30" i="3"/>
  <c r="AV30" i="3"/>
  <c r="BG34" i="3"/>
  <c r="Q38" i="3"/>
  <c r="BF30" i="3"/>
  <c r="AX27" i="3"/>
  <c r="BB17" i="3"/>
  <c r="BG20" i="3"/>
  <c r="AS17" i="3"/>
  <c r="O8" i="3"/>
  <c r="O38" i="3" s="1"/>
  <c r="BG24" i="3"/>
  <c r="M8" i="3"/>
  <c r="M38" i="3" s="1"/>
  <c r="AQ18" i="3"/>
  <c r="AY18" i="3"/>
  <c r="E8" i="3"/>
  <c r="AX17" i="3"/>
  <c r="AY13" i="3"/>
  <c r="D8" i="3"/>
  <c r="D38" i="3"/>
  <c r="AQ13" i="3"/>
  <c r="AX13" i="3"/>
  <c r="BE13" i="3"/>
  <c r="BG16" i="3"/>
  <c r="BF9" i="3"/>
  <c r="BE9" i="3"/>
  <c r="I8" i="3"/>
  <c r="I38" i="3" s="1"/>
  <c r="AM27" i="3"/>
  <c r="Y27" i="3"/>
  <c r="AR27" i="3"/>
  <c r="AR29" i="3"/>
  <c r="X27" i="3"/>
  <c r="X38" i="3" s="1"/>
  <c r="AQ27" i="3"/>
  <c r="AJ27" i="3"/>
  <c r="BC27" i="3"/>
  <c r="BC29" i="3"/>
  <c r="AG27" i="3"/>
  <c r="AZ27" i="3"/>
  <c r="AQ30" i="3"/>
  <c r="BE18" i="3"/>
  <c r="AD17" i="3"/>
  <c r="AL8" i="3"/>
  <c r="X8" i="3"/>
  <c r="AF8" i="3"/>
  <c r="AF38" i="3" s="1"/>
  <c r="AY38" i="3" s="1"/>
  <c r="W27" i="3"/>
  <c r="AP27" i="3"/>
  <c r="AP29" i="3"/>
  <c r="AF27" i="3"/>
  <c r="AY27" i="3"/>
  <c r="AY29" i="3"/>
  <c r="BA29" i="3"/>
  <c r="AH27" i="3"/>
  <c r="AL27" i="3"/>
  <c r="Z27" i="3"/>
  <c r="AI27" i="3"/>
  <c r="BB27" i="3"/>
  <c r="AK27" i="3"/>
  <c r="AV29" i="3"/>
  <c r="BD30" i="3"/>
  <c r="AC8" i="3"/>
  <c r="AV17" i="3"/>
  <c r="BD17" i="3"/>
  <c r="AM8" i="3"/>
  <c r="AM38" i="3" s="1"/>
  <c r="BB18" i="3"/>
  <c r="AH8" i="3"/>
  <c r="AY17" i="3"/>
  <c r="Z8" i="3"/>
  <c r="Z38" i="3" s="1"/>
  <c r="AZ18" i="3"/>
  <c r="BD18" i="3"/>
  <c r="AI8" i="3"/>
  <c r="AI38" i="3" s="1"/>
  <c r="BB8" i="3"/>
  <c r="BF13" i="3"/>
  <c r="BB9" i="3"/>
  <c r="AP9" i="3"/>
  <c r="AH27" i="5"/>
  <c r="AP30" i="5"/>
  <c r="AM29" i="5"/>
  <c r="AM27" i="5" s="1"/>
  <c r="AB29" i="5"/>
  <c r="AB27" i="5" s="1"/>
  <c r="BG31" i="5"/>
  <c r="BC27" i="5"/>
  <c r="BB30" i="5"/>
  <c r="AZ27" i="5"/>
  <c r="BE27" i="5"/>
  <c r="AD8" i="5"/>
  <c r="AW17" i="5"/>
  <c r="AF8" i="5"/>
  <c r="BA17" i="5"/>
  <c r="BF18" i="5"/>
  <c r="AV17" i="5"/>
  <c r="BG19" i="5"/>
  <c r="BB17" i="5"/>
  <c r="Y17" i="5"/>
  <c r="AR17" i="5"/>
  <c r="BD17" i="5"/>
  <c r="BG22" i="5"/>
  <c r="AV13" i="5"/>
  <c r="Y8" i="5"/>
  <c r="AR8" i="5" s="1"/>
  <c r="AS13" i="5"/>
  <c r="W38" i="5"/>
  <c r="AP38" i="5" s="1"/>
  <c r="AY13" i="5"/>
  <c r="AR9" i="5"/>
  <c r="AY9" i="5"/>
  <c r="J27" i="5"/>
  <c r="AS29" i="5"/>
  <c r="G27" i="5"/>
  <c r="AS27" i="5"/>
  <c r="R27" i="5"/>
  <c r="AV30" i="5"/>
  <c r="BD30" i="5"/>
  <c r="U30" i="5"/>
  <c r="AP17" i="5"/>
  <c r="D8" i="5"/>
  <c r="D38" i="5" s="1"/>
  <c r="N8" i="5"/>
  <c r="N38" i="5" s="1"/>
  <c r="Q8" i="5"/>
  <c r="Q38" i="5" s="1"/>
  <c r="E8" i="5"/>
  <c r="L8" i="5"/>
  <c r="AX17" i="5"/>
  <c r="AU17" i="5"/>
  <c r="I8" i="5"/>
  <c r="F38" i="5"/>
  <c r="R8" i="5"/>
  <c r="BF17" i="5"/>
  <c r="AU18" i="5"/>
  <c r="K8" i="5"/>
  <c r="AX18" i="5"/>
  <c r="G8" i="5"/>
  <c r="G38" i="5" s="1"/>
  <c r="K38" i="5"/>
  <c r="M8" i="5"/>
  <c r="M38" i="5" s="1"/>
  <c r="AQ8" i="3"/>
  <c r="BF8" i="3"/>
  <c r="AH38" i="3"/>
  <c r="BA38" i="3" s="1"/>
  <c r="AX8" i="3"/>
  <c r="AC38" i="3"/>
  <c r="BB38" i="3"/>
  <c r="AU27" i="5"/>
  <c r="BG30" i="5"/>
  <c r="U29" i="5"/>
  <c r="BG29" i="5"/>
  <c r="AU8" i="5"/>
  <c r="E38" i="5"/>
  <c r="AY8" i="5"/>
  <c r="BF38" i="3" l="1"/>
  <c r="AS27" i="3"/>
  <c r="AQ38" i="3"/>
  <c r="AM38" i="5"/>
  <c r="BF38" i="5" s="1"/>
  <c r="BF27" i="5"/>
  <c r="BF27" i="3"/>
  <c r="T38" i="3"/>
  <c r="AI38" i="5"/>
  <c r="BB8" i="5"/>
  <c r="J8" i="3"/>
  <c r="J38" i="3" s="1"/>
  <c r="AV38" i="3" s="1"/>
  <c r="AV9" i="3"/>
  <c r="Q33" i="14"/>
  <c r="T33" i="14"/>
  <c r="R38" i="5"/>
  <c r="BB29" i="5"/>
  <c r="AP29" i="5"/>
  <c r="AT18" i="3"/>
  <c r="H27" i="3"/>
  <c r="AT27" i="3" s="1"/>
  <c r="AT29" i="3"/>
  <c r="U27" i="3"/>
  <c r="AA29" i="5"/>
  <c r="AT30" i="5"/>
  <c r="L38" i="3"/>
  <c r="AX38" i="3" s="1"/>
  <c r="L27" i="5"/>
  <c r="AX27" i="5" s="1"/>
  <c r="AX29" i="5"/>
  <c r="AZ13" i="3"/>
  <c r="AG8" i="3"/>
  <c r="AK8" i="3"/>
  <c r="BD13" i="3"/>
  <c r="BG19" i="3"/>
  <c r="AN18" i="3"/>
  <c r="BG32" i="3"/>
  <c r="AN30" i="3"/>
  <c r="BF29" i="5"/>
  <c r="BE8" i="3"/>
  <c r="AW29" i="3"/>
  <c r="BG28" i="3"/>
  <c r="X8" i="5"/>
  <c r="AQ8" i="5" s="1"/>
  <c r="BC29" i="5"/>
  <c r="S29" i="3"/>
  <c r="BE30" i="3"/>
  <c r="G29" i="3"/>
  <c r="G27" i="3" s="1"/>
  <c r="AS30" i="3"/>
  <c r="U9" i="3"/>
  <c r="U8" i="3" s="1"/>
  <c r="U38" i="3" s="1"/>
  <c r="BC30" i="5"/>
  <c r="BA13" i="5"/>
  <c r="AH8" i="5"/>
  <c r="BG20" i="5"/>
  <c r="AN18" i="5"/>
  <c r="AG17" i="5"/>
  <c r="AZ17" i="5" s="1"/>
  <c r="AZ18" i="5"/>
  <c r="AZ17" i="3"/>
  <c r="Q34" i="14"/>
  <c r="T32" i="14"/>
  <c r="P38" i="5"/>
  <c r="AJ8" i="5"/>
  <c r="BC17" i="5"/>
  <c r="Y27" i="5"/>
  <c r="AR29" i="5"/>
  <c r="AL17" i="5"/>
  <c r="BE17" i="5" s="1"/>
  <c r="BE18" i="5"/>
  <c r="AA8" i="3"/>
  <c r="AT17" i="3"/>
  <c r="AZ9" i="3"/>
  <c r="N8" i="3"/>
  <c r="N38" i="3" s="1"/>
  <c r="AV8" i="3"/>
  <c r="X38" i="5"/>
  <c r="AQ38" i="5" s="1"/>
  <c r="G8" i="3"/>
  <c r="G38" i="3" s="1"/>
  <c r="AS38" i="3" s="1"/>
  <c r="AY29" i="5"/>
  <c r="AF27" i="5"/>
  <c r="AW13" i="3"/>
  <c r="AD8" i="3"/>
  <c r="AS29" i="3"/>
  <c r="AR9" i="3"/>
  <c r="Y8" i="3"/>
  <c r="T26" i="14"/>
  <c r="Q26" i="14"/>
  <c r="Q21" i="14"/>
  <c r="T21" i="14"/>
  <c r="BD29" i="5"/>
  <c r="BG13" i="5"/>
  <c r="AA17" i="5"/>
  <c r="AX29" i="3"/>
  <c r="AJ8" i="3"/>
  <c r="AB27" i="3"/>
  <c r="AU27" i="3" s="1"/>
  <c r="BF29" i="3"/>
  <c r="AD29" i="5"/>
  <c r="E38" i="3"/>
  <c r="AU29" i="5"/>
  <c r="AS8" i="3"/>
  <c r="AL38" i="3"/>
  <c r="AW8" i="5"/>
  <c r="AQ18" i="5"/>
  <c r="Z8" i="5"/>
  <c r="W8" i="3"/>
  <c r="AP8" i="3" s="1"/>
  <c r="BA8" i="3"/>
  <c r="AY8" i="3"/>
  <c r="AW18" i="3"/>
  <c r="AX30" i="5"/>
  <c r="U17" i="3"/>
  <c r="R27" i="3"/>
  <c r="R38" i="3" s="1"/>
  <c r="BD29" i="3"/>
  <c r="O29" i="5"/>
  <c r="BA30" i="5"/>
  <c r="BD13" i="5"/>
  <c r="AK8" i="5"/>
  <c r="AL8" i="5"/>
  <c r="BE9" i="5"/>
  <c r="AG8" i="5"/>
  <c r="AQ9" i="3"/>
  <c r="AN9" i="3"/>
  <c r="T28" i="14"/>
  <c r="Q28" i="14"/>
  <c r="Q30" i="14"/>
  <c r="T30" i="14"/>
  <c r="BC18" i="5"/>
  <c r="AQ17" i="3"/>
  <c r="BG33" i="3"/>
  <c r="BE29" i="5"/>
  <c r="AU18" i="3"/>
  <c r="AS18" i="5"/>
  <c r="BG36" i="5"/>
  <c r="AC8" i="5"/>
  <c r="AZ29" i="5"/>
  <c r="AE8" i="5"/>
  <c r="AB8" i="3"/>
  <c r="K8" i="3"/>
  <c r="K38" i="3" s="1"/>
  <c r="Q24" i="14"/>
  <c r="T25" i="14"/>
  <c r="Q25" i="14"/>
  <c r="BE8" i="5" l="1"/>
  <c r="AL38" i="5"/>
  <c r="BE38" i="5" s="1"/>
  <c r="AA8" i="5"/>
  <c r="AT17" i="5"/>
  <c r="AY27" i="5"/>
  <c r="AF38" i="5"/>
  <c r="AY38" i="5" s="1"/>
  <c r="AU8" i="3"/>
  <c r="AB38" i="3"/>
  <c r="AU38" i="3" s="1"/>
  <c r="AK38" i="5"/>
  <c r="BD38" i="5" s="1"/>
  <c r="BD8" i="5"/>
  <c r="AJ38" i="3"/>
  <c r="BC38" i="3" s="1"/>
  <c r="BC8" i="3"/>
  <c r="AK38" i="3"/>
  <c r="BD38" i="3" s="1"/>
  <c r="BD8" i="3"/>
  <c r="AA27" i="5"/>
  <c r="AT27" i="5" s="1"/>
  <c r="AT29" i="5"/>
  <c r="BB38" i="5"/>
  <c r="AD27" i="5"/>
  <c r="AW29" i="5"/>
  <c r="W38" i="3"/>
  <c r="AP38" i="3" s="1"/>
  <c r="AD38" i="3"/>
  <c r="AW38" i="3" s="1"/>
  <c r="AW8" i="3"/>
  <c r="BA8" i="5"/>
  <c r="AH38" i="5"/>
  <c r="BG18" i="3"/>
  <c r="AN17" i="3"/>
  <c r="BG17" i="3" s="1"/>
  <c r="AZ8" i="3"/>
  <c r="AG38" i="3"/>
  <c r="AZ38" i="3" s="1"/>
  <c r="BD27" i="3"/>
  <c r="AC38" i="5"/>
  <c r="AV38" i="5" s="1"/>
  <c r="AV8" i="5"/>
  <c r="BG9" i="3"/>
  <c r="O27" i="5"/>
  <c r="U27" i="5" s="1"/>
  <c r="U38" i="5" s="1"/>
  <c r="BA29" i="5"/>
  <c r="AN17" i="5"/>
  <c r="BG18" i="5"/>
  <c r="BG30" i="3"/>
  <c r="AN29" i="3"/>
  <c r="AS8" i="5"/>
  <c r="Z38" i="5"/>
  <c r="AS38" i="5" s="1"/>
  <c r="AA38" i="3"/>
  <c r="AT8" i="3"/>
  <c r="AR27" i="5"/>
  <c r="Y38" i="5"/>
  <c r="AR38" i="5" s="1"/>
  <c r="S27" i="3"/>
  <c r="BE29" i="3"/>
  <c r="L38" i="5"/>
  <c r="AE38" i="5"/>
  <c r="AX38" i="5" s="1"/>
  <c r="AX8" i="5"/>
  <c r="AG38" i="5"/>
  <c r="AZ38" i="5" s="1"/>
  <c r="AZ8" i="5"/>
  <c r="AR8" i="3"/>
  <c r="Y38" i="3"/>
  <c r="AR38" i="3" s="1"/>
  <c r="BC8" i="5"/>
  <c r="AJ38" i="5"/>
  <c r="BC38" i="5" s="1"/>
  <c r="H38" i="3"/>
  <c r="S38" i="3" l="1"/>
  <c r="BE38" i="3" s="1"/>
  <c r="BE27" i="3"/>
  <c r="AW27" i="5"/>
  <c r="AD38" i="5"/>
  <c r="AW38" i="5" s="1"/>
  <c r="BG17" i="5"/>
  <c r="AN8" i="5"/>
  <c r="AN8" i="3"/>
  <c r="BA38" i="5"/>
  <c r="AT38" i="3"/>
  <c r="BA27" i="5"/>
  <c r="O38" i="5"/>
  <c r="AT8" i="5"/>
  <c r="AA38" i="5"/>
  <c r="AT38" i="5" s="1"/>
  <c r="BG29" i="3"/>
  <c r="AN27" i="3"/>
  <c r="BG27" i="3" s="1"/>
  <c r="AN27" i="5"/>
  <c r="BG27" i="5" s="1"/>
  <c r="AN38" i="5" l="1"/>
  <c r="BG38" i="5" s="1"/>
  <c r="BG8" i="5"/>
  <c r="BG8" i="3"/>
  <c r="AN38" i="3"/>
  <c r="BG38" i="3" s="1"/>
</calcChain>
</file>

<file path=xl/sharedStrings.xml><?xml version="1.0" encoding="utf-8"?>
<sst xmlns="http://schemas.openxmlformats.org/spreadsheetml/2006/main" count="780" uniqueCount="187">
  <si>
    <t>Português</t>
  </si>
  <si>
    <t>English</t>
  </si>
  <si>
    <t>2009</t>
  </si>
  <si>
    <t>2010</t>
  </si>
  <si>
    <t>2011</t>
  </si>
  <si>
    <t>2012</t>
  </si>
  <si>
    <t>-</t>
  </si>
  <si>
    <t>2013</t>
  </si>
  <si>
    <t xml:space="preserve"> </t>
  </si>
  <si>
    <t>TOTAL</t>
  </si>
  <si>
    <t>Escolher Língua :
Choose Language :</t>
  </si>
  <si>
    <t>Funções Gerais de Soberania</t>
  </si>
  <si>
    <t>Funções Sociais</t>
  </si>
  <si>
    <t>Funções Económicas</t>
  </si>
  <si>
    <t>Outras Funções</t>
  </si>
  <si>
    <t>dos quais:</t>
  </si>
  <si>
    <t>2014</t>
  </si>
  <si>
    <t xml:space="preserve">Transtejo - Transportes Tejo, SA; </t>
  </si>
  <si>
    <t xml:space="preserve">Laboratório Ibérico de Nanotecnologia - INL; </t>
  </si>
  <si>
    <t xml:space="preserve">Instituto Politécnico do Cávado e do Ave; </t>
  </si>
  <si>
    <t xml:space="preserve">SAS-Instituto Politécnico do Cávado e do Ave; </t>
  </si>
  <si>
    <t xml:space="preserve">UL - Faculdade de Medicina Veterinária; </t>
  </si>
  <si>
    <t>UL - Instituto de Geografia e Ordenamento do Território</t>
  </si>
  <si>
    <t>2015</t>
  </si>
  <si>
    <t>Subsetor das Administrações Públicas</t>
  </si>
  <si>
    <t>Subsector of General Government</t>
  </si>
  <si>
    <t>Periodicidade</t>
  </si>
  <si>
    <t>Mensal</t>
  </si>
  <si>
    <t>Monthly</t>
  </si>
  <si>
    <t>Frequency</t>
  </si>
  <si>
    <t>Fonte</t>
  </si>
  <si>
    <t>MF/DGO, execução orçamental mensal</t>
  </si>
  <si>
    <t>MF/DGO, monthly budgetary reporting</t>
  </si>
  <si>
    <t>Source</t>
  </si>
  <si>
    <t>Ótica da contabilidade</t>
  </si>
  <si>
    <t>Contabilidade pública</t>
  </si>
  <si>
    <t>Cash-basis</t>
  </si>
  <si>
    <t>Accounting basis</t>
  </si>
  <si>
    <t>Período de reporte</t>
  </si>
  <si>
    <t>Reporting period</t>
  </si>
  <si>
    <t>Unidade</t>
  </si>
  <si>
    <t>Milhões de Euros</t>
  </si>
  <si>
    <t>Millions of Euro</t>
  </si>
  <si>
    <t>Unit</t>
  </si>
  <si>
    <t>Cobertura do universo</t>
  </si>
  <si>
    <t>Total</t>
  </si>
  <si>
    <t>Sector coverage</t>
  </si>
  <si>
    <t>Dados estimados</t>
  </si>
  <si>
    <t>Estimations</t>
  </si>
  <si>
    <t>Dados revistos</t>
  </si>
  <si>
    <t>Revisions</t>
  </si>
  <si>
    <t>Notas:</t>
  </si>
  <si>
    <t>Notes:</t>
  </si>
  <si>
    <t>All units within this sub-sector</t>
  </si>
  <si>
    <t>Não</t>
  </si>
  <si>
    <t>No</t>
  </si>
  <si>
    <t>Municípios</t>
  </si>
  <si>
    <t>Municipalities</t>
  </si>
  <si>
    <t>Table 1.1 - Metadata</t>
  </si>
  <si>
    <t>Estado</t>
  </si>
  <si>
    <t>State</t>
  </si>
  <si>
    <t>Table 1.2 - Metadata</t>
  </si>
  <si>
    <t>Serviços e Fundos Autónomos</t>
  </si>
  <si>
    <t>Autonomous Services and Funds</t>
  </si>
  <si>
    <t>Table 1.3 - Metadata</t>
  </si>
  <si>
    <t>Table 1.4 - Metadata</t>
  </si>
  <si>
    <t xml:space="preserve">Fundos da Segurança Social </t>
  </si>
  <si>
    <t>Social Security Funds</t>
  </si>
  <si>
    <t>Table 1.5 - Metadata</t>
  </si>
  <si>
    <t>Administração Local</t>
  </si>
  <si>
    <t>Local Government</t>
  </si>
  <si>
    <t>Table 1.6 - Metadata</t>
  </si>
  <si>
    <t>Administração Regional</t>
  </si>
  <si>
    <t>Regional Government</t>
  </si>
  <si>
    <t>- Amounts accounted for on the Central Revenue System (SCR). These figures are provisional until General Public Accounts are closed.</t>
  </si>
  <si>
    <t>Table 2 - Metadata</t>
  </si>
  <si>
    <t>- Os valores de despesa correspondem aos divulgados no respetivo período tendo, em alguns casos, sido objeto de ajustamento posterior à sua divulgação.</t>
  </si>
  <si>
    <t>-Expenditure data presented correspond to that reported during the respective period and may, in some cases, have been subject to adjustments after publication.</t>
  </si>
  <si>
    <t>- A despesa é apresentada por classificador funcional;</t>
  </si>
  <si>
    <t>- Expenditure is displayed by function;</t>
  </si>
  <si>
    <t>Table 3 - Metadata</t>
  </si>
  <si>
    <t>- A despesa é apresentada por ministério e classificador economico;</t>
  </si>
  <si>
    <t>- Expenditure is displayed by ministry and economic categories;</t>
  </si>
  <si>
    <t>- Mensalmente os valores apresentados são acumulados e sobrepostos aos do mês anterior, eliminando-se assim o registo histórico;</t>
  </si>
  <si>
    <t>- Monthly presented values are accumulated and overlaid on the previous month, thus eliminating the historical record;</t>
  </si>
  <si>
    <t>Table 4 - Metadata</t>
  </si>
  <si>
    <t>Table 5 - Metadata</t>
  </si>
  <si>
    <r>
      <rPr>
        <b/>
        <sz val="8"/>
        <color indexed="56"/>
        <rFont val="Segoe UI"/>
        <family val="2"/>
      </rPr>
      <t xml:space="preserve">  Ministério das Finanças </t>
    </r>
    <r>
      <rPr>
        <b/>
        <i/>
        <sz val="8"/>
        <color indexed="56"/>
        <rFont val="Segoe UI"/>
        <family val="2"/>
      </rPr>
      <t xml:space="preserve">/ </t>
    </r>
    <r>
      <rPr>
        <b/>
        <i/>
        <sz val="8"/>
        <color indexed="56"/>
        <rFont val="Segoe UI"/>
        <family val="2"/>
      </rPr>
      <t>Ministry of Finance</t>
    </r>
  </si>
  <si>
    <t>- Non reporting entities, are identified, below:</t>
  </si>
  <si>
    <t>Nota - Alteração face a publicações anteriores: Revisão da série de 2012 a 2014, pela incorporação das EPR.</t>
  </si>
  <si>
    <t>Note - Change compared to previous publications: Series Revision from 2012 to 2014, by the incorporation of the EPR.</t>
  </si>
  <si>
    <t>- Os valores constantes do presente quadro não são consolidados.</t>
  </si>
  <si>
    <t>Entidades Públicas Reclassificadas</t>
  </si>
  <si>
    <t>Reclassified Public Entities</t>
  </si>
  <si>
    <t>- Data of the present chart are not consolidated.</t>
  </si>
  <si>
    <t>- Valores registados no Sistema Central de Receitas (SCR). Estes valores são provisórios até ao encerramento da Conta Geral do Estado.</t>
  </si>
  <si>
    <t>- Entidades em incumprimento no reporte de execução orçamental no mês em análise:</t>
  </si>
  <si>
    <t>2016</t>
  </si>
  <si>
    <t>Finanças</t>
  </si>
  <si>
    <t>Justiça</t>
  </si>
  <si>
    <t>Cultura</t>
  </si>
  <si>
    <t>Ciência, Tecnologia e Ensino Superior</t>
  </si>
  <si>
    <t>Trabalho, Solidariedade e Segurança Social</t>
  </si>
  <si>
    <t>Saúde</t>
  </si>
  <si>
    <t>Planeamento e Infraestruturas</t>
  </si>
  <si>
    <t>Economia</t>
  </si>
  <si>
    <t>Ambiente</t>
  </si>
  <si>
    <t>Agricultura, Florestas e Desenvolvimento Rural</t>
  </si>
  <si>
    <t>Mar</t>
  </si>
  <si>
    <t>- As EPR são simultaneamente SFA, produzindo nesta série o respetivo impacto;</t>
  </si>
  <si>
    <t>- Reclassified Public Entities are simultaneously entities of the Autonomous Services and Funds subsector, having therefore the corresponding impact on this series.</t>
  </si>
  <si>
    <t>Quebra de série: a partir de janeiro de 2016 (inclusivé) a série abrange o universo real e o universo estimado, conforme com o mês de reporte (o período anterior contempla apenas o universo real).</t>
  </si>
  <si>
    <t>Series break: from January 2016 (inclusive) the series covers the real universe and the estimated universe, according to the reporting month (the previous period only includes the real universe).</t>
  </si>
  <si>
    <t>janeiro</t>
  </si>
  <si>
    <t>2017</t>
  </si>
  <si>
    <t>Table 6 - Metadata</t>
  </si>
  <si>
    <t>- A receita é apresentada por classificador económico, sendo que o agregado “Transferências” engloba as transferências correntes e as de capital e o agregado “Outras receitas” inclui as outras receitas correntes, as outras receitas de capital, os recursos próprios comunitários, as reposições não abatidas nos pagamentos e, entre 2010 e 2015, os saldos da gerência anterior (nesses anos, este capítulo de receita era considerado receita efetiva);</t>
  </si>
  <si>
    <t>- Revenue is presented by economic classifier, with the "Transfers" aggregate comprising current transfers and capital transfers and the "Other revenue" aggregate includes other current revenue, other capital revenue, community own resources, refunds not deducted from payments and, between 2010 and 2015, balances of the previous management (in those years, this item was considered effective revenue);</t>
  </si>
  <si>
    <t>- Os valores constantes do presente quadro são agregados (não são consolidados);</t>
  </si>
  <si>
    <t>- Data of the present chart are aggregated (not consolidated).</t>
  </si>
  <si>
    <t>Encargos Gerais do Estado</t>
  </si>
  <si>
    <t>Presidência do conselho deMinistros</t>
  </si>
  <si>
    <t>Negócios estrangeiros</t>
  </si>
  <si>
    <t>Defesa Nacional</t>
  </si>
  <si>
    <t>Administração Interna</t>
  </si>
  <si>
    <t>Educação</t>
  </si>
  <si>
    <t>2018</t>
  </si>
  <si>
    <t>2019</t>
  </si>
  <si>
    <t>- Em janeiro de 2019, o perímetro de entidades a incluir no Orçamento de Estado foi atualizado, de acordo com o n.º 4 do artigo 2.º da Lei de Enquadramento Orçamental, aprovada pela Lei n.º 151/2015, de 11 de setembro;</t>
  </si>
  <si>
    <t>-In January 2019, the perimeter of entities to be included in the state budget has been updated, aAccording to the paragraph 4 of Article 2 of Law No. 151/2015, of September 11;</t>
  </si>
  <si>
    <t>- Os valores  de 2010 a 2017 correspondem aos valores da respetiva Conta Geral do Estado.</t>
  </si>
  <si>
    <t>- The values for 2010 to 2017 correspond to the values of the respective General State Account.</t>
  </si>
  <si>
    <t>- Os valores mensais de receita de 2018 representam os divulgados no respetivo período e os valores de 2010 a 2017 correspondem aos valores da respetiva Conta Geral do Estado.</t>
  </si>
  <si>
    <t>- The monthly revenue amounts for 2018 represent those disclosed in the respective period, and the values for 2010 to 2017 correspond to the values of the respective General State Account.</t>
  </si>
  <si>
    <t>[2010 : 2017] - Anual
[2018 : presente] - Mensal</t>
  </si>
  <si>
    <t>[2010 : 2017] - Annually
[2018 : onwards] - Monthly</t>
  </si>
  <si>
    <t>- Os valores de dezembro de 2008 a 2017 correspondem aos valores da respetiva Conta Geral do Estado.</t>
  </si>
  <si>
    <t>- The values for December of 2008 to 20176 correspond to the values of the respective General State Account.</t>
  </si>
  <si>
    <t>- The  values for December of 2008 to 20176 correspond to the values of the respective General State Account.</t>
  </si>
  <si>
    <t>- Os valores de dezembro de 2012 a 2017 correspondem aos valores da respetiva Conta Geral do Estado.</t>
  </si>
  <si>
    <t>- The values for December of 2012 to 2017 correspond to the values of the respective General State Account.</t>
  </si>
  <si>
    <t>- The monthly amounts represent those disclosed in the respective period, and the values for December of 2008 to 2017 correspond to the values of the respective General State Account.</t>
  </si>
  <si>
    <t>- Os valores mensais representam os divulgados no respetivo período e os valores de dezembro de 2008 a 2017 correspondem aos valores da respetiva Conta Geral do Estado.</t>
  </si>
  <si>
    <t>- As transferências intra-setoriais são excluídas do quadro. As diferenças de consolidação são imputadas a outras receitas e/ou despesas correntes e de capital.</t>
  </si>
  <si>
    <t>- Consolidated data - transfers within the subsector are excluded. Other current revenues/expenditure and other capital revenues/expenditure are influenced by subsector consolidation differences.</t>
  </si>
  <si>
    <t>- Os valores da receita e da despesa correspondem aos divulgados no respetivo período tendo, em alguns casos, sido objeto de atualização posterior à sua divulgação.</t>
  </si>
  <si>
    <t>- The revenue and expenditure data presented correspond to the reported in the respective period and may have, in some cases, been updated after publication.</t>
  </si>
  <si>
    <t>Tendo ocorrido um lapso de informação no reporte da execução orçamental relativo a março de 2019 por parte da Infraestruturas de Portugal, S.A., a entidade enviou, posteriormente, a devida informação (valores constantes do anexo 19 – “Estimativas de execução consideradas na conta da Administração Central”) para incorporação na despesa do subsetor Serviços e Fundos Autónomos. Proximamente, a entidade corrigirá o reporte em causa.</t>
  </si>
  <si>
    <t>Due to an information gap from Infraestruturas de Portugal, S.A. (company for the management of road and rail Infrastructures) report, the required budget implementation data was later sent by the entity (values reported in the annex 19 – “Estimated amounts in Central Government Account”), in order to be considered in the Autonomous Services and Funds subsector expenditure. The entity’s report will soon be amended.</t>
  </si>
  <si>
    <t>Tendo ocorrido um lapso de informação no reporte da execução orçamental relativo a março de 2019 por parte da Infraestruturas de Portugal, S.A., a entidade enviou, posteriormente, a devida informação (valores constantes do anexo 19 – “Estimativas de execução consideradas na conta da Administração Central”) para incorporação na despesa do subsetor Entidades Públicas Reclassificadas.</t>
  </si>
  <si>
    <t>Due to an information gap from Infraestruturas de Portugal, S.A. (company for the management of road and rail Infrastructures) report, the required budget implementation data was later sent by the entity (values reported in the annex 19 – “Estimated amounts in Central Government Account”), in order to be considered in the State Owned Enterprises subsector expenditure.</t>
  </si>
  <si>
    <t>- Por motivos de ordem técnica, a execução orçamental da receita do Exército, relativa a janeiro de 2019, não foi apropriada integralmente pelos sistemas orçamentais centrais, tendo a entidade enviado, posteriormente, a devida informação (valores constantes do anexo 19 – “Estimativas de execução consideradas na conta da Administração Central”) para incorporação na receita do subsetor Estado.</t>
  </si>
  <si>
    <t>- Due to technical reasons, the Army's revenue budget implementation data regarding January  2019 was not fully transposed from the local to the central budget information systems. The missing information was later sent by the aforementioned entity (values reported in the annex 19 – “Estimated amounts in Central Government Account”), in order to be considered in the State subsector revenue.</t>
  </si>
  <si>
    <t>Quadro 1.2 - Evolução dos Serviços e Fundos Autónomos</t>
  </si>
  <si>
    <t>Quadro 1.1 - Evolução do Estado</t>
  </si>
  <si>
    <t>Quadro 1.3 - Evolução das Entidades Públicas Reclassificadas</t>
  </si>
  <si>
    <t xml:space="preserve">Quadro 1.4 - Evolução dos Fundos da Segurança Social </t>
  </si>
  <si>
    <t>Quadro 1.5 - Evolução da Administração Local</t>
  </si>
  <si>
    <t>Quadro 1.6 - Evoluçao da Administração Regional</t>
  </si>
  <si>
    <t>Quadro 2 - Estado - Receita</t>
  </si>
  <si>
    <t>Quadro 3 - Estado - Funcional</t>
  </si>
  <si>
    <t>Quadro 4 - Estado - Orgânica</t>
  </si>
  <si>
    <t>Quadro 5 - Serviços e Fundos Autónomos - Funcional</t>
  </si>
  <si>
    <t>Quadro 6 - Serviços e Fundos Autónomos - Orgânica</t>
  </si>
  <si>
    <t>METAINFORMAÇÃO</t>
  </si>
  <si>
    <t>- Por motivos de ordem técnica, a execução orçamental do Exército e da Marinha, relativa a janeiro e a março de 2019, não foi apropriada integralmente pelos sistemas orçamentais centrais, tendo os Ramos das Forças Armadas enviado, posteriormente, a devida informação (valores constantes do anexo 19 – “Estimativas de execução consideradas na conta da Administração Central”) para incorporação na conta do subsetor Estado.</t>
  </si>
  <si>
    <t>- Due to technical reasons, the Army's and Navy's budget implementation data regarding January and March 2019 was not fully transposed from the local to the central budget information systems. The missing information was later sent by the aforementioned entities (values reported in the annex 19 – “Estimated amounts in Central Government Account”), in order to be considered in the State subsector account.</t>
  </si>
  <si>
    <t>- Por motivos de ordem técnica, a execução orçamental do Exército e da Marinha, relativa a janeiro e a março de 2019, não foi apropriada integralmente pelos sistemas orçamentais centrais, tendo os Ramos das Forças Armadas enviado, posteriormente, a devida informação (valores constantes do anexo 19 – “Estimativas de execução consideradas na conta da Administração Central”) para incorporação na despesa do subsetor Estado.</t>
  </si>
  <si>
    <t>- Due to technical reasons, the Army's and Navy's budget implementation data regarding January and march 2019 was not fully transposed from the local to the central budget information systems. The missing information was later sent by the aforementioned entities (values reported in the annex 19 – “Estimated amounts in Central Government Account”), in order to be considered in the State subsector expenditure.</t>
  </si>
  <si>
    <t>[2008 : 2019-05]</t>
  </si>
  <si>
    <t>mai-18</t>
  </si>
  <si>
    <t>may-18</t>
  </si>
  <si>
    <t>mai-19: - Nº de entidades estimadas: 7</t>
  </si>
  <si>
    <t>mai-19: - Nº de entidades estimadas: 6</t>
  </si>
  <si>
    <t>mai-18 e mai-19</t>
  </si>
  <si>
    <t>May-18 and May-19</t>
  </si>
  <si>
    <t>mai-2018: - Nº de municípios com dados estimados: 0
mai-2019: - Nº de municípios com dados estimados: 7</t>
  </si>
  <si>
    <t>may-18: - Nr. of municipalities with estimated data: 0
may-19: - Nr. of municipalities with estimated data: 7</t>
  </si>
  <si>
    <t>mai: 308 Mun.; Em falta: Nenhum</t>
  </si>
  <si>
    <t>may: 308 Mun.; Missing report: None</t>
  </si>
  <si>
    <t>mai: 301 Mun.; Em falta: 7</t>
  </si>
  <si>
    <t>Belmonte, Mira, Oeiras, Penamacor, Ponte da Barca, Serpa e Tabuaço.</t>
  </si>
  <si>
    <t>may: 301 Mun.; Missing report: 7</t>
  </si>
  <si>
    <t>- Diferenças de consolidação resultam da consolidação do subsetor. As transferências, venda e aquisição de bens e serviços correntes da Saúde, rendimentos de propriedade/juros e subsídios intra-setoriais são excluídos do quadro e, na parte em que a receita não é comum com a despesa, são imputadas a diferenças de conciliação.</t>
  </si>
  <si>
    <t>- Consolidation differences result of subsector consolidation (that is, the elimination of the corresponding values and the allocation of the part in which the revenue is not common with the expenditure to this residuary item) .These operations apply to "transfers", "interest paid/income received", "subsidies" and "sale and acquisition of current goods and services" (the lattest only for Health Sector).</t>
  </si>
  <si>
    <t>Banif, S.A.; Centro Hospitalar de Leiria, EPE; Fundação Carlos Lloyd Braga; Fundo Compensação Universal Comunicações Eletrónicas; Porto Vivo, S.R.U. - Sociedade de Reabilitação Urbana; Sanjimo - Sociedade Imobiliária, S.A.; Sociedade Portuguesa de Empreendimentos, S.P.E., S.A..</t>
  </si>
  <si>
    <t>Banif, S.A.; Centro Hospitalar de Leiria, EPE; Fundação Carlos Lloyd Braga; Porto Vivo, S.R.U. - Sociedade de Reabilitação Urbana; Sanjimo - Sociedade Imobiliária, S.A.; Sociedade Portuguesa de Empreendimentos, S.P.E.,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</si>
</sst>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44" formatCode="_-* #,##0.00\ &quot;€&quot;_-;\-* #,##0.00\ &quot;€&quot;_-;_-* &quot;-&quot;??\ &quot;€&quot;_-;_-@_-"/>
    <numFmt numFmtId="43" formatCode="_-* #,##0.00\ _€_-;\-* #,##0.00\ _€_-;_-* &quot;-&quot;??\ _€_-;_-@_-"/>
    <numFmt numFmtId="164" formatCode="0.0%"/>
    <numFmt numFmtId="165" formatCode="#,##0.0"/>
    <numFmt numFmtId="166" formatCode="#,##0.000000"/>
    <numFmt numFmtId="167" formatCode="_-* #,##0.00\ [$€]_-;\-* #,##0.00\ [$€]_-;_-* &quot;-&quot;??\ [$€]_-;_-@_-"/>
    <numFmt numFmtId="168" formatCode="_-* #,##0.00\ [$€-1]_-;\-* #,##0.00\ [$€-1]_-;_-* &quot;-&quot;??\ [$€-1]_-"/>
    <numFmt numFmtId="169" formatCode="_-* #,##0.00\ &quot;Esc.&quot;_-;\-* #,##0.00\ &quot;Esc.&quot;_-;_-* &quot;-&quot;??\ &quot;Esc.&quot;_-;_-@_-"/>
    <numFmt numFmtId="170" formatCode="_(* #,##0.00_);_(* \(#,##0.00\);_(* &quot;-&quot;??_);_(@_)"/>
    <numFmt numFmtId="171" formatCode="_-* #,##0.00\ _E_s_c_._-;\-* #,##0.00\ _E_s_c_._-;_-* &quot;-&quot;??\ _E_s_c_._-;_-@_-"/>
    <numFmt numFmtId="172" formatCode="0.0"/>
    <numFmt numFmtId="173" formatCode="_-* #,##0\ [$€-1]_-;\-* #,##0\ [$€-1]_-;_-* &quot;-&quot;??\ [$€-1]_-"/>
    <numFmt numFmtId="174" formatCode="[$-409]mmm\-yy;@"/>
    <numFmt numFmtId="175" formatCode="#,##0;\(#,##0\)"/>
    <numFmt numFmtId="176" formatCode="#,##0;\-#,##0;\-"/>
    <numFmt numFmtId="177" formatCode="&quot;$&quot;#,##0.00_);[Red]\(&quot;$&quot;#,##0.00\)"/>
    <numFmt numFmtId="178" formatCode="0.000"/>
    <numFmt numFmtId="179" formatCode="&quot;Perpetuidade (g= &quot;0.0%&quot;)&quot;"/>
    <numFmt numFmtId="180" formatCode="[$-409]mmm/yy;@"/>
    <numFmt numFmtId="181" formatCode="_-* #,##0.0\ &quot;€&quot;_-;\-* #,##0.0\ &quot;€&quot;_-;_-* &quot;-&quot;??\ &quot;€&quot;_-;_-@_-"/>
    <numFmt numFmtId="182" formatCode="_-* #,##0\ &quot;€&quot;_-;\-* #,##0\ &quot;€&quot;_-;_-* &quot;-&quot;??\ &quot;€&quot;_-;_-@_-"/>
    <numFmt numFmtId="183" formatCode="&quot;$&quot;#,##0.00_);\(&quot;$&quot;#,##0.00\)"/>
    <numFmt numFmtId="184" formatCode="_(&quot;$&quot;* #,##0.00_);_(&quot;$&quot;* \(#,##0.00\);_(&quot;$&quot;* &quot;-&quot;??_);_(@_)"/>
    <numFmt numFmtId="185" formatCode="&quot;$&quot;#,##0_);\(&quot;$&quot;#,##0\)"/>
    <numFmt numFmtId="186" formatCode="mmmm\ d\,\ yyyy"/>
    <numFmt numFmtId="187" formatCode="#,##0.000"/>
    <numFmt numFmtId="188" formatCode="mmm\-d\-yyyy"/>
    <numFmt numFmtId="189" formatCode="#,##0.0_);[Red]\(#,##0.0\)"/>
    <numFmt numFmtId="190" formatCode="0.0%;[Red]\(0.0%\)"/>
    <numFmt numFmtId="191" formatCode="_-* #,##0.00\ _P_t_s_-;\-* #,##0.00\ _P_t_s_-;_-* &quot;-&quot;??\ _P_t_s_-;_-@_-"/>
    <numFmt numFmtId="192" formatCode="_-* #,##0.00\ &quot;Pts&quot;_-;\-* #,##0.00\ &quot;Pts&quot;_-;_-* &quot;-&quot;??\ &quot;Pts&quot;_-;_-@_-"/>
    <numFmt numFmtId="193" formatCode="#,##0\ "/>
    <numFmt numFmtId="194" formatCode="0.00_)"/>
    <numFmt numFmtId="195" formatCode="#,##0.000_);[Red]\(#,##0.000\)"/>
    <numFmt numFmtId="196" formatCode="_-* #,##0\ _€_-;\-* #,##0\ _€_-;_-* &quot;-&quot;??\ _€_-;_-@_-"/>
    <numFmt numFmtId="197" formatCode="0_)"/>
    <numFmt numFmtId="198" formatCode="0.00%;[Red]\(0.00%\)"/>
    <numFmt numFmtId="199" formatCode="0.0%&quot;Sales&quot;"/>
    <numFmt numFmtId="200" formatCode="#,##0.00000000000"/>
    <numFmt numFmtId="201" formatCode="#,##0.00000000000000"/>
    <numFmt numFmtId="202" formatCode="#,##0.00000000"/>
    <numFmt numFmtId="203" formatCode="#,##0.0000000"/>
    <numFmt numFmtId="204" formatCode="[$-816]dd/mmm/yy;@"/>
    <numFmt numFmtId="205" formatCode="#,##0.000;[Red]&quot;-&quot;#,##0.000"/>
    <numFmt numFmtId="206" formatCode="#,##0.00;[Red]&quot;-&quot;#,##0.00"/>
    <numFmt numFmtId="207" formatCode="_-* #,##0.000\ _€_-;\-* #,##0.000\ _€_-;_-* &quot;-&quot;??\ _€_-;_-@_-"/>
    <numFmt numFmtId="208" formatCode="_-* #,##0.0000\ _€_-;\-* #,##0.0000\ _€_-;_-* &quot;-&quot;??\ _€_-;_-@_-"/>
    <numFmt numFmtId="209" formatCode="h:mm:ss;@"/>
    <numFmt numFmtId="210" formatCode="#,##0;\-#,##0;&quot;-&quot;"/>
    <numFmt numFmtId="211" formatCode="#,##0.00;\-#,##0.00;&quot;-&quot;"/>
    <numFmt numFmtId="212" formatCode="#,##0%;\-#,##0%;&quot;- &quot;"/>
    <numFmt numFmtId="213" formatCode="#,##0.0%;\-#,##0.0%;&quot;- &quot;"/>
    <numFmt numFmtId="214" formatCode="#,##0.00%;\-#,##0.00%;&quot;- &quot;"/>
    <numFmt numFmtId="215" formatCode="#,##0.0;\-#,##0.0;&quot;-&quot;"/>
    <numFmt numFmtId="216" formatCode="[Blue]#,##0.0\ \ \ \ \ \ \ "/>
    <numFmt numFmtId="217" formatCode="0%;\(0%\)"/>
    <numFmt numFmtId="218" formatCode="\ \ @"/>
    <numFmt numFmtId="219" formatCode="\ \ \ \ @"/>
    <numFmt numFmtId="220" formatCode="m\o\n\th\ d\,\ \y\y\y\y"/>
    <numFmt numFmtId="221" formatCode="#,##0.000000000"/>
  </numFmts>
  <fonts count="157">
    <font>
      <sz val="10"/>
      <name val="Arial"/>
      <family val="2"/>
    </font>
    <font>
      <sz val="11"/>
      <color theme="1"/>
      <name val="Calibri"/>
      <family val="2"/>
      <scheme val="minor"/>
    </font>
    <font>
      <sz val="11"/>
      <color theme="1"/>
      <name val="Calibri"/>
      <family val="2"/>
      <scheme val="minor"/>
    </font>
    <font>
      <sz val="12"/>
      <name val="Times New Roman"/>
      <family val="1"/>
    </font>
    <font>
      <sz val="9"/>
      <name val="Calibri"/>
      <family val="2"/>
    </font>
    <font>
      <b/>
      <sz val="14"/>
      <color indexed="9"/>
      <name val="Calibri"/>
      <family val="2"/>
    </font>
    <font>
      <sz val="8"/>
      <name val="Calibri"/>
      <family val="2"/>
    </font>
    <font>
      <b/>
      <sz val="9"/>
      <name val="Calibri"/>
      <family val="2"/>
    </font>
    <font>
      <sz val="10"/>
      <name val="Times New Roman"/>
      <family val="1"/>
    </font>
    <font>
      <b/>
      <sz val="8"/>
      <name val="Calibri"/>
      <family val="2"/>
    </font>
    <font>
      <sz val="10"/>
      <name val="Arial"/>
      <family val="2"/>
    </font>
    <font>
      <b/>
      <sz val="9"/>
      <color indexed="9"/>
      <name val="Calibri"/>
      <family val="2"/>
    </font>
    <font>
      <b/>
      <sz val="8"/>
      <color indexed="12"/>
      <name val="Calibri"/>
      <family val="2"/>
    </font>
    <font>
      <sz val="11"/>
      <color indexed="8"/>
      <name val="Calibri"/>
      <family val="2"/>
    </font>
    <font>
      <sz val="11"/>
      <color indexed="9"/>
      <name val="Calibri"/>
      <family val="2"/>
    </font>
    <font>
      <sz val="10"/>
      <color indexed="9"/>
      <name val="Arial"/>
      <family val="2"/>
    </font>
    <font>
      <sz val="10"/>
      <color indexed="8"/>
      <name val="Arial"/>
      <family val="2"/>
    </font>
    <font>
      <sz val="10"/>
      <color indexed="16"/>
      <name val="Arial"/>
      <family val="2"/>
    </font>
    <font>
      <b/>
      <sz val="15"/>
      <color indexed="56"/>
      <name val="Calibri"/>
      <family val="2"/>
    </font>
    <font>
      <b/>
      <sz val="13"/>
      <color indexed="56"/>
      <name val="Calibri"/>
      <family val="2"/>
    </font>
    <font>
      <b/>
      <sz val="11"/>
      <color indexed="56"/>
      <name val="Calibri"/>
      <family val="2"/>
    </font>
    <font>
      <b/>
      <sz val="10"/>
      <color indexed="53"/>
      <name val="Arial"/>
      <family val="2"/>
    </font>
    <font>
      <sz val="11"/>
      <color indexed="52"/>
      <name val="Calibri"/>
      <family val="2"/>
    </font>
    <font>
      <b/>
      <sz val="10"/>
      <color indexed="9"/>
      <name val="Arial"/>
      <family val="2"/>
    </font>
    <font>
      <b/>
      <sz val="10"/>
      <color indexed="8"/>
      <name val="Arial"/>
      <family val="2"/>
    </font>
    <font>
      <i/>
      <sz val="11"/>
      <color indexed="23"/>
      <name val="Calibri"/>
      <family val="2"/>
    </font>
    <font>
      <sz val="11"/>
      <color indexed="17"/>
      <name val="Calibri"/>
      <family val="2"/>
    </font>
    <font>
      <u/>
      <sz val="11"/>
      <color indexed="12"/>
      <name val="Calibri"/>
      <family val="2"/>
    </font>
    <font>
      <sz val="11"/>
      <color indexed="20"/>
      <name val="Calibri"/>
      <family val="2"/>
    </font>
    <font>
      <sz val="11"/>
      <color indexed="62"/>
      <name val="Calibri"/>
      <family val="2"/>
    </font>
    <font>
      <sz val="10"/>
      <color indexed="60"/>
      <name val="Arial"/>
      <family val="2"/>
    </font>
    <font>
      <sz val="10"/>
      <name val="MS Sans Serif"/>
      <family val="2"/>
    </font>
    <font>
      <b/>
      <sz val="10"/>
      <color indexed="63"/>
      <name val="Arial"/>
      <family val="2"/>
    </font>
    <font>
      <b/>
      <sz val="11"/>
      <color indexed="63"/>
      <name val="Calibri"/>
      <family val="2"/>
    </font>
    <font>
      <b/>
      <sz val="18"/>
      <color indexed="62"/>
      <name val="Cambria"/>
      <family val="2"/>
    </font>
    <font>
      <sz val="11"/>
      <color indexed="10"/>
      <name val="Calibri"/>
      <family val="2"/>
    </font>
    <font>
      <b/>
      <sz val="18"/>
      <color indexed="56"/>
      <name val="Cambria"/>
      <family val="2"/>
    </font>
    <font>
      <b/>
      <sz val="11"/>
      <color indexed="8"/>
      <name val="Calibri"/>
      <family val="2"/>
    </font>
    <font>
      <b/>
      <sz val="11"/>
      <color indexed="9"/>
      <name val="Calibri"/>
      <family val="2"/>
    </font>
    <font>
      <sz val="10"/>
      <name val="Tahoma"/>
      <family val="2"/>
    </font>
    <font>
      <b/>
      <sz val="9"/>
      <name val="Helv"/>
    </font>
    <font>
      <b/>
      <sz val="18"/>
      <name val="Arial"/>
      <family val="2"/>
    </font>
    <font>
      <b/>
      <sz val="15"/>
      <color indexed="62"/>
      <name val="Calibri"/>
      <family val="2"/>
    </font>
    <font>
      <b/>
      <sz val="15"/>
      <color indexed="56"/>
      <name val="Arial"/>
      <family val="2"/>
    </font>
    <font>
      <b/>
      <sz val="13"/>
      <color indexed="62"/>
      <name val="Calibri"/>
      <family val="2"/>
    </font>
    <font>
      <b/>
      <sz val="13"/>
      <color indexed="56"/>
      <name val="Arial"/>
      <family val="2"/>
    </font>
    <font>
      <b/>
      <sz val="11"/>
      <color indexed="62"/>
      <name val="Calibri"/>
      <family val="2"/>
    </font>
    <font>
      <b/>
      <sz val="11"/>
      <color indexed="56"/>
      <name val="Arial"/>
      <family val="2"/>
    </font>
    <font>
      <b/>
      <sz val="10"/>
      <color indexed="52"/>
      <name val="Arial"/>
      <family val="2"/>
    </font>
    <font>
      <sz val="10"/>
      <color indexed="52"/>
      <name val="Arial"/>
      <family val="2"/>
    </font>
    <font>
      <sz val="12"/>
      <name val="Arial"/>
      <family val="2"/>
    </font>
    <font>
      <sz val="10"/>
      <color indexed="17"/>
      <name val="Arial"/>
      <family val="2"/>
    </font>
    <font>
      <b/>
      <sz val="8"/>
      <name val="Arial"/>
      <family val="2"/>
    </font>
    <font>
      <sz val="8"/>
      <name val="Tahoma"/>
      <family val="2"/>
    </font>
    <font>
      <sz val="10"/>
      <color indexed="62"/>
      <name val="Arial"/>
      <family val="2"/>
    </font>
    <font>
      <sz val="11"/>
      <name val="Times New Roman"/>
      <family val="1"/>
    </font>
    <font>
      <sz val="8"/>
      <name val="Arial"/>
      <family val="2"/>
    </font>
    <font>
      <sz val="10"/>
      <color indexed="23"/>
      <name val="Arial"/>
      <family val="2"/>
    </font>
    <font>
      <b/>
      <sz val="12"/>
      <name val="Arial"/>
      <family val="2"/>
    </font>
    <font>
      <sz val="10"/>
      <color indexed="20"/>
      <name val="Arial"/>
      <family val="2"/>
    </font>
    <font>
      <sz val="10"/>
      <color indexed="24"/>
      <name val="Arial"/>
      <family val="2"/>
    </font>
    <font>
      <sz val="8"/>
      <color indexed="10"/>
      <name val="Arial"/>
      <family val="2"/>
    </font>
    <font>
      <b/>
      <i/>
      <sz val="16"/>
      <name val="Helv"/>
    </font>
    <font>
      <sz val="10"/>
      <name val="Courier"/>
      <family val="3"/>
    </font>
    <font>
      <sz val="12"/>
      <name val="Courier"/>
      <family val="3"/>
    </font>
    <font>
      <sz val="10"/>
      <name val="Arial CE"/>
      <charset val="238"/>
    </font>
    <font>
      <sz val="10"/>
      <name val="Times New Roman CE"/>
      <family val="1"/>
      <charset val="238"/>
    </font>
    <font>
      <sz val="10"/>
      <name val="Helv"/>
    </font>
    <font>
      <sz val="10"/>
      <color indexed="10"/>
      <name val="Arial"/>
      <family val="2"/>
    </font>
    <font>
      <i/>
      <sz val="10"/>
      <color indexed="23"/>
      <name val="Arial"/>
      <family val="2"/>
    </font>
    <font>
      <b/>
      <sz val="16"/>
      <color indexed="9"/>
      <name val="Arial"/>
      <family val="2"/>
    </font>
    <font>
      <b/>
      <sz val="14"/>
      <name val="Arial"/>
      <family val="2"/>
    </font>
    <font>
      <b/>
      <sz val="11"/>
      <name val="Arial"/>
      <family val="2"/>
    </font>
    <font>
      <b/>
      <sz val="10"/>
      <name val="Helv"/>
    </font>
    <font>
      <b/>
      <sz val="8"/>
      <name val="Times New Roman"/>
      <family val="1"/>
    </font>
    <font>
      <b/>
      <sz val="11"/>
      <color indexed="52"/>
      <name val="Calibri"/>
      <family val="2"/>
    </font>
    <font>
      <sz val="9"/>
      <name val="UniversCondLight"/>
    </font>
    <font>
      <b/>
      <sz val="10"/>
      <color indexed="12"/>
      <name val="Calibri"/>
      <family val="2"/>
    </font>
    <font>
      <sz val="10"/>
      <name val="Calibri"/>
      <family val="2"/>
    </font>
    <font>
      <i/>
      <sz val="10"/>
      <name val="Calibri"/>
      <family val="2"/>
    </font>
    <font>
      <b/>
      <sz val="10"/>
      <name val="Calibri"/>
      <family val="2"/>
    </font>
    <font>
      <sz val="11"/>
      <color indexed="60"/>
      <name val="Calibri"/>
      <family val="2"/>
    </font>
    <font>
      <sz val="10"/>
      <name val="Arial"/>
      <family val="2"/>
    </font>
    <font>
      <u/>
      <sz val="8"/>
      <color indexed="12"/>
      <name val="Arial"/>
      <family val="2"/>
    </font>
    <font>
      <sz val="10"/>
      <name val="Arial"/>
      <family val="2"/>
    </font>
    <font>
      <b/>
      <i/>
      <sz val="8"/>
      <color indexed="56"/>
      <name val="Segoe UI"/>
      <family val="2"/>
    </font>
    <font>
      <b/>
      <sz val="10"/>
      <name val="Arial"/>
      <family val="2"/>
    </font>
    <font>
      <u/>
      <sz val="8"/>
      <name val="Arial"/>
      <family val="2"/>
    </font>
    <font>
      <i/>
      <sz val="8"/>
      <name val="Arial"/>
      <family val="2"/>
    </font>
    <font>
      <b/>
      <sz val="8"/>
      <color indexed="56"/>
      <name val="Segoe UI"/>
      <family val="2"/>
    </font>
    <font>
      <b/>
      <i/>
      <sz val="8"/>
      <name val="Arial"/>
      <family val="2"/>
    </font>
    <font>
      <i/>
      <sz val="10"/>
      <name val="Arial"/>
      <family val="2"/>
    </font>
    <font>
      <i/>
      <u/>
      <sz val="8"/>
      <name val="Arial"/>
      <family val="2"/>
    </font>
    <font>
      <i/>
      <sz val="8"/>
      <name val="Calibri"/>
      <family val="2"/>
    </font>
    <font>
      <sz val="11"/>
      <color theme="1"/>
      <name val="Calibri"/>
      <family val="2"/>
      <scheme val="minor"/>
    </font>
    <font>
      <sz val="11"/>
      <color theme="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9"/>
      <name val="Calibri"/>
      <family val="2"/>
      <scheme val="minor"/>
    </font>
    <font>
      <b/>
      <sz val="11"/>
      <color rgb="FFFA7D00"/>
      <name val="Calibri"/>
      <family val="2"/>
    </font>
    <font>
      <sz val="11"/>
      <color rgb="FFFA7D00"/>
      <name val="Calibri"/>
      <family val="2"/>
      <scheme val="minor"/>
    </font>
    <font>
      <sz val="11"/>
      <color rgb="FF006100"/>
      <name val="Calibri"/>
      <family val="2"/>
      <scheme val="minor"/>
    </font>
    <font>
      <sz val="11"/>
      <color rgb="FF006100"/>
      <name val="Calibri"/>
      <family val="2"/>
    </font>
    <font>
      <sz val="11"/>
      <color rgb="FF3F3F76"/>
      <name val="Calibri"/>
      <family val="2"/>
      <scheme val="minor"/>
    </font>
    <font>
      <sz val="11"/>
      <color rgb="FF3F3F76"/>
      <name val="Calibri"/>
      <family val="2"/>
    </font>
    <font>
      <u/>
      <sz val="11"/>
      <color theme="10"/>
      <name val="Calibri"/>
      <family val="2"/>
    </font>
    <font>
      <u/>
      <sz val="11"/>
      <color theme="10"/>
      <name val="Calibri"/>
      <family val="2"/>
      <scheme val="minor"/>
    </font>
    <font>
      <u/>
      <sz val="8"/>
      <color rgb="FF0000FF"/>
      <name val="Calibri"/>
      <family val="2"/>
      <scheme val="minor"/>
    </font>
    <font>
      <sz val="11"/>
      <color rgb="FF9C6500"/>
      <name val="Calibri"/>
      <family val="2"/>
    </font>
    <font>
      <sz val="11"/>
      <color theme="1"/>
      <name val="Arial Narrow"/>
      <family val="2"/>
    </font>
    <font>
      <sz val="10"/>
      <color theme="1"/>
      <name val="Calibri"/>
      <family val="2"/>
      <scheme val="minor"/>
    </font>
    <font>
      <sz val="11"/>
      <color rgb="FFFF0000"/>
      <name val="Calibri"/>
      <family val="2"/>
      <scheme val="minor"/>
    </font>
    <font>
      <sz val="9"/>
      <color theme="0"/>
      <name val="Calibri"/>
      <family val="2"/>
    </font>
    <font>
      <sz val="8"/>
      <color rgb="FF0000FF"/>
      <name val="Calibri"/>
      <family val="2"/>
    </font>
    <font>
      <sz val="8"/>
      <color theme="3"/>
      <name val="Calibri"/>
      <family val="2"/>
    </font>
    <font>
      <b/>
      <sz val="9"/>
      <color theme="3"/>
      <name val="Calibri"/>
      <family val="2"/>
    </font>
    <font>
      <sz val="10"/>
      <name val="Calibri"/>
      <family val="2"/>
      <scheme val="minor"/>
    </font>
    <font>
      <b/>
      <sz val="10"/>
      <color theme="3"/>
      <name val="Calibri"/>
      <family val="2"/>
      <scheme val="minor"/>
    </font>
    <font>
      <sz val="10"/>
      <color theme="3"/>
      <name val="Calibri"/>
      <family val="2"/>
      <scheme val="minor"/>
    </font>
    <font>
      <sz val="10"/>
      <color rgb="FF000099"/>
      <name val="Calibri"/>
      <family val="2"/>
      <scheme val="minor"/>
    </font>
    <font>
      <b/>
      <sz val="10"/>
      <name val="Calibri"/>
      <family val="2"/>
      <scheme val="minor"/>
    </font>
    <font>
      <b/>
      <sz val="10"/>
      <color indexed="12"/>
      <name val="Calibri"/>
      <family val="2"/>
      <scheme val="minor"/>
    </font>
    <font>
      <sz val="10"/>
      <color indexed="12"/>
      <name val="Calibri"/>
      <family val="2"/>
      <scheme val="minor"/>
    </font>
    <font>
      <b/>
      <sz val="14"/>
      <color theme="3"/>
      <name val="Calibri"/>
      <family val="2"/>
      <scheme val="minor"/>
    </font>
    <font>
      <b/>
      <sz val="14"/>
      <color theme="3"/>
      <name val="Calibri"/>
      <family val="2"/>
    </font>
    <font>
      <sz val="8"/>
      <color rgb="FFFF0000"/>
      <name val="Calibri"/>
      <family val="2"/>
    </font>
    <font>
      <sz val="8"/>
      <color theme="1"/>
      <name val="Calibri"/>
      <family val="2"/>
    </font>
    <font>
      <b/>
      <sz val="10"/>
      <color theme="9" tint="-0.499984740745262"/>
      <name val="Arial"/>
      <family val="2"/>
    </font>
    <font>
      <b/>
      <sz val="14"/>
      <color rgb="FF002060"/>
      <name val="Calibri"/>
      <family val="2"/>
      <scheme val="minor"/>
    </font>
    <font>
      <sz val="10"/>
      <color rgb="FF002060"/>
      <name val="Arial"/>
      <family val="2"/>
    </font>
    <font>
      <b/>
      <sz val="11"/>
      <color rgb="FF002060"/>
      <name val="Calibri"/>
      <family val="2"/>
      <scheme val="minor"/>
    </font>
    <font>
      <u/>
      <sz val="14"/>
      <color rgb="FF002060"/>
      <name val="Calibri"/>
      <family val="2"/>
    </font>
    <font>
      <sz val="11"/>
      <color rgb="FF002060"/>
      <name val="Calibri"/>
      <family val="2"/>
      <scheme val="minor"/>
    </font>
    <font>
      <sz val="10"/>
      <color rgb="FFFF0000"/>
      <name val="Arial"/>
      <family val="2"/>
    </font>
    <font>
      <sz val="9"/>
      <color rgb="FFFF0000"/>
      <name val="Calibri"/>
      <family val="2"/>
    </font>
    <font>
      <sz val="10"/>
      <color rgb="FFFF0000"/>
      <name val="Calibri"/>
      <family val="2"/>
    </font>
    <font>
      <b/>
      <sz val="10"/>
      <color theme="3"/>
      <name val="Calibri"/>
      <family val="2"/>
    </font>
    <font>
      <sz val="10"/>
      <color theme="3"/>
      <name val="Calibri"/>
      <family val="2"/>
    </font>
    <font>
      <sz val="8"/>
      <name val="Calibri"/>
      <family val="2"/>
      <scheme val="minor"/>
    </font>
    <font>
      <sz val="8"/>
      <color theme="0"/>
      <name val="Arial"/>
      <family val="2"/>
    </font>
    <font>
      <i/>
      <sz val="8"/>
      <color theme="0"/>
      <name val="Arial"/>
      <family val="2"/>
    </font>
    <font>
      <b/>
      <i/>
      <sz val="8"/>
      <color rgb="FF002060"/>
      <name val="Segoe UI"/>
      <family val="2"/>
    </font>
    <font>
      <i/>
      <sz val="10"/>
      <name val="Calibri"/>
      <family val="2"/>
      <scheme val="minor"/>
    </font>
    <font>
      <i/>
      <sz val="10"/>
      <color rgb="FFFF0000"/>
      <name val="Calibri"/>
      <family val="2"/>
    </font>
    <font>
      <i/>
      <sz val="9"/>
      <color rgb="FFFF0000"/>
      <name val="Calibri"/>
      <family val="2"/>
    </font>
    <font>
      <i/>
      <sz val="8"/>
      <color rgb="FFFF0000"/>
      <name val="Calibri"/>
      <family val="2"/>
    </font>
    <font>
      <sz val="12"/>
      <color indexed="8"/>
      <name val="Arial MT"/>
      <family val="2"/>
    </font>
    <font>
      <sz val="1"/>
      <color indexed="8"/>
      <name val="Courier"/>
      <family val="3"/>
    </font>
    <font>
      <sz val="10"/>
      <color indexed="12"/>
      <name val="Arial"/>
      <family val="2"/>
    </font>
    <font>
      <u/>
      <sz val="8"/>
      <color indexed="12"/>
      <name val="Calibri"/>
      <family val="2"/>
    </font>
    <font>
      <u/>
      <sz val="10"/>
      <color indexed="12"/>
      <name val="Arial"/>
      <family val="2"/>
    </font>
    <font>
      <sz val="10"/>
      <color indexed="14"/>
      <name val="Arial"/>
      <family val="2"/>
    </font>
    <font>
      <sz val="11"/>
      <color indexed="8"/>
      <name val="Arial Narrow"/>
      <family val="2"/>
    </font>
    <font>
      <sz val="10"/>
      <color indexed="8"/>
      <name val="Calibri"/>
      <family val="2"/>
    </font>
    <font>
      <sz val="11"/>
      <name val="Calibri"/>
      <family val="2"/>
    </font>
    <font>
      <b/>
      <sz val="10"/>
      <color rgb="FF002060"/>
      <name val="Segoe UI"/>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22"/>
      </patternFill>
    </fill>
    <fill>
      <patternFill patternType="solid">
        <fgColor indexed="62"/>
      </patternFill>
    </fill>
    <fill>
      <patternFill patternType="solid">
        <fgColor indexed="5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26"/>
      </patternFill>
    </fill>
    <fill>
      <patternFill patternType="solid">
        <fgColor indexed="42"/>
        <bgColor indexed="64"/>
      </patternFill>
    </fill>
    <fill>
      <patternFill patternType="solid">
        <fgColor indexed="24"/>
        <bgColor indexed="64"/>
      </patternFill>
    </fill>
    <fill>
      <patternFill patternType="solid">
        <fgColor indexed="55"/>
      </patternFill>
    </fill>
    <fill>
      <patternFill patternType="solid">
        <fgColor indexed="9"/>
        <bgColor indexed="64"/>
      </patternFill>
    </fill>
    <fill>
      <patternFill patternType="solid">
        <fgColor theme="6" tint="0.79998168889431442"/>
        <bgColor indexed="65"/>
      </patternFill>
    </fill>
    <fill>
      <patternFill patternType="solid">
        <fgColor rgb="FFF2F2F2"/>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lightVertical">
        <fgColor theme="6" tint="0.39994506668294322"/>
        <bgColor theme="0"/>
      </patternFill>
    </fill>
    <fill>
      <patternFill patternType="solid">
        <fgColor theme="0"/>
        <bgColor rgb="FF000000"/>
      </patternFill>
    </fill>
    <fill>
      <patternFill patternType="solid">
        <fgColor theme="3"/>
        <bgColor indexed="64"/>
      </patternFill>
    </fill>
    <fill>
      <patternFill patternType="solid">
        <fgColor rgb="FFFFFF00"/>
        <bgColor indexed="64"/>
      </patternFill>
    </fill>
    <fill>
      <patternFill patternType="solid">
        <fgColor theme="4" tint="-0.249977111117893"/>
        <bgColor indexed="64"/>
      </patternFill>
    </fill>
    <fill>
      <patternFill patternType="mediumGray"/>
    </fill>
  </fills>
  <borders count="66">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right/>
      <top/>
      <bottom style="thin">
        <color indexed="12"/>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medium">
        <color indexed="64"/>
      </left>
      <right style="medium">
        <color indexed="64"/>
      </right>
      <top/>
      <bottom style="hair">
        <color theme="3" tint="0.3999450666829432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dotted">
        <color theme="3"/>
      </left>
      <right style="dotted">
        <color theme="3"/>
      </right>
      <top style="thin">
        <color theme="3"/>
      </top>
      <bottom style="thin">
        <color theme="3"/>
      </bottom>
      <diagonal/>
    </border>
    <border>
      <left style="dotted">
        <color theme="3"/>
      </left>
      <right/>
      <top style="thin">
        <color theme="3"/>
      </top>
      <bottom style="thin">
        <color theme="3"/>
      </bottom>
      <diagonal/>
    </border>
    <border>
      <left style="dotted">
        <color theme="3"/>
      </left>
      <right style="dotted">
        <color theme="3"/>
      </right>
      <top/>
      <bottom style="thin">
        <color theme="3"/>
      </bottom>
      <diagonal/>
    </border>
    <border>
      <left style="dotted">
        <color theme="3"/>
      </left>
      <right/>
      <top/>
      <bottom style="thin">
        <color theme="3"/>
      </bottom>
      <diagonal/>
    </border>
    <border>
      <left/>
      <right/>
      <top/>
      <bottom style="thin">
        <color theme="3"/>
      </bottom>
      <diagonal/>
    </border>
    <border>
      <left/>
      <right/>
      <top style="thin">
        <color theme="3"/>
      </top>
      <bottom/>
      <diagonal/>
    </border>
    <border>
      <left/>
      <right/>
      <top style="thin">
        <color theme="3"/>
      </top>
      <bottom style="thin">
        <color theme="3"/>
      </bottom>
      <diagonal/>
    </border>
    <border>
      <left style="dotted">
        <color theme="3"/>
      </left>
      <right style="dotted">
        <color theme="3"/>
      </right>
      <top style="thin">
        <color theme="3"/>
      </top>
      <bottom/>
      <diagonal/>
    </border>
    <border>
      <left/>
      <right/>
      <top/>
      <bottom style="medium">
        <color theme="3"/>
      </bottom>
      <diagonal/>
    </border>
    <border>
      <left/>
      <right/>
      <top/>
      <bottom style="thin">
        <color rgb="FF000099"/>
      </bottom>
      <diagonal/>
    </border>
    <border>
      <left/>
      <right/>
      <top/>
      <bottom style="thin">
        <color rgb="FF002060"/>
      </bottom>
      <diagonal/>
    </border>
    <border>
      <left/>
      <right/>
      <top style="thin">
        <color theme="4"/>
      </top>
      <bottom style="thin">
        <color theme="4"/>
      </bottom>
      <diagonal/>
    </border>
    <border>
      <left/>
      <right/>
      <top/>
      <bottom style="thin">
        <color theme="4"/>
      </bottom>
      <diagonal/>
    </border>
    <border>
      <left/>
      <right/>
      <top style="thin">
        <color theme="4"/>
      </top>
      <bottom/>
      <diagonal/>
    </border>
    <border>
      <left style="thin">
        <color rgb="FF2A4B74"/>
      </left>
      <right/>
      <top/>
      <bottom style="thin">
        <color rgb="FF2A4B74"/>
      </bottom>
      <diagonal/>
    </border>
    <border>
      <left/>
      <right style="thin">
        <color rgb="FF2A4B74"/>
      </right>
      <top/>
      <bottom style="thin">
        <color rgb="FF2A4B74"/>
      </bottom>
      <diagonal/>
    </border>
    <border>
      <left style="thin">
        <color rgb="FF2A4B74"/>
      </left>
      <right/>
      <top style="thin">
        <color rgb="FF2A4B74"/>
      </top>
      <bottom/>
      <diagonal/>
    </border>
    <border>
      <left style="thin">
        <color rgb="FF2A4B74"/>
      </left>
      <right/>
      <top/>
      <bottom/>
      <diagonal/>
    </border>
    <border>
      <left/>
      <right style="thin">
        <color rgb="FF2A4B74"/>
      </right>
      <top style="thin">
        <color rgb="FF2A4B74"/>
      </top>
      <bottom/>
      <diagonal/>
    </border>
    <border>
      <left/>
      <right style="thin">
        <color rgb="FF2A4B74"/>
      </right>
      <top/>
      <bottom/>
      <diagonal/>
    </border>
    <border>
      <left style="dotted">
        <color theme="3"/>
      </left>
      <right/>
      <top style="thin">
        <color theme="3"/>
      </top>
      <bottom/>
      <diagonal/>
    </border>
    <border>
      <left/>
      <right style="dotted">
        <color theme="3"/>
      </right>
      <top style="thin">
        <color theme="3"/>
      </top>
      <bottom/>
      <diagonal/>
    </border>
    <border>
      <left/>
      <right style="dotted">
        <color theme="3"/>
      </right>
      <top/>
      <bottom style="thin">
        <color theme="3"/>
      </bottom>
      <diagonal/>
    </border>
    <border>
      <left/>
      <right style="dotted">
        <color theme="3"/>
      </right>
      <top style="thin">
        <color theme="3"/>
      </top>
      <bottom style="thin">
        <color theme="3"/>
      </bottom>
      <diagonal/>
    </border>
    <border>
      <left style="thin">
        <color rgb="FF2A4B74"/>
      </left>
      <right style="thin">
        <color rgb="FF2A4B74"/>
      </right>
      <top style="thin">
        <color rgb="FF2A4B74"/>
      </top>
      <bottom/>
      <diagonal/>
    </border>
    <border>
      <left style="thin">
        <color rgb="FF2A4B74"/>
      </left>
      <right style="thin">
        <color rgb="FF2A4B74"/>
      </right>
      <top/>
      <bottom/>
      <diagonal/>
    </border>
    <border>
      <left style="thin">
        <color rgb="FF2A4B74"/>
      </left>
      <right style="thin">
        <color rgb="FF2A4B74"/>
      </right>
      <top/>
      <bottom style="thin">
        <color rgb="FF2A4B74"/>
      </bottom>
      <diagonal/>
    </border>
    <border>
      <left style="medium">
        <color indexed="64"/>
      </left>
      <right style="medium">
        <color indexed="64"/>
      </right>
      <top/>
      <bottom style="hair">
        <color indexed="62"/>
      </bottom>
      <diagonal/>
    </border>
    <border>
      <left/>
      <right/>
      <top style="medium">
        <color indexed="64"/>
      </top>
      <bottom style="medium">
        <color indexed="64"/>
      </bottom>
      <diagonal/>
    </border>
    <border>
      <left/>
      <right/>
      <top style="thin">
        <color indexed="64"/>
      </top>
      <bottom style="thin">
        <color indexed="64"/>
      </bottom>
      <diagonal/>
    </border>
    <border>
      <left style="thin">
        <color auto="1"/>
      </left>
      <right/>
      <top/>
      <bottom style="thin">
        <color auto="1"/>
      </bottom>
      <diagonal/>
    </border>
    <border>
      <left/>
      <right style="thin">
        <color auto="1"/>
      </right>
      <top/>
      <bottom style="thin">
        <color auto="1"/>
      </bottom>
      <diagonal/>
    </border>
    <border>
      <left/>
      <right style="thin">
        <color rgb="FF2A4B74"/>
      </right>
      <top/>
      <bottom style="thin">
        <color auto="1"/>
      </bottom>
      <diagonal/>
    </border>
    <border>
      <left/>
      <right/>
      <top/>
      <bottom style="thin">
        <color auto="1"/>
      </bottom>
      <diagonal/>
    </border>
  </borders>
  <cellStyleXfs count="2492">
    <xf numFmtId="0" fontId="0" fillId="0" borderId="0"/>
    <xf numFmtId="0" fontId="10" fillId="0" borderId="0"/>
    <xf numFmtId="173" fontId="10" fillId="0" borderId="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3"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13" fillId="4" borderId="0" applyNumberFormat="0" applyBorder="0" applyAlignment="0" applyProtection="0"/>
    <xf numFmtId="0" fontId="95" fillId="51"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3"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3"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3"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3"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3"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3"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3"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3"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4"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4"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4"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4"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4"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5" fillId="21" borderId="0" applyNumberFormat="0" applyBorder="0" applyAlignment="0" applyProtection="0"/>
    <xf numFmtId="0" fontId="15" fillId="16" borderId="0" applyNumberFormat="0" applyBorder="0" applyAlignment="0" applyProtection="0"/>
    <xf numFmtId="0" fontId="16" fillId="17" borderId="0" applyNumberFormat="0" applyBorder="0" applyAlignment="0" applyProtection="0"/>
    <xf numFmtId="0" fontId="16"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6" fillId="26" borderId="0" applyNumberFormat="0" applyBorder="0" applyAlignment="0" applyProtection="0"/>
    <xf numFmtId="0" fontId="16" fillId="17" borderId="0" applyNumberFormat="0" applyBorder="0" applyAlignment="0" applyProtection="0"/>
    <xf numFmtId="0" fontId="15" fillId="18" borderId="0" applyNumberFormat="0" applyBorder="0" applyAlignment="0" applyProtection="0"/>
    <xf numFmtId="0" fontId="15" fillId="27" borderId="0" applyNumberFormat="0" applyBorder="0" applyAlignment="0" applyProtection="0"/>
    <xf numFmtId="0" fontId="16" fillId="20" borderId="0" applyNumberFormat="0" applyBorder="0" applyAlignment="0" applyProtection="0"/>
    <xf numFmtId="0" fontId="16" fillId="28" borderId="0" applyNumberFormat="0" applyBorder="0" applyAlignment="0" applyProtection="0"/>
    <xf numFmtId="0" fontId="15" fillId="28" borderId="0" applyNumberFormat="0" applyBorder="0" applyAlignment="0" applyProtection="0"/>
    <xf numFmtId="174" fontId="40" fillId="0" borderId="1">
      <alignment horizontal="center" vertical="center"/>
    </xf>
    <xf numFmtId="0" fontId="17" fillId="30" borderId="0" applyNumberFormat="0" applyBorder="0" applyAlignment="0" applyProtection="0"/>
    <xf numFmtId="0" fontId="74" fillId="0" borderId="2" applyNumberFormat="0" applyBorder="0" applyProtection="0">
      <alignment horizontal="center"/>
    </xf>
    <xf numFmtId="0" fontId="96" fillId="0" borderId="25" applyNumberFormat="0" applyFill="0" applyAlignment="0" applyProtection="0"/>
    <xf numFmtId="173" fontId="96" fillId="0" borderId="25" applyNumberFormat="0" applyFill="0" applyAlignment="0" applyProtection="0"/>
    <xf numFmtId="173" fontId="96" fillId="0" borderId="25" applyNumberFormat="0" applyFill="0" applyAlignment="0" applyProtection="0"/>
    <xf numFmtId="0" fontId="41" fillId="0" borderId="0" applyNumberFormat="0" applyFill="0" applyBorder="0" applyAlignment="0" applyProtection="0"/>
    <xf numFmtId="0" fontId="18" fillId="0" borderId="3"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0" fontId="43" fillId="0" borderId="3" applyNumberFormat="0" applyFill="0" applyAlignment="0" applyProtection="0"/>
    <xf numFmtId="0" fontId="43" fillId="0" borderId="3" applyNumberFormat="0" applyFill="0" applyAlignment="0" applyProtection="0"/>
    <xf numFmtId="0" fontId="96" fillId="0" borderId="25" applyNumberFormat="0" applyFill="0" applyAlignment="0" applyProtection="0"/>
    <xf numFmtId="173" fontId="96" fillId="0" borderId="25" applyNumberFormat="0" applyFill="0" applyAlignment="0" applyProtection="0"/>
    <xf numFmtId="173" fontId="96" fillId="0" borderId="25" applyNumberFormat="0" applyFill="0" applyAlignment="0" applyProtection="0"/>
    <xf numFmtId="173" fontId="96" fillId="0" borderId="25" applyNumberFormat="0" applyFill="0" applyAlignment="0" applyProtection="0"/>
    <xf numFmtId="173" fontId="96" fillId="0" borderId="25" applyNumberFormat="0" applyFill="0" applyAlignment="0" applyProtection="0"/>
    <xf numFmtId="0" fontId="74" fillId="0" borderId="2" applyNumberFormat="0" applyBorder="0" applyProtection="0">
      <alignment horizontal="center"/>
    </xf>
    <xf numFmtId="173" fontId="97" fillId="0" borderId="26" applyNumberFormat="0" applyFill="0" applyAlignment="0" applyProtection="0"/>
    <xf numFmtId="173" fontId="97" fillId="0" borderId="26" applyNumberFormat="0" applyFill="0" applyAlignment="0" applyProtection="0"/>
    <xf numFmtId="0" fontId="74" fillId="0" borderId="2" applyNumberFormat="0" applyBorder="0" applyProtection="0">
      <alignment horizontal="center"/>
    </xf>
    <xf numFmtId="0" fontId="19" fillId="0" borderId="5"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0" fontId="45" fillId="0" borderId="5" applyNumberFormat="0" applyFill="0" applyAlignment="0" applyProtection="0"/>
    <xf numFmtId="0" fontId="45" fillId="0" borderId="5" applyNumberFormat="0" applyFill="0" applyAlignment="0" applyProtection="0"/>
    <xf numFmtId="173" fontId="97" fillId="0" borderId="26" applyNumberFormat="0" applyFill="0" applyAlignment="0" applyProtection="0"/>
    <xf numFmtId="173" fontId="97" fillId="0" borderId="26" applyNumberFormat="0" applyFill="0" applyAlignment="0" applyProtection="0"/>
    <xf numFmtId="173" fontId="97" fillId="0" borderId="26" applyNumberFormat="0" applyFill="0" applyAlignment="0" applyProtection="0"/>
    <xf numFmtId="173" fontId="97" fillId="0" borderId="26" applyNumberFormat="0" applyFill="0" applyAlignment="0" applyProtection="0"/>
    <xf numFmtId="173" fontId="97" fillId="0" borderId="26" applyNumberFormat="0" applyFill="0" applyAlignment="0" applyProtection="0"/>
    <xf numFmtId="0" fontId="74" fillId="0" borderId="2" applyNumberFormat="0" applyBorder="0" applyProtection="0">
      <alignment horizontal="center"/>
    </xf>
    <xf numFmtId="173" fontId="98" fillId="0" borderId="27" applyNumberFormat="0" applyFill="0" applyAlignment="0" applyProtection="0"/>
    <xf numFmtId="173" fontId="98" fillId="0" borderId="27" applyNumberFormat="0" applyFill="0" applyAlignment="0" applyProtection="0"/>
    <xf numFmtId="0" fontId="74" fillId="0" borderId="2" applyNumberFormat="0" applyBorder="0" applyProtection="0">
      <alignment horizontal="center"/>
    </xf>
    <xf numFmtId="0" fontId="20" fillId="0" borderId="7"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0" fontId="47" fillId="0" borderId="7" applyNumberFormat="0" applyFill="0" applyAlignment="0" applyProtection="0"/>
    <xf numFmtId="0" fontId="47" fillId="0" borderId="7" applyNumberFormat="0" applyFill="0" applyAlignment="0" applyProtection="0"/>
    <xf numFmtId="173" fontId="98" fillId="0" borderId="27" applyNumberFormat="0" applyFill="0" applyAlignment="0" applyProtection="0"/>
    <xf numFmtId="173" fontId="98" fillId="0" borderId="27" applyNumberFormat="0" applyFill="0" applyAlignment="0" applyProtection="0"/>
    <xf numFmtId="173" fontId="98" fillId="0" borderId="27" applyNumberFormat="0" applyFill="0" applyAlignment="0" applyProtection="0"/>
    <xf numFmtId="173" fontId="98" fillId="0" borderId="27" applyNumberFormat="0" applyFill="0" applyAlignment="0" applyProtection="0"/>
    <xf numFmtId="173" fontId="98" fillId="0" borderId="27" applyNumberFormat="0" applyFill="0" applyAlignment="0" applyProtection="0"/>
    <xf numFmtId="0" fontId="74" fillId="0" borderId="2" applyNumberFormat="0" applyBorder="0" applyProtection="0">
      <alignment horizontal="center"/>
    </xf>
    <xf numFmtId="173" fontId="98" fillId="0" borderId="0" applyNumberFormat="0" applyFill="0" applyBorder="0" applyAlignment="0" applyProtection="0"/>
    <xf numFmtId="173" fontId="98" fillId="0" borderId="0" applyNumberFormat="0" applyFill="0" applyBorder="0" applyAlignment="0" applyProtection="0"/>
    <xf numFmtId="0" fontId="74" fillId="0" borderId="2" applyNumberFormat="0" applyBorder="0" applyProtection="0">
      <alignment horizontal="center"/>
    </xf>
    <xf numFmtId="0" fontId="20"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173" fontId="98" fillId="0" borderId="0" applyNumberFormat="0" applyFill="0" applyBorder="0" applyAlignment="0" applyProtection="0"/>
    <xf numFmtId="173" fontId="98" fillId="0" borderId="0" applyNumberFormat="0" applyFill="0" applyBorder="0" applyAlignment="0" applyProtection="0"/>
    <xf numFmtId="173" fontId="98" fillId="0" borderId="0" applyNumberFormat="0" applyFill="0" applyBorder="0" applyAlignment="0" applyProtection="0"/>
    <xf numFmtId="173" fontId="98" fillId="0" borderId="0" applyNumberFormat="0" applyFill="0" applyBorder="0" applyAlignment="0" applyProtection="0"/>
    <xf numFmtId="173" fontId="98" fillId="0" borderId="0" applyNumberFormat="0" applyFill="0" applyBorder="0" applyAlignment="0" applyProtection="0"/>
    <xf numFmtId="0" fontId="74" fillId="0" borderId="2" applyNumberFormat="0" applyBorder="0" applyProtection="0">
      <alignment horizontal="center"/>
    </xf>
    <xf numFmtId="165" fontId="99" fillId="0" borderId="28"/>
    <xf numFmtId="175" fontId="10" fillId="31" borderId="9" applyNumberFormat="0">
      <alignment vertical="center"/>
    </xf>
    <xf numFmtId="176" fontId="10" fillId="32" borderId="9" applyNumberFormat="0">
      <alignment vertical="center"/>
    </xf>
    <xf numFmtId="175" fontId="10" fillId="33" borderId="9" applyNumberFormat="0">
      <alignment vertical="center"/>
    </xf>
    <xf numFmtId="175" fontId="10" fillId="34" borderId="9" applyNumberFormat="0">
      <alignment vertical="center"/>
    </xf>
    <xf numFmtId="3" fontId="10" fillId="0" borderId="9" applyNumberFormat="0">
      <alignment vertical="center"/>
    </xf>
    <xf numFmtId="0" fontId="21" fillId="35" borderId="10" applyNumberFormat="0" applyAlignment="0" applyProtection="0"/>
    <xf numFmtId="0" fontId="21" fillId="35" borderId="10" applyNumberFormat="0" applyAlignment="0" applyProtection="0"/>
    <xf numFmtId="0" fontId="21" fillId="35" borderId="10" applyNumberFormat="0" applyAlignment="0" applyProtection="0"/>
    <xf numFmtId="0" fontId="21" fillId="35" borderId="10" applyNumberFormat="0" applyAlignment="0" applyProtection="0"/>
    <xf numFmtId="0" fontId="21" fillId="35" borderId="10" applyNumberFormat="0" applyAlignment="0" applyProtection="0"/>
    <xf numFmtId="0" fontId="21" fillId="35" borderId="10" applyNumberFormat="0" applyAlignment="0" applyProtection="0"/>
    <xf numFmtId="0" fontId="21" fillId="35" borderId="10" applyNumberFormat="0" applyAlignment="0" applyProtection="0"/>
    <xf numFmtId="0" fontId="21" fillId="35" borderId="10" applyNumberFormat="0" applyAlignment="0" applyProtection="0"/>
    <xf numFmtId="0" fontId="100" fillId="52" borderId="29" applyNumberFormat="0" applyAlignment="0" applyProtection="0"/>
    <xf numFmtId="0" fontId="75" fillId="36" borderId="10" applyNumberFormat="0" applyAlignment="0" applyProtection="0"/>
    <xf numFmtId="0" fontId="75" fillId="36" borderId="10" applyNumberFormat="0" applyAlignment="0" applyProtection="0"/>
    <xf numFmtId="0" fontId="75" fillId="36" borderId="10" applyNumberFormat="0" applyAlignment="0" applyProtection="0"/>
    <xf numFmtId="0" fontId="75" fillId="36" borderId="10" applyNumberFormat="0" applyAlignment="0" applyProtection="0"/>
    <xf numFmtId="0" fontId="75" fillId="36" borderId="10" applyNumberFormat="0" applyAlignment="0" applyProtection="0"/>
    <xf numFmtId="0" fontId="48" fillId="36" borderId="10" applyNumberFormat="0" applyAlignment="0" applyProtection="0"/>
    <xf numFmtId="0" fontId="48" fillId="36" borderId="10" applyNumberFormat="0" applyAlignment="0" applyProtection="0"/>
    <xf numFmtId="173" fontId="101" fillId="0" borderId="30" applyNumberFormat="0" applyFill="0" applyAlignment="0" applyProtection="0"/>
    <xf numFmtId="173" fontId="101" fillId="0" borderId="30" applyNumberFormat="0" applyFill="0" applyAlignment="0" applyProtection="0"/>
    <xf numFmtId="0"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0" fontId="49" fillId="0" borderId="11" applyNumberFormat="0" applyFill="0" applyAlignment="0" applyProtection="0"/>
    <xf numFmtId="0" fontId="49" fillId="0" borderId="11" applyNumberFormat="0" applyFill="0" applyAlignment="0" applyProtection="0"/>
    <xf numFmtId="173" fontId="101" fillId="0" borderId="30" applyNumberFormat="0" applyFill="0" applyAlignment="0" applyProtection="0"/>
    <xf numFmtId="173" fontId="101" fillId="0" borderId="30" applyNumberFormat="0" applyFill="0" applyAlignment="0" applyProtection="0"/>
    <xf numFmtId="173" fontId="101" fillId="0" borderId="30" applyNumberFormat="0" applyFill="0" applyAlignment="0" applyProtection="0"/>
    <xf numFmtId="173" fontId="101" fillId="0" borderId="30" applyNumberFormat="0" applyFill="0" applyAlignment="0" applyProtection="0"/>
    <xf numFmtId="173" fontId="101" fillId="0" borderId="30" applyNumberFormat="0" applyFill="0" applyAlignment="0" applyProtection="0"/>
    <xf numFmtId="0" fontId="23" fillId="22" borderId="12" applyNumberFormat="0" applyAlignment="0" applyProtection="0"/>
    <xf numFmtId="165" fontId="50" fillId="0" borderId="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9" fontId="10" fillId="0" borderId="0" applyFont="0" applyFill="0" applyBorder="0" applyAlignment="0" applyProtection="0"/>
    <xf numFmtId="174" fontId="10" fillId="0" borderId="0" applyFont="0" applyFill="0" applyBorder="0" applyAlignment="0" applyProtection="0"/>
    <xf numFmtId="18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81"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8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3"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 fontId="10" fillId="0" borderId="0" applyFill="0" applyBorder="0" applyAlignment="0" applyProtection="0"/>
    <xf numFmtId="0" fontId="14"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4"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4"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4"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4"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4"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73" fontId="102" fillId="53" borderId="0" applyNumberFormat="0" applyBorder="0" applyAlignment="0" applyProtection="0"/>
    <xf numFmtId="173" fontId="102" fillId="53" borderId="0" applyNumberFormat="0" applyBorder="0" applyAlignment="0" applyProtection="0"/>
    <xf numFmtId="0" fontId="103" fillId="53"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0"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0" fontId="51" fillId="4" borderId="0" applyNumberFormat="0" applyBorder="0" applyAlignment="0" applyProtection="0"/>
    <xf numFmtId="0" fontId="51" fillId="4" borderId="0" applyNumberFormat="0" applyBorder="0" applyAlignment="0" applyProtection="0"/>
    <xf numFmtId="173" fontId="102" fillId="53" borderId="0" applyNumberFormat="0" applyBorder="0" applyAlignment="0" applyProtection="0"/>
    <xf numFmtId="173" fontId="102" fillId="53" borderId="0" applyNumberFormat="0" applyBorder="0" applyAlignment="0" applyProtection="0"/>
    <xf numFmtId="173" fontId="102" fillId="53" borderId="0" applyNumberFormat="0" applyBorder="0" applyAlignment="0" applyProtection="0"/>
    <xf numFmtId="173" fontId="102" fillId="53" borderId="0" applyNumberFormat="0" applyBorder="0" applyAlignment="0" applyProtection="0"/>
    <xf numFmtId="173" fontId="102" fillId="53" borderId="0" applyNumberFormat="0" applyBorder="0" applyAlignment="0" applyProtection="0"/>
    <xf numFmtId="183" fontId="50" fillId="0" borderId="0" applyFill="0" applyBorder="0" applyAlignment="0" applyProtection="0"/>
    <xf numFmtId="177" fontId="10" fillId="0" borderId="0" applyFont="0" applyFill="0" applyBorder="0" applyAlignment="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5" fontId="10" fillId="0" borderId="0" applyFill="0" applyBorder="0" applyAlignment="0" applyProtection="0"/>
    <xf numFmtId="186" fontId="50" fillId="0" borderId="0" applyFill="0" applyBorder="0" applyAlignment="0" applyProtection="0"/>
    <xf numFmtId="17" fontId="52" fillId="0" borderId="0" applyFill="0" applyBorder="0">
      <alignment horizontal="right"/>
    </xf>
    <xf numFmtId="174" fontId="53" fillId="0" borderId="2" applyBorder="0">
      <alignment vertical="center"/>
    </xf>
    <xf numFmtId="174" fontId="53" fillId="0" borderId="2" applyBorder="0">
      <alignment vertical="center"/>
    </xf>
    <xf numFmtId="0" fontId="24" fillId="39"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173" fontId="104" fillId="54" borderId="29" applyNumberFormat="0" applyAlignment="0" applyProtection="0"/>
    <xf numFmtId="173" fontId="104" fillId="54" borderId="29" applyNumberFormat="0" applyAlignment="0" applyProtection="0"/>
    <xf numFmtId="0" fontId="105" fillId="54" borderId="29" applyNumberFormat="0" applyAlignment="0" applyProtection="0"/>
    <xf numFmtId="173" fontId="29" fillId="42" borderId="10" applyNumberFormat="0" applyAlignment="0" applyProtection="0"/>
    <xf numFmtId="173" fontId="29" fillId="42" borderId="10" applyNumberFormat="0" applyAlignment="0" applyProtection="0"/>
    <xf numFmtId="0" fontId="29" fillId="7" borderId="10" applyNumberFormat="0" applyAlignment="0" applyProtection="0"/>
    <xf numFmtId="0" fontId="29" fillId="7" borderId="10" applyNumberFormat="0" applyAlignment="0" applyProtection="0"/>
    <xf numFmtId="173" fontId="29" fillId="42" borderId="10" applyNumberFormat="0" applyAlignment="0" applyProtection="0"/>
    <xf numFmtId="173" fontId="29" fillId="42" borderId="10" applyNumberFormat="0" applyAlignment="0" applyProtection="0"/>
    <xf numFmtId="173" fontId="29" fillId="42" borderId="10" applyNumberFormat="0" applyAlignment="0" applyProtection="0"/>
    <xf numFmtId="173" fontId="29" fillId="42" borderId="10" applyNumberFormat="0" applyAlignment="0" applyProtection="0"/>
    <xf numFmtId="173" fontId="29" fillId="42" borderId="10" applyNumberFormat="0" applyAlignment="0" applyProtection="0"/>
    <xf numFmtId="173" fontId="29" fillId="42" borderId="10" applyNumberFormat="0" applyAlignment="0" applyProtection="0"/>
    <xf numFmtId="173" fontId="29" fillId="42" borderId="10" applyNumberFormat="0" applyAlignment="0" applyProtection="0"/>
    <xf numFmtId="173" fontId="29" fillId="42" borderId="10" applyNumberFormat="0" applyAlignment="0" applyProtection="0"/>
    <xf numFmtId="0" fontId="54" fillId="7" borderId="10" applyNumberFormat="0" applyAlignment="0" applyProtection="0"/>
    <xf numFmtId="0" fontId="54" fillId="7" borderId="10" applyNumberFormat="0" applyAlignment="0" applyProtection="0"/>
    <xf numFmtId="173" fontId="104" fillId="54" borderId="29" applyNumberFormat="0" applyAlignment="0" applyProtection="0"/>
    <xf numFmtId="173" fontId="104" fillId="54" borderId="29" applyNumberFormat="0" applyAlignment="0" applyProtection="0"/>
    <xf numFmtId="173" fontId="104" fillId="54" borderId="29" applyNumberFormat="0" applyAlignment="0" applyProtection="0"/>
    <xf numFmtId="173" fontId="104" fillId="54" borderId="29" applyNumberFormat="0" applyAlignment="0" applyProtection="0"/>
    <xf numFmtId="173" fontId="104" fillId="54" borderId="29" applyNumberFormat="0" applyAlignment="0" applyProtection="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7"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7" fontId="10" fillId="0" borderId="0" applyFont="0" applyFill="0" applyBorder="0" applyAlignment="0" applyProtection="0"/>
    <xf numFmtId="44" fontId="10" fillId="0" borderId="0" applyFont="0" applyFill="0" applyBorder="0" applyAlignment="0" applyProtection="0"/>
    <xf numFmtId="174" fontId="55" fillId="43" borderId="13" applyNumberFormat="0"/>
    <xf numFmtId="0" fontId="25" fillId="0" borderId="0" applyNumberFormat="0" applyFill="0" applyBorder="0" applyAlignment="0" applyProtection="0"/>
    <xf numFmtId="174" fontId="8" fillId="34" borderId="14" applyNumberFormat="0">
      <alignment vertical="center"/>
    </xf>
    <xf numFmtId="2" fontId="50" fillId="0" borderId="0" applyFill="0" applyBorder="0" applyAlignment="0" applyProtection="0"/>
    <xf numFmtId="0" fontId="26" fillId="4" borderId="0" applyNumberFormat="0" applyBorder="0" applyAlignment="0" applyProtection="0"/>
    <xf numFmtId="38" fontId="56" fillId="34" borderId="0" applyNumberFormat="0" applyFont="0" applyBorder="0" applyAlignment="0">
      <protection hidden="1"/>
    </xf>
    <xf numFmtId="174" fontId="57" fillId="34" borderId="15" applyNumberFormat="0">
      <alignment vertical="center"/>
    </xf>
    <xf numFmtId="0" fontId="18" fillId="0" borderId="3" applyNumberFormat="0" applyFill="0" applyAlignment="0" applyProtection="0"/>
    <xf numFmtId="0" fontId="19" fillId="0" borderId="5"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41" fillId="0" borderId="0" applyNumberFormat="0" applyFill="0" applyBorder="0" applyAlignment="0" applyProtection="0"/>
    <xf numFmtId="0" fontId="58" fillId="0" borderId="0" applyNumberFormat="0" applyFill="0" applyBorder="0" applyAlignment="0" applyProtection="0"/>
    <xf numFmtId="0" fontId="10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xf numFmtId="0" fontId="83" fillId="0" borderId="0" applyNumberFormat="0" applyFill="0" applyBorder="0" applyAlignment="0" applyProtection="0">
      <alignment vertical="top"/>
      <protection locked="0"/>
    </xf>
    <xf numFmtId="0" fontId="108" fillId="0" borderId="0" applyNumberFormat="0" applyFill="0" applyBorder="0" applyAlignment="0" applyProtection="0"/>
    <xf numFmtId="0" fontId="28" fillId="3"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29" fillId="7" borderId="10" applyNumberFormat="0" applyAlignment="0" applyProtection="0"/>
    <xf numFmtId="175" fontId="60" fillId="44" borderId="16" applyNumberFormat="0">
      <alignment vertical="center"/>
    </xf>
    <xf numFmtId="0" fontId="29" fillId="7" borderId="10" applyNumberFormat="0" applyAlignment="0" applyProtection="0"/>
    <xf numFmtId="0" fontId="29" fillId="7" borderId="10" applyNumberFormat="0" applyAlignment="0" applyProtection="0"/>
    <xf numFmtId="0" fontId="29" fillId="7" borderId="10" applyNumberFormat="0" applyAlignment="0" applyProtection="0"/>
    <xf numFmtId="0" fontId="54" fillId="28" borderId="10" applyNumberFormat="0" applyAlignment="0" applyProtection="0"/>
    <xf numFmtId="0" fontId="54" fillId="28" borderId="10" applyNumberFormat="0" applyAlignment="0" applyProtection="0"/>
    <xf numFmtId="0" fontId="29" fillId="7" borderId="10" applyNumberFormat="0" applyAlignment="0" applyProtection="0"/>
    <xf numFmtId="0" fontId="29" fillId="7" borderId="10" applyNumberFormat="0" applyAlignment="0" applyProtection="0"/>
    <xf numFmtId="188" fontId="56" fillId="32" borderId="0" applyFont="0" applyBorder="0" applyAlignment="0" applyProtection="0">
      <protection locked="0"/>
    </xf>
    <xf numFmtId="189" fontId="56" fillId="32" borderId="0">
      <protection locked="0"/>
    </xf>
    <xf numFmtId="190" fontId="56" fillId="32" borderId="0" applyFont="0" applyBorder="0" applyAlignment="0">
      <protection locked="0"/>
    </xf>
    <xf numFmtId="10" fontId="56" fillId="32" borderId="0">
      <protection locked="0"/>
    </xf>
    <xf numFmtId="197" fontId="76" fillId="0" borderId="17" applyNumberFormat="0" applyFont="0" applyFill="0" applyAlignment="0" applyProtection="0"/>
    <xf numFmtId="0" fontId="22" fillId="0" borderId="11" applyNumberFormat="0" applyFill="0" applyAlignment="0" applyProtection="0"/>
    <xf numFmtId="191" fontId="10" fillId="0" borderId="0" applyFont="0" applyFill="0" applyBorder="0" applyAlignment="0" applyProtection="0"/>
    <xf numFmtId="169" fontId="10"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2" fontId="10" fillId="0" borderId="0" applyFont="0" applyFill="0" applyBorder="0" applyAlignment="0" applyProtection="0"/>
    <xf numFmtId="193" fontId="10" fillId="0" borderId="0"/>
    <xf numFmtId="174" fontId="60" fillId="31" borderId="18" applyNumberFormat="0">
      <alignment vertical="center"/>
      <protection locked="0"/>
    </xf>
    <xf numFmtId="174" fontId="61" fillId="0" borderId="0" applyNumberFormat="0" applyBorder="0">
      <alignment horizontal="left" vertical="top"/>
    </xf>
    <xf numFmtId="0" fontId="30" fillId="45" borderId="0" applyNumberFormat="0" applyBorder="0" applyAlignment="0" applyProtection="0"/>
    <xf numFmtId="0" fontId="109" fillId="55" borderId="0" applyNumberFormat="0" applyBorder="0" applyAlignment="0" applyProtection="0"/>
    <xf numFmtId="0" fontId="81"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194" fontId="62" fillId="0" borderId="0"/>
    <xf numFmtId="189" fontId="10" fillId="0" borderId="0" applyFont="0" applyFill="0" applyBorder="0" applyAlignment="0"/>
    <xf numFmtId="40" fontId="56" fillId="0" borderId="0" applyFont="0" applyFill="0" applyBorder="0" applyAlignment="0"/>
    <xf numFmtId="195" fontId="56" fillId="0" borderId="0" applyFont="0" applyFill="0" applyBorder="0" applyAlignment="0"/>
    <xf numFmtId="0" fontId="94" fillId="0" borderId="0"/>
    <xf numFmtId="196" fontId="10" fillId="0" borderId="0"/>
    <xf numFmtId="173" fontId="10"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0" fillId="0" borderId="0"/>
    <xf numFmtId="0" fontId="94" fillId="0" borderId="0"/>
    <xf numFmtId="0" fontId="94" fillId="0" borderId="0"/>
    <xf numFmtId="0" fontId="94"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0" fontId="95" fillId="0" borderId="0"/>
    <xf numFmtId="0" fontId="10" fillId="0" borderId="0"/>
    <xf numFmtId="1" fontId="63" fillId="0" borderId="0"/>
    <xf numFmtId="0" fontId="10" fillId="0" borderId="0"/>
    <xf numFmtId="0" fontId="10" fillId="0" borderId="0"/>
    <xf numFmtId="0" fontId="95" fillId="0" borderId="0"/>
    <xf numFmtId="0" fontId="94" fillId="0" borderId="0"/>
    <xf numFmtId="0" fontId="9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5" fillId="0" borderId="0"/>
    <xf numFmtId="0" fontId="94" fillId="0" borderId="0"/>
    <xf numFmtId="0" fontId="94" fillId="0" borderId="0"/>
    <xf numFmtId="0" fontId="94" fillId="0" borderId="0"/>
    <xf numFmtId="0" fontId="10" fillId="0" borderId="0"/>
    <xf numFmtId="0" fontId="94" fillId="0" borderId="0"/>
    <xf numFmtId="0" fontId="94" fillId="0" borderId="0"/>
    <xf numFmtId="0" fontId="94" fillId="0" borderId="0"/>
    <xf numFmtId="0" fontId="94" fillId="0" borderId="0"/>
    <xf numFmtId="0" fontId="3" fillId="0" borderId="0"/>
    <xf numFmtId="0" fontId="3" fillId="0" borderId="0"/>
    <xf numFmtId="0" fontId="10"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0" fillId="0" borderId="0"/>
    <xf numFmtId="0" fontId="10" fillId="0" borderId="0"/>
    <xf numFmtId="0" fontId="13" fillId="0" borderId="0"/>
    <xf numFmtId="0" fontId="10" fillId="0" borderId="0"/>
    <xf numFmtId="0" fontId="13" fillId="0" borderId="0"/>
    <xf numFmtId="0" fontId="10" fillId="0" borderId="0"/>
    <xf numFmtId="0" fontId="13" fillId="0" borderId="0"/>
    <xf numFmtId="0" fontId="10" fillId="0" borderId="0"/>
    <xf numFmtId="0" fontId="10" fillId="0" borderId="0"/>
    <xf numFmtId="0" fontId="13" fillId="0" borderId="0"/>
    <xf numFmtId="0" fontId="10" fillId="0" borderId="0"/>
    <xf numFmtId="0" fontId="13" fillId="0" borderId="0"/>
    <xf numFmtId="0" fontId="10" fillId="0" borderId="0"/>
    <xf numFmtId="0" fontId="13" fillId="0" borderId="0"/>
    <xf numFmtId="0" fontId="10" fillId="0" borderId="0"/>
    <xf numFmtId="0" fontId="13" fillId="0" borderId="0"/>
    <xf numFmtId="0" fontId="10" fillId="0" borderId="0"/>
    <xf numFmtId="0" fontId="13" fillId="0" borderId="0"/>
    <xf numFmtId="0" fontId="10" fillId="0" borderId="0"/>
    <xf numFmtId="0" fontId="13" fillId="0" borderId="0"/>
    <xf numFmtId="0" fontId="3" fillId="0" borderId="0"/>
    <xf numFmtId="0" fontId="3" fillId="0" borderId="0"/>
    <xf numFmtId="0" fontId="3" fillId="0" borderId="0"/>
    <xf numFmtId="0" fontId="10" fillId="0" borderId="0"/>
    <xf numFmtId="0" fontId="3" fillId="0" borderId="0"/>
    <xf numFmtId="0" fontId="94" fillId="0" borderId="0"/>
    <xf numFmtId="194" fontId="64" fillId="0" borderId="0"/>
    <xf numFmtId="194" fontId="64" fillId="0" borderId="0"/>
    <xf numFmtId="194" fontId="6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94"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3" fillId="0" borderId="0"/>
    <xf numFmtId="0" fontId="94" fillId="0" borderId="0"/>
    <xf numFmtId="0" fontId="13" fillId="0" borderId="0"/>
    <xf numFmtId="0" fontId="94" fillId="0" borderId="0"/>
    <xf numFmtId="0" fontId="94" fillId="0" borderId="0"/>
    <xf numFmtId="0" fontId="31" fillId="0" borderId="0"/>
    <xf numFmtId="0" fontId="13" fillId="0" borderId="0"/>
    <xf numFmtId="0" fontId="10" fillId="0" borderId="0"/>
    <xf numFmtId="0" fontId="13" fillId="0" borderId="0"/>
    <xf numFmtId="0" fontId="10" fillId="0" borderId="0"/>
    <xf numFmtId="0" fontId="13" fillId="0" borderId="0"/>
    <xf numFmtId="0" fontId="10" fillId="0" borderId="0"/>
    <xf numFmtId="0" fontId="13"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0" fillId="0" borderId="0"/>
    <xf numFmtId="175" fontId="64" fillId="0" borderId="0"/>
    <xf numFmtId="0" fontId="10" fillId="0" borderId="0"/>
    <xf numFmtId="0" fontId="10" fillId="0" borderId="0"/>
    <xf numFmtId="0" fontId="10" fillId="0" borderId="0"/>
    <xf numFmtId="0" fontId="10" fillId="0" borderId="0"/>
    <xf numFmtId="0" fontId="10" fillId="0" borderId="0"/>
    <xf numFmtId="0" fontId="94" fillId="0" borderId="0"/>
    <xf numFmtId="0" fontId="94" fillId="0" borderId="0"/>
    <xf numFmtId="0" fontId="10" fillId="0" borderId="0"/>
    <xf numFmtId="0" fontId="3" fillId="0" borderId="0"/>
    <xf numFmtId="164" fontId="64" fillId="0" borderId="0"/>
    <xf numFmtId="164" fontId="64" fillId="0" borderId="0"/>
    <xf numFmtId="164" fontId="64" fillId="0" borderId="0"/>
    <xf numFmtId="164" fontId="64" fillId="0" borderId="0"/>
    <xf numFmtId="164" fontId="6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3" fillId="0" borderId="0"/>
    <xf numFmtId="0" fontId="94" fillId="0" borderId="0"/>
    <xf numFmtId="0" fontId="94" fillId="0" borderId="0"/>
    <xf numFmtId="0" fontId="94" fillId="0" borderId="0"/>
    <xf numFmtId="0" fontId="94" fillId="0" borderId="0"/>
    <xf numFmtId="0" fontId="94" fillId="0" borderId="0"/>
    <xf numFmtId="0" fontId="94" fillId="0" borderId="0"/>
    <xf numFmtId="0" fontId="13"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3"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3" fillId="0" borderId="0"/>
    <xf numFmtId="0" fontId="3" fillId="0" borderId="0"/>
    <xf numFmtId="0" fontId="3" fillId="0" borderId="0"/>
    <xf numFmtId="0" fontId="3" fillId="0" borderId="0"/>
    <xf numFmtId="0" fontId="10" fillId="0" borderId="0"/>
    <xf numFmtId="164" fontId="64" fillId="0" borderId="0"/>
    <xf numFmtId="164" fontId="64" fillId="0" borderId="0"/>
    <xf numFmtId="164" fontId="64"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8" fillId="0" borderId="0"/>
    <xf numFmtId="0" fontId="3" fillId="0" borderId="0"/>
    <xf numFmtId="0" fontId="94" fillId="0" borderId="0"/>
    <xf numFmtId="0" fontId="94" fillId="0" borderId="0"/>
    <xf numFmtId="0" fontId="9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4" fillId="0" borderId="0"/>
    <xf numFmtId="0" fontId="94"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56" fillId="0" borderId="0"/>
    <xf numFmtId="0" fontId="3" fillId="0" borderId="0"/>
    <xf numFmtId="0" fontId="3" fillId="0" borderId="0"/>
    <xf numFmtId="0" fontId="3" fillId="0" borderId="0"/>
    <xf numFmtId="0" fontId="94" fillId="0" borderId="0"/>
    <xf numFmtId="0" fontId="94" fillId="0" borderId="0"/>
    <xf numFmtId="0" fontId="94" fillId="0" borderId="0"/>
    <xf numFmtId="0" fontId="10" fillId="0" borderId="0"/>
    <xf numFmtId="0" fontId="94" fillId="0" borderId="0"/>
    <xf numFmtId="0" fontId="94" fillId="0" borderId="0"/>
    <xf numFmtId="0" fontId="9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4" fillId="0" borderId="0"/>
    <xf numFmtId="0" fontId="94" fillId="0" borderId="0"/>
    <xf numFmtId="0" fontId="94" fillId="0" borderId="0"/>
    <xf numFmtId="0" fontId="10" fillId="0" borderId="0"/>
    <xf numFmtId="0" fontId="31" fillId="0" borderId="0"/>
    <xf numFmtId="0" fontId="94" fillId="0" borderId="0"/>
    <xf numFmtId="0" fontId="94" fillId="0" borderId="0"/>
    <xf numFmtId="0" fontId="94" fillId="0" borderId="0"/>
    <xf numFmtId="0" fontId="110" fillId="0" borderId="0"/>
    <xf numFmtId="0" fontId="111" fillId="0" borderId="0"/>
    <xf numFmtId="0" fontId="94" fillId="0" borderId="0"/>
    <xf numFmtId="0" fontId="10" fillId="0" borderId="0"/>
    <xf numFmtId="173" fontId="10" fillId="0" borderId="0"/>
    <xf numFmtId="173" fontId="10"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3" fillId="0" borderId="0"/>
    <xf numFmtId="0" fontId="94" fillId="0" borderId="0"/>
    <xf numFmtId="0" fontId="94" fillId="0" borderId="0"/>
    <xf numFmtId="0" fontId="94" fillId="0" borderId="0"/>
    <xf numFmtId="0" fontId="94" fillId="0" borderId="0"/>
    <xf numFmtId="0" fontId="94" fillId="0" borderId="0"/>
    <xf numFmtId="0" fontId="94" fillId="0" borderId="0"/>
    <xf numFmtId="0" fontId="13" fillId="0" borderId="0"/>
    <xf numFmtId="0" fontId="94" fillId="0" borderId="0"/>
    <xf numFmtId="0" fontId="94" fillId="0" borderId="0"/>
    <xf numFmtId="0" fontId="94" fillId="0" borderId="0"/>
    <xf numFmtId="0" fontId="10" fillId="0" borderId="0"/>
    <xf numFmtId="0" fontId="94" fillId="0" borderId="0"/>
    <xf numFmtId="0" fontId="94" fillId="0" borderId="0"/>
    <xf numFmtId="0" fontId="13" fillId="0" borderId="0"/>
    <xf numFmtId="0" fontId="94" fillId="0" borderId="0"/>
    <xf numFmtId="0" fontId="94" fillId="0" borderId="0"/>
    <xf numFmtId="0" fontId="94" fillId="0" borderId="0"/>
    <xf numFmtId="0" fontId="94" fillId="0" borderId="0"/>
    <xf numFmtId="0" fontId="94" fillId="0" borderId="0"/>
    <xf numFmtId="0" fontId="94" fillId="0" borderId="0"/>
    <xf numFmtId="0" fontId="1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82" fillId="0" borderId="0"/>
    <xf numFmtId="0" fontId="82" fillId="0" borderId="0"/>
    <xf numFmtId="0" fontId="84" fillId="0" borderId="0"/>
    <xf numFmtId="0" fontId="3" fillId="0" borderId="0"/>
    <xf numFmtId="0" fontId="3"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3" fillId="0" borderId="0"/>
    <xf numFmtId="0" fontId="95" fillId="0" borderId="0"/>
    <xf numFmtId="0" fontId="94" fillId="0" borderId="0"/>
    <xf numFmtId="0" fontId="94" fillId="0" borderId="0"/>
    <xf numFmtId="0" fontId="94" fillId="0" borderId="0"/>
    <xf numFmtId="0" fontId="95" fillId="0" borderId="0"/>
    <xf numFmtId="0" fontId="9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0" fillId="0" borderId="0"/>
    <xf numFmtId="0" fontId="94" fillId="0" borderId="0"/>
    <xf numFmtId="0" fontId="94" fillId="0" borderId="0"/>
    <xf numFmtId="0" fontId="3" fillId="0" borderId="0"/>
    <xf numFmtId="0" fontId="3" fillId="0" borderId="0"/>
    <xf numFmtId="0" fontId="31" fillId="0" borderId="0"/>
    <xf numFmtId="189" fontId="52" fillId="0" borderId="0" applyNumberFormat="0" applyFill="0" applyBorder="0" applyAlignment="0" applyProtection="0"/>
    <xf numFmtId="165" fontId="65" fillId="0" borderId="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10" fillId="46" borderId="19" applyNumberFormat="0" applyFont="0" applyAlignment="0" applyProtection="0"/>
    <xf numFmtId="0"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0" fontId="10" fillId="46" borderId="19" applyNumberFormat="0" applyFont="0" applyAlignment="0" applyProtection="0"/>
    <xf numFmtId="0"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0" fontId="16" fillId="46" borderId="19" applyNumberFormat="0" applyFont="0" applyAlignment="0" applyProtection="0"/>
    <xf numFmtId="0" fontId="16" fillId="46" borderId="19"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0" fontId="10" fillId="46" borderId="19" applyNumberFormat="0" applyFont="0" applyAlignment="0" applyProtection="0"/>
    <xf numFmtId="0" fontId="10" fillId="46" borderId="19" applyNumberFormat="0" applyFont="0" applyAlignment="0" applyProtection="0"/>
    <xf numFmtId="0" fontId="10" fillId="46" borderId="19" applyNumberFormat="0" applyFont="0" applyAlignment="0" applyProtection="0"/>
    <xf numFmtId="0" fontId="10" fillId="46" borderId="19" applyNumberFormat="0" applyFont="0" applyAlignment="0" applyProtection="0"/>
    <xf numFmtId="0" fontId="10" fillId="20" borderId="19" applyNumberFormat="0" applyFont="0" applyAlignment="0" applyProtection="0"/>
    <xf numFmtId="0" fontId="10" fillId="20" borderId="19" applyNumberFormat="0" applyFont="0" applyAlignment="0" applyProtection="0"/>
    <xf numFmtId="0" fontId="10" fillId="46" borderId="19" applyNumberFormat="0" applyFont="0" applyAlignment="0" applyProtection="0"/>
    <xf numFmtId="0" fontId="10" fillId="46" borderId="19" applyNumberFormat="0" applyFont="0" applyAlignment="0" applyProtection="0"/>
    <xf numFmtId="3" fontId="10" fillId="0" borderId="0" applyFont="0" applyFill="0" applyBorder="0" applyAlignment="0" applyProtection="0">
      <alignment horizontal="right"/>
    </xf>
    <xf numFmtId="0" fontId="66" fillId="0" borderId="20" applyNumberFormat="0" applyFill="0" applyBorder="0" applyProtection="0">
      <alignment vertical="top" wrapText="1"/>
    </xf>
    <xf numFmtId="0" fontId="32" fillId="35" borderId="14" applyNumberFormat="0" applyAlignment="0" applyProtection="0"/>
    <xf numFmtId="0" fontId="32" fillId="35" borderId="14" applyNumberFormat="0" applyAlignment="0" applyProtection="0"/>
    <xf numFmtId="0" fontId="32" fillId="35" borderId="14" applyNumberFormat="0" applyAlignment="0" applyProtection="0"/>
    <xf numFmtId="0" fontId="32" fillId="35" borderId="14" applyNumberFormat="0" applyAlignment="0" applyProtection="0"/>
    <xf numFmtId="0" fontId="32" fillId="35" borderId="14" applyNumberFormat="0" applyAlignment="0" applyProtection="0"/>
    <xf numFmtId="0" fontId="32" fillId="35" borderId="14" applyNumberFormat="0" applyAlignment="0" applyProtection="0"/>
    <xf numFmtId="0" fontId="32" fillId="35" borderId="14" applyNumberFormat="0" applyAlignment="0" applyProtection="0"/>
    <xf numFmtId="0" fontId="32" fillId="35" borderId="14" applyNumberFormat="0" applyAlignment="0" applyProtection="0"/>
    <xf numFmtId="197" fontId="56" fillId="0" borderId="21" applyNumberFormat="0" applyFill="0" applyBorder="0" applyAlignment="0" applyProtection="0"/>
    <xf numFmtId="9" fontId="10" fillId="0" borderId="0" applyFont="0" applyFill="0" applyBorder="0" applyAlignment="0" applyProtection="0"/>
    <xf numFmtId="198" fontId="10" fillId="0" borderId="0" applyFont="0" applyFill="0" applyBorder="0" applyAlignment="0"/>
    <xf numFmtId="9" fontId="9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7" fillId="0" borderId="0" applyFont="0" applyFill="0" applyBorder="0" applyAlignment="0" applyProtection="0"/>
    <xf numFmtId="9" fontId="5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3" fillId="0" borderId="0" applyFont="0" applyFill="0" applyBorder="0" applyAlignment="0" applyProtection="0"/>
    <xf numFmtId="9" fontId="9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31"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199" fontId="56" fillId="0" borderId="0" applyFont="0" applyFill="0" applyBorder="0" applyAlignment="0" applyProtection="0"/>
    <xf numFmtId="174" fontId="50" fillId="0" borderId="0" applyFont="0" applyFill="0" applyBorder="0" applyAlignment="0" applyProtection="0">
      <alignment horizontal="right"/>
    </xf>
    <xf numFmtId="189" fontId="61" fillId="0" borderId="0" applyNumberFormat="0" applyFill="0" applyBorder="0" applyAlignment="0" applyProtection="0">
      <alignment horizontal="left"/>
    </xf>
    <xf numFmtId="0" fontId="52" fillId="47" borderId="22" applyNumberFormat="0" applyFont="0" applyBorder="0" applyAlignment="0">
      <alignment vertical="top" wrapText="1"/>
    </xf>
    <xf numFmtId="0" fontId="33" fillId="36" borderId="14" applyNumberFormat="0" applyAlignment="0" applyProtection="0"/>
    <xf numFmtId="0" fontId="33" fillId="36" borderId="14" applyNumberFormat="0" applyAlignment="0" applyProtection="0"/>
    <xf numFmtId="0" fontId="33" fillId="36" borderId="14" applyNumberFormat="0" applyAlignment="0" applyProtection="0"/>
    <xf numFmtId="0" fontId="33" fillId="36" borderId="14" applyNumberFormat="0" applyAlignment="0" applyProtection="0"/>
    <xf numFmtId="0" fontId="33" fillId="36" borderId="14" applyNumberFormat="0" applyAlignment="0" applyProtection="0"/>
    <xf numFmtId="0" fontId="33" fillId="36" borderId="14" applyNumberFormat="0" applyAlignment="0" applyProtection="0"/>
    <xf numFmtId="0" fontId="32" fillId="36" borderId="14" applyNumberFormat="0" applyAlignment="0" applyProtection="0"/>
    <xf numFmtId="0" fontId="32" fillId="36" borderId="14" applyNumberFormat="0" applyAlignment="0" applyProtection="0"/>
    <xf numFmtId="0" fontId="34" fillId="0" borderId="0" applyNumberFormat="0" applyFill="0" applyBorder="0" applyAlignment="0" applyProtection="0"/>
    <xf numFmtId="174" fontId="10" fillId="34" borderId="0">
      <alignment horizontal="center" vertical="center"/>
    </xf>
    <xf numFmtId="197" fontId="7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3" fontId="112" fillId="0" borderId="0" applyNumberFormat="0" applyFill="0" applyBorder="0" applyAlignment="0" applyProtection="0"/>
    <xf numFmtId="173" fontId="112" fillId="0" borderId="0" applyNumberFormat="0" applyFill="0" applyBorder="0" applyAlignment="0" applyProtection="0"/>
    <xf numFmtId="0"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173" fontId="112" fillId="0" borderId="0" applyNumberFormat="0" applyFill="0" applyBorder="0" applyAlignment="0" applyProtection="0"/>
    <xf numFmtId="173" fontId="112" fillId="0" borderId="0" applyNumberFormat="0" applyFill="0" applyBorder="0" applyAlignment="0" applyProtection="0"/>
    <xf numFmtId="173" fontId="112" fillId="0" borderId="0" applyNumberFormat="0" applyFill="0" applyBorder="0" applyAlignment="0" applyProtection="0"/>
    <xf numFmtId="173" fontId="112" fillId="0" borderId="0" applyNumberFormat="0" applyFill="0" applyBorder="0" applyAlignment="0" applyProtection="0"/>
    <xf numFmtId="173" fontId="112" fillId="0" borderId="0" applyNumberFormat="0" applyFill="0" applyBorder="0" applyAlignment="0" applyProtection="0"/>
    <xf numFmtId="0" fontId="25"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36" fillId="0" borderId="0" applyNumberFormat="0" applyFill="0" applyBorder="0" applyAlignment="0" applyProtection="0"/>
    <xf numFmtId="175" fontId="70" fillId="48" borderId="0" applyNumberFormat="0">
      <alignment vertical="center"/>
    </xf>
    <xf numFmtId="175" fontId="71" fillId="0" borderId="0" applyNumberFormat="0">
      <alignment vertical="center"/>
    </xf>
    <xf numFmtId="175" fontId="72" fillId="0" borderId="0" applyNumberFormat="0">
      <alignment vertical="center"/>
    </xf>
    <xf numFmtId="174" fontId="73" fillId="0" borderId="0">
      <alignment vertical="center"/>
    </xf>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7" fillId="0" borderId="23" applyNumberFormat="0" applyFill="0" applyAlignment="0" applyProtection="0"/>
    <xf numFmtId="173" fontId="33" fillId="0" borderId="24" applyNumberFormat="0" applyFill="0" applyAlignment="0" applyProtection="0"/>
    <xf numFmtId="173" fontId="33" fillId="0" borderId="24" applyNumberFormat="0" applyFill="0" applyAlignment="0" applyProtection="0"/>
    <xf numFmtId="0" fontId="37" fillId="0" borderId="23" applyNumberFormat="0" applyFill="0" applyAlignment="0" applyProtection="0"/>
    <xf numFmtId="0" fontId="37" fillId="0" borderId="23" applyNumberFormat="0" applyFill="0" applyAlignment="0" applyProtection="0"/>
    <xf numFmtId="0" fontId="33" fillId="0" borderId="24" applyNumberFormat="0" applyFill="0" applyAlignment="0" applyProtection="0"/>
    <xf numFmtId="0" fontId="37" fillId="0" borderId="24" applyNumberFormat="0" applyFill="0" applyAlignment="0" applyProtection="0"/>
    <xf numFmtId="0" fontId="37" fillId="0" borderId="24" applyNumberFormat="0" applyFill="0" applyAlignment="0" applyProtection="0"/>
    <xf numFmtId="0" fontId="33" fillId="0" borderId="24" applyNumberFormat="0" applyFill="0" applyAlignment="0" applyProtection="0"/>
    <xf numFmtId="173" fontId="33" fillId="0" borderId="24" applyNumberFormat="0" applyFill="0" applyAlignment="0" applyProtection="0"/>
    <xf numFmtId="173" fontId="33" fillId="0" borderId="24" applyNumberFormat="0" applyFill="0" applyAlignment="0" applyProtection="0"/>
    <xf numFmtId="173" fontId="33" fillId="0" borderId="24" applyNumberFormat="0" applyFill="0" applyAlignment="0" applyProtection="0"/>
    <xf numFmtId="173" fontId="33" fillId="0" borderId="24" applyNumberFormat="0" applyFill="0" applyAlignment="0" applyProtection="0"/>
    <xf numFmtId="173" fontId="33" fillId="0" borderId="24" applyNumberFormat="0" applyFill="0" applyAlignment="0" applyProtection="0"/>
    <xf numFmtId="173" fontId="33" fillId="0" borderId="24" applyNumberFormat="0" applyFill="0" applyAlignment="0" applyProtection="0"/>
    <xf numFmtId="0" fontId="24" fillId="0" borderId="23" applyNumberFormat="0" applyFill="0" applyAlignment="0" applyProtection="0"/>
    <xf numFmtId="0" fontId="24" fillId="0" borderId="23"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8" fillId="49" borderId="12" applyNumberFormat="0" applyAlignment="0" applyProtection="0"/>
    <xf numFmtId="0" fontId="23" fillId="49" borderId="12" applyNumberFormat="0" applyAlignment="0" applyProtection="0"/>
    <xf numFmtId="0" fontId="23" fillId="49" borderId="12" applyNumberFormat="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39" fillId="0" borderId="0" applyFont="0" applyFill="0" applyBorder="0" applyAlignment="0" applyProtection="0"/>
    <xf numFmtId="205" fontId="3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94" fillId="0" borderId="0" applyFont="0" applyFill="0" applyBorder="0" applyAlignment="0" applyProtection="0"/>
    <xf numFmtId="171"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6" fontId="31" fillId="0" borderId="0" applyFont="0" applyFill="0" applyBorder="0" applyAlignment="0" applyProtection="0"/>
    <xf numFmtId="187"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31" fillId="0" borderId="0" applyFont="0" applyFill="0" applyBorder="0" applyAlignment="0" applyProtection="0"/>
    <xf numFmtId="43" fontId="9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35" fillId="0" borderId="0" applyNumberFormat="0" applyFill="0" applyBorder="0" applyAlignment="0" applyProtection="0"/>
    <xf numFmtId="0" fontId="2" fillId="0" borderId="0"/>
    <xf numFmtId="0" fontId="3" fillId="0" borderId="0"/>
    <xf numFmtId="173" fontId="10" fillId="0" borderId="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10" fillId="0" borderId="0"/>
    <xf numFmtId="0" fontId="10" fillId="0" borderId="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7" fillId="0" borderId="0"/>
    <xf numFmtId="0" fontId="147" fillId="0" borderId="0"/>
    <xf numFmtId="0" fontId="147" fillId="0" borderId="0"/>
    <xf numFmtId="0" fontId="147" fillId="0" borderId="0"/>
    <xf numFmtId="0" fontId="147" fillId="0" borderId="0"/>
    <xf numFmtId="0" fontId="14" fillId="37" borderId="0" applyNumberFormat="0" applyBorder="0" applyAlignment="0" applyProtection="0"/>
    <xf numFmtId="0" fontId="14" fillId="23" borderId="0" applyNumberFormat="0" applyBorder="0" applyAlignment="0" applyProtection="0"/>
    <xf numFmtId="0" fontId="14" fillId="3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29" borderId="0" applyNumberFormat="0" applyBorder="0" applyAlignment="0" applyProtection="0"/>
    <xf numFmtId="0" fontId="26" fillId="4" borderId="0" applyNumberFormat="0" applyBorder="0" applyAlignment="0" applyProtection="0"/>
    <xf numFmtId="173" fontId="18" fillId="0" borderId="3" applyNumberFormat="0" applyFill="0" applyAlignment="0" applyProtection="0"/>
    <xf numFmtId="173"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173" fontId="18" fillId="0" borderId="3" applyNumberFormat="0" applyFill="0" applyAlignment="0" applyProtection="0"/>
    <xf numFmtId="173" fontId="18" fillId="0" borderId="3" applyNumberFormat="0" applyFill="0" applyAlignment="0" applyProtection="0"/>
    <xf numFmtId="173" fontId="18" fillId="0" borderId="3" applyNumberFormat="0" applyFill="0" applyAlignment="0" applyProtection="0"/>
    <xf numFmtId="173" fontId="18" fillId="0" borderId="3" applyNumberFormat="0" applyFill="0" applyAlignment="0" applyProtection="0"/>
    <xf numFmtId="173" fontId="19" fillId="0" borderId="5" applyNumberFormat="0" applyFill="0" applyAlignment="0" applyProtection="0"/>
    <xf numFmtId="173" fontId="19" fillId="0" borderId="5" applyNumberFormat="0" applyFill="0" applyAlignment="0" applyProtection="0"/>
    <xf numFmtId="0" fontId="19" fillId="0" borderId="5" applyNumberFormat="0" applyFill="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0" fontId="19" fillId="0" borderId="5" applyNumberFormat="0" applyFill="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173" fontId="19" fillId="0" borderId="5" applyNumberFormat="0" applyFill="0" applyAlignment="0" applyProtection="0"/>
    <xf numFmtId="173" fontId="19" fillId="0" borderId="5" applyNumberFormat="0" applyFill="0" applyAlignment="0" applyProtection="0"/>
    <xf numFmtId="173" fontId="19" fillId="0" borderId="5" applyNumberFormat="0" applyFill="0" applyAlignment="0" applyProtection="0"/>
    <xf numFmtId="173" fontId="19" fillId="0" borderId="5" applyNumberFormat="0" applyFill="0" applyAlignment="0" applyProtection="0"/>
    <xf numFmtId="173" fontId="19" fillId="0" borderId="5" applyNumberFormat="0" applyFill="0" applyAlignment="0" applyProtection="0"/>
    <xf numFmtId="173" fontId="20" fillId="0" borderId="7" applyNumberFormat="0" applyFill="0" applyAlignment="0" applyProtection="0"/>
    <xf numFmtId="173" fontId="20" fillId="0" borderId="7" applyNumberFormat="0" applyFill="0" applyAlignment="0" applyProtection="0"/>
    <xf numFmtId="0" fontId="20" fillId="0" borderId="7" applyNumberFormat="0" applyFill="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0" fontId="20" fillId="0" borderId="7" applyNumberFormat="0" applyFill="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173" fontId="20" fillId="0" borderId="7" applyNumberFormat="0" applyFill="0" applyAlignment="0" applyProtection="0"/>
    <xf numFmtId="173" fontId="20" fillId="0" borderId="7" applyNumberFormat="0" applyFill="0" applyAlignment="0" applyProtection="0"/>
    <xf numFmtId="173" fontId="20" fillId="0" borderId="7" applyNumberFormat="0" applyFill="0" applyAlignment="0" applyProtection="0"/>
    <xf numFmtId="173" fontId="20" fillId="0" borderId="7" applyNumberFormat="0" applyFill="0" applyAlignment="0" applyProtection="0"/>
    <xf numFmtId="173" fontId="20" fillId="0" borderId="7" applyNumberFormat="0" applyFill="0" applyAlignment="0" applyProtection="0"/>
    <xf numFmtId="173" fontId="20" fillId="0" borderId="0" applyNumberFormat="0" applyFill="0" applyBorder="0" applyAlignment="0" applyProtection="0"/>
    <xf numFmtId="173" fontId="20" fillId="0" borderId="0" applyNumberFormat="0" applyFill="0" applyBorder="0" applyAlignment="0" applyProtection="0"/>
    <xf numFmtId="0" fontId="20" fillId="0" borderId="0" applyNumberFormat="0" applyFill="0" applyBorder="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0" fontId="20" fillId="0" borderId="0" applyNumberFormat="0" applyFill="0" applyBorder="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173" fontId="20" fillId="0" borderId="0" applyNumberFormat="0" applyFill="0" applyBorder="0" applyAlignment="0" applyProtection="0"/>
    <xf numFmtId="173" fontId="20" fillId="0" borderId="0" applyNumberFormat="0" applyFill="0" applyBorder="0" applyAlignment="0" applyProtection="0"/>
    <xf numFmtId="173" fontId="20" fillId="0" borderId="0" applyNumberFormat="0" applyFill="0" applyBorder="0" applyAlignment="0" applyProtection="0"/>
    <xf numFmtId="173" fontId="20" fillId="0" borderId="0" applyNumberFormat="0" applyFill="0" applyBorder="0" applyAlignment="0" applyProtection="0"/>
    <xf numFmtId="173" fontId="20" fillId="0" borderId="0" applyNumberFormat="0" applyFill="0" applyBorder="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0" fontId="74" fillId="0" borderId="2" applyNumberFormat="0" applyBorder="0" applyProtection="0">
      <alignment horizontal="center"/>
    </xf>
    <xf numFmtId="0" fontId="74" fillId="0" borderId="2" applyNumberFormat="0" applyBorder="0" applyProtection="0">
      <alignment horizontal="center"/>
    </xf>
    <xf numFmtId="165" fontId="4" fillId="0" borderId="59"/>
    <xf numFmtId="176" fontId="10" fillId="32" borderId="9" applyNumberFormat="0">
      <alignment vertical="center"/>
    </xf>
    <xf numFmtId="175" fontId="10" fillId="33" borderId="9" applyNumberFormat="0">
      <alignment vertical="center"/>
    </xf>
    <xf numFmtId="175" fontId="10" fillId="34" borderId="9" applyNumberFormat="0">
      <alignment vertical="center"/>
    </xf>
    <xf numFmtId="3" fontId="10" fillId="0" borderId="9" applyNumberFormat="0">
      <alignment vertical="center"/>
    </xf>
    <xf numFmtId="175" fontId="10" fillId="31" borderId="9" applyNumberFormat="0">
      <alignment vertical="center"/>
    </xf>
    <xf numFmtId="210" fontId="16" fillId="0" borderId="0" applyFill="0" applyBorder="0" applyAlignment="0"/>
    <xf numFmtId="211" fontId="16" fillId="0" borderId="0" applyFill="0" applyBorder="0" applyAlignment="0"/>
    <xf numFmtId="212" fontId="16" fillId="0" borderId="0" applyFill="0" applyBorder="0" applyAlignment="0"/>
    <xf numFmtId="213" fontId="16" fillId="0" borderId="0" applyFill="0" applyBorder="0" applyAlignment="0"/>
    <xf numFmtId="214" fontId="16" fillId="0" borderId="0" applyFill="0" applyBorder="0" applyAlignment="0"/>
    <xf numFmtId="210" fontId="16" fillId="0" borderId="0" applyFill="0" applyBorder="0" applyAlignment="0"/>
    <xf numFmtId="215" fontId="16" fillId="0" borderId="0" applyFill="0" applyBorder="0" applyAlignment="0"/>
    <xf numFmtId="211" fontId="16" fillId="0" borderId="0" applyFill="0" applyBorder="0" applyAlignment="0"/>
    <xf numFmtId="0" fontId="75" fillId="36" borderId="10" applyNumberFormat="0" applyAlignment="0" applyProtection="0"/>
    <xf numFmtId="0" fontId="38" fillId="49" borderId="12" applyNumberFormat="0" applyAlignment="0" applyProtection="0"/>
    <xf numFmtId="173" fontId="22" fillId="0" borderId="11" applyNumberFormat="0" applyFill="0" applyAlignment="0" applyProtection="0"/>
    <xf numFmtId="173" fontId="22" fillId="0" borderId="11" applyNumberFormat="0" applyFill="0" applyAlignment="0" applyProtection="0"/>
    <xf numFmtId="0"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0" fontId="22" fillId="0" borderId="11" applyNumberFormat="0" applyFill="0" applyAlignment="0" applyProtection="0"/>
    <xf numFmtId="216" fontId="10" fillId="0" borderId="0"/>
    <xf numFmtId="216" fontId="10" fillId="0" borderId="0"/>
    <xf numFmtId="216" fontId="10" fillId="0" borderId="0"/>
    <xf numFmtId="216" fontId="10" fillId="0" borderId="0"/>
    <xf numFmtId="216" fontId="10" fillId="0" borderId="0"/>
    <xf numFmtId="216" fontId="10" fillId="0" borderId="0"/>
    <xf numFmtId="216" fontId="10" fillId="0" borderId="0"/>
    <xf numFmtId="216" fontId="10" fillId="0" borderId="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9" fontId="10" fillId="0" borderId="0" applyFont="0" applyFill="0" applyBorder="0" applyAlignment="0" applyProtection="0"/>
    <xf numFmtId="174" fontId="10" fillId="0" borderId="0" applyFont="0" applyFill="0" applyBorder="0" applyAlignment="0" applyProtection="0"/>
    <xf numFmtId="18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4" fontId="10" fillId="0" borderId="0" applyFont="0" applyFill="0" applyBorder="0" applyAlignment="0" applyProtection="0"/>
    <xf numFmtId="181" fontId="10" fillId="0" borderId="0" applyFont="0" applyFill="0" applyBorder="0" applyAlignment="0" applyProtection="0"/>
    <xf numFmtId="174" fontId="10" fillId="0" borderId="0" applyFont="0" applyFill="0" applyBorder="0" applyAlignment="0" applyProtection="0"/>
    <xf numFmtId="18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210" fontId="10" fillId="0" borderId="0" applyFont="0" applyFill="0" applyBorder="0" applyAlignment="0" applyProtection="0"/>
    <xf numFmtId="210" fontId="10"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10" fillId="0" borderId="0" applyFont="0" applyFill="0" applyBorder="0" applyAlignment="0" applyProtection="0"/>
    <xf numFmtId="3" fontId="10" fillId="0" borderId="0" applyFill="0" applyBorder="0" applyAlignment="0" applyProtection="0"/>
    <xf numFmtId="173" fontId="26" fillId="4" borderId="0" applyNumberFormat="0" applyBorder="0" applyAlignment="0" applyProtection="0"/>
    <xf numFmtId="173" fontId="26" fillId="4" borderId="0" applyNumberFormat="0" applyBorder="0" applyAlignment="0" applyProtection="0"/>
    <xf numFmtId="0"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211" fontId="10" fillId="0" borderId="0" applyFont="0" applyFill="0" applyBorder="0" applyAlignment="0" applyProtection="0"/>
    <xf numFmtId="211" fontId="10" fillId="0" borderId="0" applyFont="0" applyFill="0" applyBorder="0" applyAlignment="0" applyProtection="0"/>
    <xf numFmtId="177" fontId="10" fillId="0" borderId="0" applyFont="0" applyFill="0" applyBorder="0" applyAlignment="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5" fontId="10" fillId="0" borderId="0" applyFill="0" applyBorder="0" applyAlignment="0" applyProtection="0"/>
    <xf numFmtId="14" fontId="16" fillId="0" borderId="0" applyFill="0" applyBorder="0" applyAlignment="0"/>
    <xf numFmtId="220" fontId="148" fillId="0" borderId="0">
      <protection locked="0"/>
    </xf>
    <xf numFmtId="0" fontId="14" fillId="37" borderId="0" applyNumberFormat="0" applyBorder="0" applyAlignment="0" applyProtection="0"/>
    <xf numFmtId="0" fontId="14" fillId="23" borderId="0" applyNumberFormat="0" applyBorder="0" applyAlignment="0" applyProtection="0"/>
    <xf numFmtId="0" fontId="14" fillId="3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29" borderId="0" applyNumberFormat="0" applyBorder="0" applyAlignment="0" applyProtection="0"/>
    <xf numFmtId="210" fontId="149" fillId="0" borderId="0" applyFill="0" applyBorder="0" applyAlignment="0"/>
    <xf numFmtId="211" fontId="149" fillId="0" borderId="0" applyFill="0" applyBorder="0" applyAlignment="0"/>
    <xf numFmtId="210" fontId="149" fillId="0" borderId="0" applyFill="0" applyBorder="0" applyAlignment="0"/>
    <xf numFmtId="215" fontId="149" fillId="0" borderId="0" applyFill="0" applyBorder="0" applyAlignment="0"/>
    <xf numFmtId="211" fontId="149" fillId="0" borderId="0" applyFill="0" applyBorder="0" applyAlignment="0"/>
    <xf numFmtId="173" fontId="29" fillId="7" borderId="10" applyNumberFormat="0" applyAlignment="0" applyProtection="0"/>
    <xf numFmtId="173" fontId="29" fillId="7" borderId="10" applyNumberFormat="0" applyAlignment="0" applyProtection="0"/>
    <xf numFmtId="0" fontId="29" fillId="7" borderId="10" applyNumberFormat="0" applyAlignment="0" applyProtection="0"/>
    <xf numFmtId="173" fontId="29" fillId="7" borderId="10" applyNumberFormat="0" applyAlignment="0" applyProtection="0"/>
    <xf numFmtId="173" fontId="29" fillId="7" borderId="10" applyNumberFormat="0" applyAlignment="0" applyProtection="0"/>
    <xf numFmtId="173" fontId="29" fillId="7" borderId="10" applyNumberFormat="0" applyAlignment="0" applyProtection="0"/>
    <xf numFmtId="173" fontId="29" fillId="7" borderId="10" applyNumberFormat="0" applyAlignment="0" applyProtection="0"/>
    <xf numFmtId="173" fontId="29" fillId="7" borderId="10" applyNumberFormat="0" applyAlignment="0" applyProtection="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10" fillId="0" borderId="0"/>
    <xf numFmtId="44" fontId="3" fillId="0" borderId="0" applyFont="0" applyFill="0" applyBorder="0" applyAlignment="0" applyProtection="0"/>
    <xf numFmtId="44" fontId="3"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7" fontId="10" fillId="0" borderId="0" applyFont="0" applyFill="0" applyBorder="0" applyAlignment="0" applyProtection="0"/>
    <xf numFmtId="38" fontId="56" fillId="34" borderId="0" applyNumberFormat="0" applyFont="0" applyBorder="0" applyAlignment="0">
      <protection hidden="1"/>
    </xf>
    <xf numFmtId="0" fontId="58" fillId="0" borderId="60" applyNumberFormat="0" applyAlignment="0" applyProtection="0">
      <alignment horizontal="left" vertical="center"/>
    </xf>
    <xf numFmtId="0" fontId="58" fillId="0" borderId="61">
      <alignment horizontal="left" vertical="center"/>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alignment vertical="top"/>
      <protection locked="0"/>
    </xf>
    <xf numFmtId="0" fontId="28" fillId="3" borderId="0" applyNumberFormat="0" applyBorder="0" applyAlignment="0" applyProtection="0"/>
    <xf numFmtId="10" fontId="56" fillId="32" borderId="22" applyNumberFormat="0" applyBorder="0" applyAlignment="0" applyProtection="0"/>
    <xf numFmtId="10" fontId="56" fillId="32" borderId="22" applyNumberFormat="0" applyBorder="0" applyAlignment="0" applyProtection="0"/>
    <xf numFmtId="188" fontId="56" fillId="32" borderId="0" applyFont="0" applyBorder="0" applyAlignment="0" applyProtection="0">
      <protection locked="0"/>
    </xf>
    <xf numFmtId="189" fontId="56" fillId="32" borderId="0">
      <protection locked="0"/>
    </xf>
    <xf numFmtId="10" fontId="56" fillId="32" borderId="0">
      <protection locked="0"/>
    </xf>
    <xf numFmtId="190" fontId="56" fillId="32" borderId="0" applyFont="0" applyBorder="0" applyAlignment="0">
      <protection locked="0"/>
    </xf>
    <xf numFmtId="0" fontId="29" fillId="7" borderId="10" applyNumberFormat="0" applyAlignment="0" applyProtection="0"/>
    <xf numFmtId="210" fontId="152" fillId="0" borderId="0" applyFill="0" applyBorder="0" applyAlignment="0"/>
    <xf numFmtId="211" fontId="152" fillId="0" borderId="0" applyFill="0" applyBorder="0" applyAlignment="0"/>
    <xf numFmtId="210" fontId="152" fillId="0" borderId="0" applyFill="0" applyBorder="0" applyAlignment="0"/>
    <xf numFmtId="215" fontId="152" fillId="0" borderId="0" applyFill="0" applyBorder="0" applyAlignment="0"/>
    <xf numFmtId="211" fontId="152" fillId="0" borderId="0" applyFill="0" applyBorder="0" applyAlignment="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169"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3" fontId="10" fillId="0" borderId="0"/>
    <xf numFmtId="0" fontId="81" fillId="42" borderId="0" applyNumberFormat="0" applyBorder="0" applyAlignment="0" applyProtection="0"/>
    <xf numFmtId="0" fontId="63" fillId="0" borderId="0"/>
    <xf numFmtId="0" fontId="63" fillId="0" borderId="0"/>
    <xf numFmtId="189" fontId="10" fillId="0" borderId="0" applyFont="0" applyFill="0" applyBorder="0" applyAlignment="0"/>
    <xf numFmtId="40" fontId="56" fillId="0" borderId="0" applyFont="0" applyFill="0" applyBorder="0" applyAlignment="0"/>
    <xf numFmtId="195" fontId="56" fillId="0" borderId="0" applyFont="0" applyFill="0" applyBorder="0" applyAlignment="0"/>
    <xf numFmtId="0" fontId="1" fillId="0" borderId="0"/>
    <xf numFmtId="196" fontId="10" fillId="0" borderId="0"/>
    <xf numFmtId="173" fontId="10"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0" fillId="0" borderId="0"/>
    <xf numFmtId="0" fontId="1" fillId="0" borderId="0"/>
    <xf numFmtId="0" fontId="1" fillId="0" borderId="0"/>
    <xf numFmtId="0" fontId="1" fillId="0" borderId="0"/>
    <xf numFmtId="0" fontId="13"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0" fontId="13" fillId="0" borderId="0"/>
    <xf numFmtId="0" fontId="10" fillId="0" borderId="0"/>
    <xf numFmtId="0" fontId="10" fillId="0" borderId="0"/>
    <xf numFmtId="0" fontId="10"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0"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3"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3" fillId="0" borderId="0"/>
    <xf numFmtId="0" fontId="10" fillId="0" borderId="0"/>
    <xf numFmtId="0" fontId="10" fillId="0" borderId="0"/>
    <xf numFmtId="0" fontId="1" fillId="0" borderId="0"/>
    <xf numFmtId="0" fontId="1" fillId="0" borderId="0"/>
    <xf numFmtId="0" fontId="1" fillId="0" borderId="0"/>
    <xf numFmtId="0" fontId="1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3"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10"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3" fillId="0" borderId="0"/>
    <xf numFmtId="0" fontId="10" fillId="0" borderId="0"/>
    <xf numFmtId="0" fontId="1" fillId="0" borderId="0"/>
    <xf numFmtId="0" fontId="1" fillId="0" borderId="0"/>
    <xf numFmtId="0" fontId="1" fillId="0" borderId="0"/>
    <xf numFmtId="0" fontId="13" fillId="0" borderId="0"/>
    <xf numFmtId="0" fontId="153" fillId="0" borderId="0"/>
    <xf numFmtId="0" fontId="154" fillId="0" borderId="0"/>
    <xf numFmtId="0" fontId="1" fillId="0" borderId="0"/>
    <xf numFmtId="0" fontId="10" fillId="0" borderId="0"/>
    <xf numFmtId="173" fontId="10" fillId="0" borderId="0"/>
    <xf numFmtId="173"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0"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0" fillId="0" borderId="0"/>
    <xf numFmtId="0" fontId="10" fillId="0" borderId="0"/>
    <xf numFmtId="0" fontId="10" fillId="0" borderId="0"/>
    <xf numFmtId="0" fontId="13" fillId="0" borderId="0"/>
    <xf numFmtId="0" fontId="3" fillId="0" borderId="0"/>
    <xf numFmtId="0" fontId="10" fillId="0" borderId="0"/>
    <xf numFmtId="0" fontId="1" fillId="0" borderId="0"/>
    <xf numFmtId="0" fontId="1" fillId="0" borderId="0"/>
    <xf numFmtId="0" fontId="95" fillId="0" borderId="0"/>
    <xf numFmtId="0" fontId="95"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0" fillId="0" borderId="0"/>
    <xf numFmtId="0" fontId="1" fillId="0" borderId="0"/>
    <xf numFmtId="0" fontId="1" fillId="0" borderId="0"/>
    <xf numFmtId="0" fontId="13" fillId="0" borderId="0"/>
    <xf numFmtId="0" fontId="13" fillId="0" borderId="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0" fontId="10" fillId="46" borderId="19"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0" fontId="10" fillId="20" borderId="19" applyNumberFormat="0" applyFont="0" applyAlignment="0" applyProtection="0"/>
    <xf numFmtId="0" fontId="10" fillId="20" borderId="19" applyNumberFormat="0" applyFont="0" applyAlignment="0" applyProtection="0"/>
    <xf numFmtId="0" fontId="10" fillId="46" borderId="19" applyNumberFormat="0" applyFont="0" applyAlignment="0" applyProtection="0"/>
    <xf numFmtId="3" fontId="10" fillId="0" borderId="0" applyFont="0" applyFill="0" applyBorder="0" applyAlignment="0" applyProtection="0">
      <alignment horizontal="right"/>
    </xf>
    <xf numFmtId="0" fontId="74" fillId="63" borderId="22" applyNumberFormat="0" applyBorder="0" applyProtection="0">
      <alignment horizontal="center"/>
    </xf>
    <xf numFmtId="0" fontId="74" fillId="63" borderId="22" applyNumberFormat="0" applyBorder="0" applyProtection="0">
      <alignment horizontal="center"/>
    </xf>
    <xf numFmtId="0" fontId="33" fillId="36" borderId="14" applyNumberFormat="0" applyAlignment="0" applyProtection="0"/>
    <xf numFmtId="197" fontId="56" fillId="0" borderId="21" applyNumberForma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198" fontId="10" fillId="0" borderId="0" applyFont="0" applyFill="0" applyBorder="0" applyAlignment="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199" fontId="56" fillId="0" borderId="0" applyFont="0" applyFill="0" applyBorder="0" applyAlignment="0" applyProtection="0"/>
    <xf numFmtId="210" fontId="68" fillId="0" borderId="0" applyFill="0" applyBorder="0" applyAlignment="0"/>
    <xf numFmtId="211" fontId="68" fillId="0" borderId="0" applyFill="0" applyBorder="0" applyAlignment="0"/>
    <xf numFmtId="210" fontId="68" fillId="0" borderId="0" applyFill="0" applyBorder="0" applyAlignment="0"/>
    <xf numFmtId="215" fontId="68" fillId="0" borderId="0" applyFill="0" applyBorder="0" applyAlignment="0"/>
    <xf numFmtId="211" fontId="68" fillId="0" borderId="0" applyFill="0" applyBorder="0" applyAlignment="0"/>
    <xf numFmtId="174" fontId="10" fillId="34" borderId="0">
      <alignment horizontal="center"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9" fontId="16" fillId="0" borderId="0" applyFill="0" applyBorder="0" applyAlignment="0"/>
    <xf numFmtId="218" fontId="16" fillId="0" borderId="0" applyFill="0" applyBorder="0" applyAlignment="0"/>
    <xf numFmtId="219" fontId="16" fillId="0" borderId="0" applyFill="0" applyBorder="0" applyAlignment="0"/>
    <xf numFmtId="173" fontId="35" fillId="0" borderId="0" applyNumberFormat="0" applyFill="0" applyBorder="0" applyAlignment="0" applyProtection="0"/>
    <xf numFmtId="173" fontId="35" fillId="0" borderId="0" applyNumberFormat="0" applyFill="0" applyBorder="0" applyAlignment="0" applyProtection="0"/>
    <xf numFmtId="0"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0" fontId="34" fillId="0" borderId="0" applyNumberFormat="0" applyFill="0" applyBorder="0" applyAlignment="0" applyProtection="0"/>
    <xf numFmtId="0" fontId="18" fillId="0" borderId="3" applyNumberFormat="0" applyFill="0" applyAlignment="0" applyProtection="0"/>
    <xf numFmtId="0" fontId="37" fillId="0" borderId="23" applyNumberFormat="0" applyFill="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3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cellStyleXfs>
  <cellXfs count="428">
    <xf numFmtId="0" fontId="0" fillId="0" borderId="0" xfId="0"/>
    <xf numFmtId="164" fontId="4" fillId="50" borderId="0" xfId="1114" applyNumberFormat="1" applyFont="1" applyFill="1" applyAlignment="1">
      <alignment horizontal="right" vertical="center" wrapText="1"/>
    </xf>
    <xf numFmtId="165" fontId="4" fillId="50" borderId="0" xfId="863" applyNumberFormat="1" applyFont="1" applyFill="1" applyAlignment="1">
      <alignment vertical="center"/>
    </xf>
    <xf numFmtId="164" fontId="4" fillId="50" borderId="0" xfId="1114" applyNumberFormat="1" applyFont="1" applyFill="1" applyAlignment="1">
      <alignment vertical="center"/>
    </xf>
    <xf numFmtId="165" fontId="4" fillId="57" borderId="0" xfId="863" applyNumberFormat="1" applyFont="1" applyFill="1" applyAlignment="1">
      <alignment vertical="center"/>
    </xf>
    <xf numFmtId="165" fontId="4" fillId="58" borderId="0" xfId="863" applyNumberFormat="1" applyFont="1" applyFill="1" applyAlignment="1">
      <alignment vertical="center"/>
    </xf>
    <xf numFmtId="165" fontId="5" fillId="57" borderId="0" xfId="139" applyNumberFormat="1" applyFont="1" applyFill="1" applyBorder="1" applyAlignment="1">
      <alignment vertical="center"/>
    </xf>
    <xf numFmtId="165" fontId="6" fillId="50" borderId="0" xfId="826" applyNumberFormat="1" applyFont="1" applyFill="1" applyAlignment="1">
      <alignment vertical="center"/>
    </xf>
    <xf numFmtId="3" fontId="113" fillId="57" borderId="0" xfId="863" applyNumberFormat="1" applyFont="1" applyFill="1" applyAlignment="1">
      <alignment vertical="center"/>
    </xf>
    <xf numFmtId="165" fontId="113" fillId="57" borderId="0" xfId="863" applyNumberFormat="1" applyFont="1" applyFill="1" applyAlignment="1">
      <alignment vertical="center"/>
    </xf>
    <xf numFmtId="3" fontId="4" fillId="50" borderId="0" xfId="863" applyNumberFormat="1" applyFont="1" applyFill="1" applyAlignment="1">
      <alignment vertical="center"/>
    </xf>
    <xf numFmtId="165" fontId="6" fillId="50" borderId="0" xfId="1113" applyNumberFormat="1" applyFont="1" applyFill="1" applyAlignment="1">
      <alignment vertical="center"/>
    </xf>
    <xf numFmtId="165" fontId="6" fillId="57" borderId="0" xfId="826" applyNumberFormat="1" applyFont="1" applyFill="1" applyAlignment="1">
      <alignment vertical="center"/>
    </xf>
    <xf numFmtId="165" fontId="7" fillId="50" borderId="0" xfId="826" applyNumberFormat="1" applyFont="1" applyFill="1" applyAlignment="1">
      <alignment vertical="center"/>
    </xf>
    <xf numFmtId="164" fontId="6" fillId="50" borderId="0" xfId="1113" applyNumberFormat="1" applyFont="1" applyFill="1" applyAlignment="1">
      <alignment vertical="center"/>
    </xf>
    <xf numFmtId="165" fontId="9" fillId="50" borderId="0" xfId="826" applyNumberFormat="1" applyFont="1" applyFill="1" applyAlignment="1">
      <alignment vertical="center"/>
    </xf>
    <xf numFmtId="165" fontId="9" fillId="57" borderId="0" xfId="826" applyNumberFormat="1" applyFont="1" applyFill="1" applyAlignment="1">
      <alignment vertical="center"/>
    </xf>
    <xf numFmtId="165" fontId="9" fillId="50" borderId="0" xfId="826" applyNumberFormat="1" applyFont="1" applyFill="1" applyBorder="1" applyAlignment="1">
      <alignment horizontal="center" vertical="center"/>
    </xf>
    <xf numFmtId="165" fontId="9" fillId="50" borderId="0" xfId="826" applyNumberFormat="1" applyFont="1" applyFill="1" applyBorder="1" applyAlignment="1">
      <alignment horizontal="center" vertical="center" wrapText="1"/>
    </xf>
    <xf numFmtId="164" fontId="9" fillId="50" borderId="0" xfId="1113" applyNumberFormat="1" applyFont="1" applyFill="1" applyBorder="1" applyAlignment="1">
      <alignment horizontal="center" vertical="center"/>
    </xf>
    <xf numFmtId="49" fontId="9" fillId="50" borderId="0" xfId="826" applyNumberFormat="1" applyFont="1" applyFill="1" applyBorder="1" applyAlignment="1">
      <alignment vertical="center"/>
    </xf>
    <xf numFmtId="165" fontId="6" fillId="59" borderId="0" xfId="0" applyNumberFormat="1" applyFont="1" applyFill="1" applyAlignment="1">
      <alignment vertical="center"/>
    </xf>
    <xf numFmtId="164" fontId="6" fillId="50" borderId="0" xfId="1113" applyNumberFormat="1" applyFont="1" applyFill="1" applyAlignment="1">
      <alignment horizontal="right" vertical="center"/>
    </xf>
    <xf numFmtId="165" fontId="9" fillId="50" borderId="0" xfId="826" applyNumberFormat="1" applyFont="1" applyFill="1" applyBorder="1" applyAlignment="1">
      <alignment vertical="center"/>
    </xf>
    <xf numFmtId="165" fontId="6" fillId="50" borderId="0" xfId="826" applyNumberFormat="1" applyFont="1" applyFill="1" applyBorder="1" applyAlignment="1">
      <alignment vertical="center"/>
    </xf>
    <xf numFmtId="164" fontId="6" fillId="50" borderId="0" xfId="1113" applyNumberFormat="1" applyFont="1" applyFill="1" applyBorder="1" applyAlignment="1">
      <alignment horizontal="right" vertical="center"/>
    </xf>
    <xf numFmtId="165" fontId="4" fillId="50" borderId="0" xfId="863" applyNumberFormat="1" applyFont="1" applyFill="1" applyAlignment="1"/>
    <xf numFmtId="165" fontId="6" fillId="57" borderId="0" xfId="0" applyNumberFormat="1" applyFont="1" applyFill="1" applyAlignment="1">
      <alignment vertical="center"/>
    </xf>
    <xf numFmtId="165" fontId="6" fillId="57" borderId="0" xfId="826" applyNumberFormat="1" applyFont="1" applyFill="1" applyBorder="1" applyAlignment="1">
      <alignment vertical="center"/>
    </xf>
    <xf numFmtId="165" fontId="6" fillId="57" borderId="0" xfId="1113" applyNumberFormat="1" applyFont="1" applyFill="1" applyAlignment="1">
      <alignment vertical="center"/>
    </xf>
    <xf numFmtId="165" fontId="11" fillId="57" borderId="0" xfId="863" applyNumberFormat="1" applyFont="1" applyFill="1" applyAlignment="1">
      <alignment horizontal="center" vertical="center"/>
    </xf>
    <xf numFmtId="164" fontId="6" fillId="50" borderId="0" xfId="1085" applyNumberFormat="1" applyFont="1" applyFill="1" applyAlignment="1">
      <alignment vertical="center"/>
    </xf>
    <xf numFmtId="165" fontId="6" fillId="0" borderId="0" xfId="826" applyNumberFormat="1" applyFont="1" applyFill="1" applyAlignment="1">
      <alignment vertical="center"/>
    </xf>
    <xf numFmtId="165" fontId="6" fillId="0" borderId="0" xfId="826" applyNumberFormat="1" applyFont="1" applyFill="1" applyBorder="1" applyAlignment="1">
      <alignment vertical="center"/>
    </xf>
    <xf numFmtId="164" fontId="6" fillId="0" borderId="0" xfId="1113" applyNumberFormat="1" applyFont="1" applyFill="1" applyAlignment="1">
      <alignment horizontal="right" vertical="center"/>
    </xf>
    <xf numFmtId="165" fontId="6" fillId="0" borderId="0" xfId="826" applyNumberFormat="1" applyFont="1" applyAlignment="1">
      <alignment vertical="center"/>
    </xf>
    <xf numFmtId="165" fontId="12" fillId="50" borderId="0" xfId="637" applyNumberFormat="1" applyFont="1" applyFill="1" applyAlignment="1">
      <alignment vertical="center"/>
    </xf>
    <xf numFmtId="165" fontId="6" fillId="50" borderId="0" xfId="826" applyNumberFormat="1" applyFont="1" applyFill="1" applyAlignment="1"/>
    <xf numFmtId="164" fontId="6" fillId="50" borderId="0" xfId="1113" applyNumberFormat="1" applyFont="1" applyFill="1" applyAlignment="1"/>
    <xf numFmtId="164" fontId="6" fillId="0" borderId="0" xfId="1085" applyNumberFormat="1" applyFont="1" applyFill="1" applyAlignment="1">
      <alignment vertical="center"/>
    </xf>
    <xf numFmtId="165" fontId="11" fillId="0" borderId="0" xfId="863" applyNumberFormat="1" applyFont="1" applyFill="1" applyAlignment="1">
      <alignment horizontal="center" vertical="center"/>
    </xf>
    <xf numFmtId="165" fontId="4" fillId="0" borderId="0" xfId="863" applyNumberFormat="1" applyFont="1" applyFill="1" applyAlignment="1">
      <alignment vertical="center"/>
    </xf>
    <xf numFmtId="165" fontId="4" fillId="50" borderId="0" xfId="863" applyNumberFormat="1" applyFont="1" applyFill="1" applyBorder="1" applyAlignment="1">
      <alignment vertical="center"/>
    </xf>
    <xf numFmtId="165" fontId="6" fillId="50" borderId="0" xfId="826" applyNumberFormat="1" applyFont="1" applyFill="1" applyAlignment="1">
      <alignment horizontal="left" vertical="center" wrapText="1"/>
    </xf>
    <xf numFmtId="165" fontId="6" fillId="0" borderId="0" xfId="0" applyNumberFormat="1" applyFont="1" applyFill="1" applyAlignment="1">
      <alignment vertical="center"/>
    </xf>
    <xf numFmtId="164" fontId="6" fillId="50" borderId="0" xfId="1113" applyNumberFormat="1" applyFont="1" applyFill="1" applyAlignment="1">
      <alignment horizontal="center" vertical="center"/>
    </xf>
    <xf numFmtId="0" fontId="11" fillId="0" borderId="0" xfId="0" applyFont="1" applyAlignment="1">
      <alignment horizontal="center"/>
    </xf>
    <xf numFmtId="0" fontId="0" fillId="50" borderId="0" xfId="0" applyFill="1" applyAlignment="1">
      <alignment horizontal="center"/>
    </xf>
    <xf numFmtId="0" fontId="11" fillId="0" borderId="0" xfId="0" applyFont="1" applyFill="1" applyAlignment="1">
      <alignment horizontal="center"/>
    </xf>
    <xf numFmtId="49" fontId="9" fillId="0" borderId="0" xfId="826" applyNumberFormat="1" applyFont="1" applyFill="1" applyBorder="1" applyAlignment="1">
      <alignment vertical="center"/>
    </xf>
    <xf numFmtId="0" fontId="0" fillId="57" borderId="0" xfId="0" applyFill="1" applyBorder="1" applyAlignment="1">
      <alignment horizontal="center"/>
    </xf>
    <xf numFmtId="164" fontId="6" fillId="57" borderId="0" xfId="1113" applyNumberFormat="1" applyFont="1" applyFill="1" applyAlignment="1">
      <alignment horizontal="right" vertical="center"/>
    </xf>
    <xf numFmtId="164" fontId="6" fillId="57" borderId="0" xfId="1085" applyNumberFormat="1" applyFont="1" applyFill="1" applyAlignment="1">
      <alignment horizontal="right" vertical="center"/>
    </xf>
    <xf numFmtId="165" fontId="6" fillId="50" borderId="0" xfId="826" applyNumberFormat="1" applyFont="1" applyFill="1" applyAlignment="1">
      <alignment horizontal="justify" vertical="center" wrapText="1"/>
    </xf>
    <xf numFmtId="165" fontId="114" fillId="57" borderId="0" xfId="826" applyNumberFormat="1" applyFont="1" applyFill="1" applyAlignment="1">
      <alignment vertical="center"/>
    </xf>
    <xf numFmtId="164" fontId="6" fillId="0" borderId="0" xfId="1113" applyNumberFormat="1" applyFont="1" applyFill="1" applyBorder="1" applyAlignment="1">
      <alignment horizontal="right" vertical="center"/>
    </xf>
    <xf numFmtId="165" fontId="6" fillId="50" borderId="0" xfId="826" applyNumberFormat="1" applyFont="1" applyFill="1" applyAlignment="1">
      <alignment vertical="center" wrapText="1"/>
    </xf>
    <xf numFmtId="165" fontId="4" fillId="50" borderId="0" xfId="863" applyNumberFormat="1" applyFont="1" applyFill="1" applyAlignment="1">
      <alignment vertical="center" wrapText="1"/>
    </xf>
    <xf numFmtId="164" fontId="6" fillId="0" borderId="0" xfId="1085" applyNumberFormat="1" applyFont="1" applyFill="1" applyAlignment="1">
      <alignment horizontal="right" vertical="center"/>
    </xf>
    <xf numFmtId="164" fontId="9" fillId="50" borderId="32" xfId="1113" applyNumberFormat="1" applyFont="1" applyFill="1" applyBorder="1" applyAlignment="1">
      <alignment horizontal="center" vertical="center"/>
    </xf>
    <xf numFmtId="164" fontId="9" fillId="50" borderId="33" xfId="1113" applyNumberFormat="1" applyFont="1" applyFill="1" applyBorder="1" applyAlignment="1">
      <alignment horizontal="center" vertical="center"/>
    </xf>
    <xf numFmtId="165" fontId="6" fillId="50" borderId="0" xfId="1113" applyNumberFormat="1" applyFont="1" applyFill="1" applyBorder="1" applyAlignment="1">
      <alignment vertical="center"/>
    </xf>
    <xf numFmtId="165" fontId="115" fillId="50" borderId="34" xfId="826" applyNumberFormat="1" applyFont="1" applyFill="1" applyBorder="1" applyAlignment="1">
      <alignment vertical="center"/>
    </xf>
    <xf numFmtId="165" fontId="115" fillId="50" borderId="35" xfId="826" applyNumberFormat="1" applyFont="1" applyFill="1" applyBorder="1" applyAlignment="1">
      <alignment vertical="center"/>
    </xf>
    <xf numFmtId="165" fontId="115" fillId="50" borderId="36" xfId="826" applyNumberFormat="1" applyFont="1" applyFill="1" applyBorder="1" applyAlignment="1">
      <alignment vertical="center"/>
    </xf>
    <xf numFmtId="165" fontId="115" fillId="50" borderId="36" xfId="1113" applyNumberFormat="1" applyFont="1" applyFill="1" applyBorder="1" applyAlignment="1">
      <alignment vertical="center"/>
    </xf>
    <xf numFmtId="164" fontId="115" fillId="50" borderId="36" xfId="1113" applyNumberFormat="1" applyFont="1" applyFill="1" applyBorder="1" applyAlignment="1">
      <alignment vertical="center"/>
    </xf>
    <xf numFmtId="165" fontId="116" fillId="0" borderId="36" xfId="637" applyNumberFormat="1" applyFont="1" applyBorder="1" applyAlignment="1">
      <alignment horizontal="right" vertical="center"/>
    </xf>
    <xf numFmtId="165" fontId="116" fillId="57" borderId="0" xfId="863" applyNumberFormat="1" applyFont="1" applyFill="1" applyAlignment="1">
      <alignment horizontal="center" vertical="center"/>
    </xf>
    <xf numFmtId="165" fontId="115" fillId="57" borderId="0" xfId="826" applyNumberFormat="1" applyFont="1" applyFill="1" applyAlignment="1">
      <alignment vertical="center"/>
    </xf>
    <xf numFmtId="165" fontId="116" fillId="0" borderId="0" xfId="637" applyNumberFormat="1" applyFont="1" applyAlignment="1"/>
    <xf numFmtId="165" fontId="6" fillId="0" borderId="0" xfId="826" applyNumberFormat="1" applyFont="1" applyBorder="1" applyAlignment="1">
      <alignment vertical="center"/>
    </xf>
    <xf numFmtId="165" fontId="9" fillId="50" borderId="37" xfId="826" applyNumberFormat="1" applyFont="1" applyFill="1" applyBorder="1" applyAlignment="1">
      <alignment vertical="center"/>
    </xf>
    <xf numFmtId="165" fontId="9" fillId="50" borderId="36" xfId="826" applyNumberFormat="1" applyFont="1" applyFill="1" applyBorder="1" applyAlignment="1">
      <alignment vertical="center"/>
    </xf>
    <xf numFmtId="164" fontId="9" fillId="50" borderId="38" xfId="1113" applyNumberFormat="1" applyFont="1" applyFill="1" applyBorder="1" applyAlignment="1">
      <alignment horizontal="center" vertical="center"/>
    </xf>
    <xf numFmtId="165" fontId="6" fillId="50" borderId="36" xfId="826" applyNumberFormat="1" applyFont="1" applyFill="1" applyBorder="1" applyAlignment="1">
      <alignment vertical="center"/>
    </xf>
    <xf numFmtId="0" fontId="6" fillId="0" borderId="0" xfId="637" applyFont="1" applyFill="1" applyBorder="1" applyAlignment="1">
      <alignment vertical="top"/>
    </xf>
    <xf numFmtId="165" fontId="116" fillId="50" borderId="0" xfId="637" applyNumberFormat="1" applyFont="1" applyFill="1" applyAlignment="1"/>
    <xf numFmtId="165" fontId="9" fillId="50" borderId="39" xfId="826" applyNumberFormat="1" applyFont="1" applyFill="1" applyBorder="1" applyAlignment="1">
      <alignment vertical="center"/>
    </xf>
    <xf numFmtId="165" fontId="6" fillId="50" borderId="34" xfId="826" applyNumberFormat="1" applyFont="1" applyFill="1" applyBorder="1" applyAlignment="1">
      <alignment vertical="center"/>
    </xf>
    <xf numFmtId="165" fontId="116" fillId="0" borderId="0" xfId="637" applyNumberFormat="1" applyFont="1" applyAlignment="1">
      <alignment horizontal="right" vertical="center"/>
    </xf>
    <xf numFmtId="165" fontId="116" fillId="0" borderId="0" xfId="637" applyNumberFormat="1" applyFont="1" applyAlignment="1">
      <alignment horizontal="right"/>
    </xf>
    <xf numFmtId="165" fontId="116" fillId="0" borderId="0" xfId="637" applyNumberFormat="1" applyFont="1" applyAlignment="1">
      <alignment vertical="center"/>
    </xf>
    <xf numFmtId="165" fontId="115" fillId="50" borderId="0" xfId="826" applyNumberFormat="1" applyFont="1" applyFill="1" applyAlignment="1">
      <alignment vertical="center"/>
    </xf>
    <xf numFmtId="164" fontId="115" fillId="50" borderId="0" xfId="1113" applyNumberFormat="1" applyFont="1" applyFill="1" applyAlignment="1">
      <alignment vertical="center"/>
    </xf>
    <xf numFmtId="165" fontId="6" fillId="0" borderId="36" xfId="826" applyNumberFormat="1" applyFont="1" applyFill="1" applyBorder="1" applyAlignment="1">
      <alignment vertical="center"/>
    </xf>
    <xf numFmtId="165" fontId="6" fillId="50" borderId="37" xfId="583" applyNumberFormat="1" applyFont="1" applyFill="1" applyBorder="1" applyAlignment="1">
      <alignment vertical="center"/>
    </xf>
    <xf numFmtId="165" fontId="6" fillId="50" borderId="37" xfId="826" applyNumberFormat="1" applyFont="1" applyFill="1" applyBorder="1" applyAlignment="1">
      <alignment vertical="center"/>
    </xf>
    <xf numFmtId="164" fontId="6" fillId="50" borderId="37" xfId="1113" applyNumberFormat="1" applyFont="1" applyFill="1" applyBorder="1" applyAlignment="1">
      <alignment horizontal="right" vertical="center"/>
    </xf>
    <xf numFmtId="165" fontId="117" fillId="58" borderId="0" xfId="863" applyNumberFormat="1" applyFont="1" applyFill="1" applyAlignment="1">
      <alignment vertical="center"/>
    </xf>
    <xf numFmtId="165" fontId="118" fillId="0" borderId="40" xfId="139" applyNumberFormat="1" applyFont="1" applyFill="1" applyBorder="1" applyAlignment="1">
      <alignment vertical="center"/>
    </xf>
    <xf numFmtId="165" fontId="119" fillId="0" borderId="40" xfId="0" applyNumberFormat="1" applyFont="1" applyFill="1" applyBorder="1" applyAlignment="1">
      <alignment vertical="center"/>
    </xf>
    <xf numFmtId="165" fontId="117" fillId="0" borderId="0" xfId="0" applyNumberFormat="1" applyFont="1" applyFill="1" applyAlignment="1">
      <alignment vertical="center"/>
    </xf>
    <xf numFmtId="3" fontId="117" fillId="50" borderId="0" xfId="863" applyNumberFormat="1" applyFont="1" applyFill="1" applyAlignment="1">
      <alignment vertical="center"/>
    </xf>
    <xf numFmtId="165" fontId="117" fillId="50" borderId="0" xfId="863" applyNumberFormat="1" applyFont="1" applyFill="1" applyAlignment="1">
      <alignment vertical="center"/>
    </xf>
    <xf numFmtId="3" fontId="117" fillId="0" borderId="0" xfId="0" applyNumberFormat="1" applyFont="1" applyFill="1" applyAlignment="1">
      <alignment vertical="center"/>
    </xf>
    <xf numFmtId="165" fontId="117" fillId="50" borderId="0" xfId="826" applyNumberFormat="1" applyFont="1" applyFill="1" applyAlignment="1">
      <alignment vertical="center"/>
    </xf>
    <xf numFmtId="165" fontId="120" fillId="50" borderId="41" xfId="826" applyNumberFormat="1" applyFont="1" applyFill="1" applyBorder="1" applyAlignment="1">
      <alignment vertical="center"/>
    </xf>
    <xf numFmtId="165" fontId="120" fillId="50" borderId="0" xfId="826" applyNumberFormat="1" applyFont="1" applyFill="1" applyBorder="1" applyAlignment="1">
      <alignment vertical="center"/>
    </xf>
    <xf numFmtId="165" fontId="117" fillId="50" borderId="0" xfId="826" applyNumberFormat="1" applyFont="1" applyFill="1" applyAlignment="1">
      <alignment horizontal="center" vertical="center" wrapText="1"/>
    </xf>
    <xf numFmtId="0" fontId="117" fillId="0" borderId="0" xfId="0" applyFont="1"/>
    <xf numFmtId="165" fontId="117" fillId="57" borderId="0" xfId="804" applyNumberFormat="1" applyFont="1" applyFill="1" applyAlignment="1">
      <alignment horizontal="center" vertical="center" wrapText="1"/>
    </xf>
    <xf numFmtId="165" fontId="117" fillId="50" borderId="0" xfId="826" applyNumberFormat="1" applyFont="1" applyFill="1" applyAlignment="1">
      <alignment horizontal="center" vertical="center"/>
    </xf>
    <xf numFmtId="49" fontId="121" fillId="50" borderId="0" xfId="826" applyNumberFormat="1" applyFont="1" applyFill="1" applyBorder="1" applyAlignment="1">
      <alignment vertical="center"/>
    </xf>
    <xf numFmtId="165" fontId="117" fillId="0" borderId="0" xfId="0" applyNumberFormat="1" applyFont="1"/>
    <xf numFmtId="165" fontId="117" fillId="57" borderId="0" xfId="804" applyNumberFormat="1" applyFont="1" applyFill="1"/>
    <xf numFmtId="165" fontId="117" fillId="0" borderId="0" xfId="826" applyNumberFormat="1" applyFont="1" applyFill="1" applyAlignment="1">
      <alignment vertical="center"/>
    </xf>
    <xf numFmtId="165" fontId="122" fillId="57" borderId="0" xfId="804" applyNumberFormat="1" applyFont="1" applyFill="1"/>
    <xf numFmtId="165" fontId="117" fillId="57" borderId="0" xfId="826" applyNumberFormat="1" applyFont="1" applyFill="1" applyAlignment="1">
      <alignment vertical="center"/>
    </xf>
    <xf numFmtId="165" fontId="117" fillId="57" borderId="0" xfId="826" applyNumberFormat="1" applyFont="1" applyFill="1" applyBorder="1" applyAlignment="1">
      <alignment vertical="center"/>
    </xf>
    <xf numFmtId="165" fontId="117" fillId="50" borderId="0" xfId="1113" applyNumberFormat="1" applyFont="1" applyFill="1" applyAlignment="1">
      <alignment vertical="center"/>
    </xf>
    <xf numFmtId="172" fontId="117" fillId="0" borderId="0" xfId="0" applyNumberFormat="1" applyFont="1"/>
    <xf numFmtId="165" fontId="117" fillId="50" borderId="0" xfId="826" applyNumberFormat="1" applyFont="1" applyFill="1" applyBorder="1" applyAlignment="1">
      <alignment vertical="center"/>
    </xf>
    <xf numFmtId="165" fontId="123" fillId="57" borderId="0" xfId="804" applyNumberFormat="1" applyFont="1" applyFill="1"/>
    <xf numFmtId="165" fontId="119" fillId="50" borderId="0" xfId="826" applyNumberFormat="1" applyFont="1" applyFill="1" applyBorder="1" applyAlignment="1">
      <alignment vertical="center"/>
    </xf>
    <xf numFmtId="165" fontId="119" fillId="50" borderId="41" xfId="826" applyNumberFormat="1" applyFont="1" applyFill="1" applyBorder="1" applyAlignment="1">
      <alignment vertical="center"/>
    </xf>
    <xf numFmtId="165" fontId="119" fillId="50" borderId="0" xfId="1113" applyNumberFormat="1" applyFont="1" applyFill="1" applyBorder="1" applyAlignment="1">
      <alignment vertical="center"/>
    </xf>
    <xf numFmtId="164" fontId="119" fillId="50" borderId="0" xfId="1113" applyNumberFormat="1" applyFont="1" applyFill="1" applyBorder="1" applyAlignment="1">
      <alignment vertical="center"/>
    </xf>
    <xf numFmtId="165" fontId="119" fillId="57" borderId="0" xfId="826" applyNumberFormat="1" applyFont="1" applyFill="1" applyBorder="1" applyAlignment="1">
      <alignment vertical="center"/>
    </xf>
    <xf numFmtId="165" fontId="119" fillId="57" borderId="41" xfId="826" applyNumberFormat="1" applyFont="1" applyFill="1" applyBorder="1" applyAlignment="1">
      <alignment vertical="center"/>
    </xf>
    <xf numFmtId="165" fontId="118" fillId="0" borderId="0" xfId="637" applyNumberFormat="1" applyFont="1" applyBorder="1" applyAlignment="1">
      <alignment horizontal="right" vertical="center"/>
    </xf>
    <xf numFmtId="165" fontId="124" fillId="0" borderId="40" xfId="139" applyNumberFormat="1" applyFont="1" applyFill="1" applyBorder="1" applyAlignment="1">
      <alignment vertical="center"/>
    </xf>
    <xf numFmtId="165" fontId="125" fillId="0" borderId="40" xfId="139" applyNumberFormat="1" applyFont="1" applyFill="1" applyBorder="1" applyAlignment="1">
      <alignment vertical="center"/>
    </xf>
    <xf numFmtId="165" fontId="6" fillId="0" borderId="0" xfId="804" applyNumberFormat="1" applyFont="1" applyAlignment="1">
      <alignment vertical="center"/>
    </xf>
    <xf numFmtId="165" fontId="126" fillId="57" borderId="0" xfId="804" applyNumberFormat="1" applyFont="1" applyFill="1" applyAlignment="1">
      <alignment vertical="center"/>
    </xf>
    <xf numFmtId="165" fontId="9" fillId="0" borderId="0" xfId="804" applyNumberFormat="1" applyFont="1" applyAlignment="1">
      <alignment vertical="center"/>
    </xf>
    <xf numFmtId="165" fontId="6" fillId="0" borderId="0" xfId="603" applyNumberFormat="1" applyFont="1" applyAlignment="1">
      <alignment vertical="center"/>
    </xf>
    <xf numFmtId="165" fontId="127" fillId="57" borderId="0" xfId="804" applyNumberFormat="1" applyFont="1" applyFill="1" applyBorder="1" applyAlignment="1">
      <alignment vertical="center"/>
    </xf>
    <xf numFmtId="0" fontId="128" fillId="0" borderId="0" xfId="0" applyFont="1" applyAlignment="1">
      <alignment vertical="center"/>
    </xf>
    <xf numFmtId="0" fontId="0" fillId="50" borderId="0" xfId="0" applyFill="1" applyAlignment="1">
      <alignment vertical="center"/>
    </xf>
    <xf numFmtId="165" fontId="129" fillId="57" borderId="42" xfId="139" applyNumberFormat="1" applyFont="1" applyFill="1" applyBorder="1" applyAlignment="1">
      <alignment vertical="center"/>
    </xf>
    <xf numFmtId="0" fontId="130" fillId="57" borderId="42" xfId="0" applyFont="1" applyFill="1" applyBorder="1" applyAlignment="1">
      <alignment vertical="center"/>
    </xf>
    <xf numFmtId="165" fontId="131" fillId="57" borderId="42" xfId="139" applyNumberFormat="1" applyFont="1" applyFill="1" applyBorder="1" applyAlignment="1">
      <alignment horizontal="center" vertical="center" wrapText="1"/>
    </xf>
    <xf numFmtId="0" fontId="130" fillId="57" borderId="0" xfId="0" applyFont="1" applyFill="1" applyAlignment="1">
      <alignment vertical="center"/>
    </xf>
    <xf numFmtId="165" fontId="132" fillId="57" borderId="0" xfId="461" applyNumberFormat="1" applyFont="1" applyFill="1" applyBorder="1" applyAlignment="1" applyProtection="1">
      <alignment vertical="center"/>
    </xf>
    <xf numFmtId="204" fontId="133" fillId="57" borderId="0" xfId="0" applyNumberFormat="1" applyFont="1" applyFill="1" applyAlignment="1">
      <alignment horizontal="right" vertical="center"/>
    </xf>
    <xf numFmtId="0" fontId="134" fillId="0" borderId="0" xfId="0" applyFont="1"/>
    <xf numFmtId="165" fontId="126" fillId="0" borderId="0" xfId="804" applyNumberFormat="1" applyFont="1" applyAlignment="1">
      <alignment vertical="center"/>
    </xf>
    <xf numFmtId="165" fontId="135" fillId="50" borderId="0" xfId="863" applyNumberFormat="1" applyFont="1" applyFill="1" applyAlignment="1">
      <alignment vertical="center"/>
    </xf>
    <xf numFmtId="165" fontId="135" fillId="50" borderId="0" xfId="863" applyNumberFormat="1" applyFont="1" applyFill="1" applyAlignment="1"/>
    <xf numFmtId="165" fontId="126" fillId="0" borderId="0" xfId="603" applyNumberFormat="1" applyFont="1" applyAlignment="1">
      <alignment vertical="center"/>
    </xf>
    <xf numFmtId="0" fontId="134" fillId="57" borderId="0" xfId="0" applyFont="1" applyFill="1"/>
    <xf numFmtId="165" fontId="77" fillId="50" borderId="0" xfId="603" applyNumberFormat="1" applyFont="1" applyFill="1" applyBorder="1" applyAlignment="1">
      <alignment vertical="center" wrapText="1"/>
    </xf>
    <xf numFmtId="165" fontId="77" fillId="0" borderId="43" xfId="603" applyNumberFormat="1" applyFont="1" applyFill="1" applyBorder="1" applyAlignment="1">
      <alignment vertical="center"/>
    </xf>
    <xf numFmtId="165" fontId="77" fillId="60" borderId="43" xfId="603" applyNumberFormat="1" applyFont="1" applyFill="1" applyBorder="1" applyAlignment="1">
      <alignment vertical="center"/>
    </xf>
    <xf numFmtId="165" fontId="78" fillId="0" borderId="0" xfId="804" applyNumberFormat="1" applyFont="1" applyBorder="1" applyAlignment="1">
      <alignment vertical="center"/>
    </xf>
    <xf numFmtId="165" fontId="78" fillId="57" borderId="0" xfId="804" quotePrefix="1" applyNumberFormat="1" applyFont="1" applyFill="1" applyBorder="1" applyAlignment="1">
      <alignment horizontal="center" vertical="center" wrapText="1"/>
    </xf>
    <xf numFmtId="165" fontId="78" fillId="57" borderId="0" xfId="804" applyNumberFormat="1" applyFont="1" applyFill="1" applyBorder="1" applyAlignment="1">
      <alignment horizontal="center" vertical="center" wrapText="1"/>
    </xf>
    <xf numFmtId="165" fontId="78" fillId="60" borderId="0" xfId="804" applyNumberFormat="1" applyFont="1" applyFill="1" applyBorder="1" applyAlignment="1">
      <alignment vertical="center"/>
    </xf>
    <xf numFmtId="165" fontId="78" fillId="0" borderId="0" xfId="804" quotePrefix="1" applyNumberFormat="1" applyFont="1" applyBorder="1" applyAlignment="1">
      <alignment horizontal="center" vertical="center" wrapText="1"/>
    </xf>
    <xf numFmtId="165" fontId="136" fillId="57" borderId="0" xfId="804" applyNumberFormat="1" applyFont="1" applyFill="1" applyAlignment="1">
      <alignment vertical="center"/>
    </xf>
    <xf numFmtId="165" fontId="136" fillId="0" borderId="0" xfId="804" applyNumberFormat="1" applyFont="1" applyAlignment="1">
      <alignment vertical="center"/>
    </xf>
    <xf numFmtId="165" fontId="137" fillId="57" borderId="37" xfId="603" applyNumberFormat="1" applyFont="1" applyFill="1" applyBorder="1" applyAlignment="1">
      <alignment vertical="center"/>
    </xf>
    <xf numFmtId="165" fontId="138" fillId="60" borderId="37" xfId="804" applyNumberFormat="1" applyFont="1" applyFill="1" applyBorder="1" applyAlignment="1">
      <alignment vertical="center"/>
    </xf>
    <xf numFmtId="165" fontId="137" fillId="0" borderId="37" xfId="804" applyNumberFormat="1" applyFont="1" applyFill="1" applyBorder="1" applyAlignment="1">
      <alignment horizontal="right" vertical="center"/>
    </xf>
    <xf numFmtId="165" fontId="137" fillId="57" borderId="37" xfId="804" applyNumberFormat="1" applyFont="1" applyFill="1" applyBorder="1" applyAlignment="1">
      <alignment horizontal="right" vertical="center"/>
    </xf>
    <xf numFmtId="165" fontId="78" fillId="57" borderId="0" xfId="603" applyNumberFormat="1" applyFont="1" applyFill="1" applyBorder="1" applyAlignment="1">
      <alignment horizontal="left" vertical="center" indent="1"/>
    </xf>
    <xf numFmtId="165" fontId="78" fillId="0" borderId="0" xfId="804" applyNumberFormat="1" applyFont="1" applyFill="1" applyAlignment="1">
      <alignment horizontal="right" vertical="center"/>
    </xf>
    <xf numFmtId="165" fontId="78" fillId="57" borderId="0" xfId="804" applyNumberFormat="1" applyFont="1" applyFill="1" applyAlignment="1">
      <alignment horizontal="right" vertical="center"/>
    </xf>
    <xf numFmtId="165" fontId="78" fillId="57" borderId="0" xfId="603" applyNumberFormat="1" applyFont="1" applyFill="1" applyBorder="1" applyAlignment="1">
      <alignment horizontal="left" vertical="center" indent="2"/>
    </xf>
    <xf numFmtId="200" fontId="136" fillId="57" borderId="0" xfId="804" applyNumberFormat="1" applyFont="1" applyFill="1" applyAlignment="1">
      <alignment vertical="center"/>
    </xf>
    <xf numFmtId="201" fontId="136" fillId="57" borderId="0" xfId="804" applyNumberFormat="1" applyFont="1" applyFill="1" applyAlignment="1">
      <alignment vertical="center"/>
    </xf>
    <xf numFmtId="165" fontId="78" fillId="57" borderId="0" xfId="804" applyNumberFormat="1" applyFont="1" applyFill="1" applyAlignment="1">
      <alignment horizontal="left" vertical="center" indent="2"/>
    </xf>
    <xf numFmtId="165" fontId="78" fillId="57" borderId="0" xfId="603" applyNumberFormat="1" applyFont="1" applyFill="1" applyBorder="1" applyAlignment="1">
      <alignment horizontal="left" vertical="center" indent="3"/>
    </xf>
    <xf numFmtId="165" fontId="78" fillId="57" borderId="0" xfId="603" applyNumberFormat="1" applyFont="1" applyFill="1" applyBorder="1" applyAlignment="1">
      <alignment vertical="center"/>
    </xf>
    <xf numFmtId="165" fontId="137" fillId="57" borderId="0" xfId="603" applyNumberFormat="1" applyFont="1" applyFill="1" applyBorder="1" applyAlignment="1">
      <alignment vertical="center"/>
    </xf>
    <xf numFmtId="165" fontId="138" fillId="60" borderId="0" xfId="804" applyNumberFormat="1" applyFont="1" applyFill="1" applyBorder="1" applyAlignment="1">
      <alignment vertical="center"/>
    </xf>
    <xf numFmtId="165" fontId="137" fillId="0" borderId="0" xfId="804" applyNumberFormat="1" applyFont="1" applyFill="1" applyAlignment="1">
      <alignment horizontal="right" vertical="center"/>
    </xf>
    <xf numFmtId="165" fontId="137" fillId="57" borderId="0" xfId="804" applyNumberFormat="1" applyFont="1" applyFill="1" applyAlignment="1">
      <alignment horizontal="right" vertical="center"/>
    </xf>
    <xf numFmtId="202" fontId="136" fillId="57" borderId="0" xfId="804" applyNumberFormat="1" applyFont="1" applyFill="1" applyAlignment="1">
      <alignment vertical="center"/>
    </xf>
    <xf numFmtId="165" fontId="78" fillId="0" borderId="0" xfId="603" applyNumberFormat="1" applyFont="1" applyFill="1" applyBorder="1" applyAlignment="1">
      <alignment horizontal="left" vertical="center" indent="2"/>
    </xf>
    <xf numFmtId="165" fontId="78" fillId="0" borderId="0" xfId="603" applyNumberFormat="1" applyFont="1" applyFill="1" applyBorder="1" applyAlignment="1">
      <alignment vertical="center"/>
    </xf>
    <xf numFmtId="165" fontId="137" fillId="57" borderId="38" xfId="603" applyNumberFormat="1" applyFont="1" applyFill="1" applyBorder="1" applyAlignment="1">
      <alignment vertical="center"/>
    </xf>
    <xf numFmtId="165" fontId="138" fillId="60" borderId="38" xfId="804" applyNumberFormat="1" applyFont="1" applyFill="1" applyBorder="1" applyAlignment="1">
      <alignment vertical="center"/>
    </xf>
    <xf numFmtId="165" fontId="137" fillId="0" borderId="38" xfId="804" applyNumberFormat="1" applyFont="1" applyFill="1" applyBorder="1" applyAlignment="1">
      <alignment horizontal="right" vertical="center"/>
    </xf>
    <xf numFmtId="165" fontId="137" fillId="57" borderId="38" xfId="804" applyNumberFormat="1" applyFont="1" applyFill="1" applyBorder="1" applyAlignment="1">
      <alignment horizontal="right" vertical="center"/>
    </xf>
    <xf numFmtId="165" fontId="79" fillId="57" borderId="0" xfId="804" applyNumberFormat="1" applyFont="1" applyFill="1" applyAlignment="1">
      <alignment vertical="center"/>
    </xf>
    <xf numFmtId="165" fontId="78" fillId="0" borderId="0" xfId="804" applyNumberFormat="1" applyFont="1" applyAlignment="1">
      <alignment horizontal="right" vertical="center"/>
    </xf>
    <xf numFmtId="165" fontId="78" fillId="57" borderId="0" xfId="804" applyNumberFormat="1" applyFont="1" applyFill="1" applyAlignment="1">
      <alignment horizontal="left" vertical="center" indent="1"/>
    </xf>
    <xf numFmtId="165" fontId="117" fillId="60" borderId="0" xfId="804" applyNumberFormat="1" applyFont="1" applyFill="1" applyBorder="1" applyAlignment="1">
      <alignment vertical="center"/>
    </xf>
    <xf numFmtId="165" fontId="78" fillId="0" borderId="0" xfId="603" applyNumberFormat="1" applyFont="1" applyAlignment="1">
      <alignment vertical="center"/>
    </xf>
    <xf numFmtId="165" fontId="78" fillId="50" borderId="0" xfId="603" applyNumberFormat="1" applyFont="1" applyFill="1" applyAlignment="1">
      <alignment vertical="center"/>
    </xf>
    <xf numFmtId="0" fontId="10" fillId="50" borderId="0" xfId="0" applyFont="1" applyFill="1"/>
    <xf numFmtId="0" fontId="78" fillId="50" borderId="0" xfId="603" applyFont="1" applyFill="1"/>
    <xf numFmtId="203" fontId="80" fillId="0" borderId="0" xfId="603" applyNumberFormat="1" applyFont="1" applyBorder="1" applyAlignment="1">
      <alignment vertical="center"/>
    </xf>
    <xf numFmtId="165" fontId="78" fillId="50" borderId="0" xfId="863" applyNumberFormat="1" applyFont="1" applyFill="1" applyAlignment="1">
      <alignment vertical="center"/>
    </xf>
    <xf numFmtId="165" fontId="136" fillId="57" borderId="0" xfId="603" applyNumberFormat="1" applyFont="1" applyFill="1" applyAlignment="1">
      <alignment vertical="center"/>
    </xf>
    <xf numFmtId="165" fontId="136" fillId="0" borderId="0" xfId="603" applyNumberFormat="1" applyFont="1" applyAlignment="1">
      <alignment vertical="center"/>
    </xf>
    <xf numFmtId="165" fontId="6" fillId="57" borderId="0" xfId="603" applyNumberFormat="1" applyFont="1" applyFill="1" applyAlignment="1">
      <alignment horizontal="left" vertical="center"/>
    </xf>
    <xf numFmtId="165" fontId="137" fillId="50" borderId="0" xfId="603" applyNumberFormat="1" applyFont="1" applyFill="1" applyBorder="1" applyAlignment="1">
      <alignment horizontal="right"/>
    </xf>
    <xf numFmtId="164" fontId="9" fillId="50" borderId="33" xfId="1113" applyNumberFormat="1" applyFont="1" applyFill="1" applyBorder="1" applyAlignment="1">
      <alignment horizontal="center" vertical="center"/>
    </xf>
    <xf numFmtId="165" fontId="117" fillId="50" borderId="44" xfId="826" applyNumberFormat="1" applyFont="1" applyFill="1" applyBorder="1" applyAlignment="1">
      <alignment horizontal="center" vertical="center"/>
    </xf>
    <xf numFmtId="165" fontId="117" fillId="57" borderId="44" xfId="804" applyNumberFormat="1" applyFont="1" applyFill="1" applyBorder="1" applyAlignment="1">
      <alignment horizontal="center" vertical="center" wrapText="1"/>
    </xf>
    <xf numFmtId="0" fontId="117" fillId="0" borderId="44" xfId="0" applyFont="1" applyBorder="1"/>
    <xf numFmtId="165" fontId="117" fillId="57" borderId="43" xfId="804" applyNumberFormat="1" applyFont="1" applyFill="1" applyBorder="1" applyAlignment="1">
      <alignment horizontal="center" vertical="center" wrapText="1"/>
    </xf>
    <xf numFmtId="165" fontId="120" fillId="50" borderId="45" xfId="826" applyNumberFormat="1" applyFont="1" applyFill="1" applyBorder="1" applyAlignment="1">
      <alignment vertical="center"/>
    </xf>
    <xf numFmtId="165" fontId="118" fillId="50" borderId="45" xfId="826" applyNumberFormat="1" applyFont="1" applyFill="1" applyBorder="1" applyAlignment="1">
      <alignment horizontal="center" vertical="center"/>
    </xf>
    <xf numFmtId="165" fontId="118" fillId="57" borderId="45" xfId="804" applyNumberFormat="1" applyFont="1" applyFill="1" applyBorder="1" applyAlignment="1">
      <alignment horizontal="center" vertical="center" wrapText="1"/>
    </xf>
    <xf numFmtId="165" fontId="117" fillId="57" borderId="44" xfId="826" applyNumberFormat="1" applyFont="1" applyFill="1" applyBorder="1" applyAlignment="1">
      <alignment vertical="center"/>
    </xf>
    <xf numFmtId="165" fontId="118" fillId="50" borderId="45" xfId="826" applyNumberFormat="1" applyFont="1" applyFill="1" applyBorder="1" applyAlignment="1">
      <alignment horizontal="center" vertical="center"/>
    </xf>
    <xf numFmtId="165" fontId="118" fillId="57" borderId="45" xfId="804" applyNumberFormat="1" applyFont="1" applyFill="1" applyBorder="1" applyAlignment="1">
      <alignment horizontal="center" vertical="center" wrapText="1"/>
    </xf>
    <xf numFmtId="165" fontId="118" fillId="0" borderId="43" xfId="637" applyNumberFormat="1" applyFont="1" applyBorder="1" applyAlignment="1">
      <alignment horizontal="right" vertical="center"/>
    </xf>
    <xf numFmtId="165" fontId="117" fillId="0" borderId="44" xfId="0" applyNumberFormat="1" applyFont="1" applyBorder="1"/>
    <xf numFmtId="165" fontId="0" fillId="0" borderId="0" xfId="0" applyNumberFormat="1"/>
    <xf numFmtId="164" fontId="6" fillId="0" borderId="0" xfId="1085" applyNumberFormat="1" applyFont="1" applyBorder="1" applyAlignment="1">
      <alignment vertical="center"/>
    </xf>
    <xf numFmtId="164" fontId="6" fillId="50" borderId="0" xfId="1085" applyNumberFormat="1" applyFont="1" applyFill="1" applyBorder="1" applyAlignment="1">
      <alignment vertical="center"/>
    </xf>
    <xf numFmtId="164" fontId="6" fillId="0" borderId="0" xfId="1085" applyNumberFormat="1" applyFont="1" applyFill="1" applyBorder="1" applyAlignment="1">
      <alignment vertical="center"/>
    </xf>
    <xf numFmtId="165" fontId="7" fillId="0" borderId="0" xfId="863" applyNumberFormat="1" applyFont="1" applyFill="1" applyAlignment="1">
      <alignment horizontal="center" vertical="center"/>
    </xf>
    <xf numFmtId="43" fontId="6" fillId="57" borderId="0" xfId="1244" applyFont="1" applyFill="1" applyAlignment="1">
      <alignment vertical="center"/>
    </xf>
    <xf numFmtId="43" fontId="6" fillId="50" borderId="0" xfId="1244" applyFont="1" applyFill="1" applyBorder="1" applyAlignment="1">
      <alignment vertical="center"/>
    </xf>
    <xf numFmtId="208" fontId="6" fillId="0" borderId="0" xfId="1244" applyNumberFormat="1" applyFont="1" applyFill="1" applyBorder="1" applyAlignment="1">
      <alignment vertical="top" wrapText="1"/>
    </xf>
    <xf numFmtId="207" fontId="6" fillId="57" borderId="0" xfId="1244" applyNumberFormat="1" applyFont="1" applyFill="1" applyAlignment="1">
      <alignment vertical="center"/>
    </xf>
    <xf numFmtId="3" fontId="79" fillId="57" borderId="0" xfId="804" applyNumberFormat="1" applyFont="1" applyFill="1" applyBorder="1" applyAlignment="1">
      <alignment horizontal="left" vertical="center" wrapText="1" indent="2"/>
    </xf>
    <xf numFmtId="3" fontId="79" fillId="57" borderId="36" xfId="804" applyNumberFormat="1" applyFont="1" applyFill="1" applyBorder="1" applyAlignment="1">
      <alignment horizontal="left" vertical="center" wrapText="1" indent="2"/>
    </xf>
    <xf numFmtId="165" fontId="139" fillId="50" borderId="0" xfId="826" applyNumberFormat="1" applyFont="1" applyFill="1" applyAlignment="1">
      <alignment vertical="center"/>
    </xf>
    <xf numFmtId="165" fontId="139" fillId="0" borderId="0" xfId="826" applyNumberFormat="1" applyFont="1" applyFill="1" applyAlignment="1">
      <alignment vertical="center"/>
    </xf>
    <xf numFmtId="165" fontId="139" fillId="50" borderId="0" xfId="863" applyNumberFormat="1" applyFont="1" applyFill="1" applyAlignment="1">
      <alignment vertical="center"/>
    </xf>
    <xf numFmtId="165" fontId="139" fillId="57" borderId="0" xfId="826" applyNumberFormat="1" applyFont="1" applyFill="1" applyBorder="1" applyAlignment="1">
      <alignment vertical="center"/>
    </xf>
    <xf numFmtId="165" fontId="139" fillId="57" borderId="0" xfId="826" applyNumberFormat="1" applyFont="1" applyFill="1" applyAlignment="1">
      <alignment vertical="center"/>
    </xf>
    <xf numFmtId="165" fontId="139" fillId="50" borderId="0" xfId="826" applyNumberFormat="1" applyFont="1" applyFill="1" applyBorder="1" applyAlignment="1">
      <alignment vertical="center"/>
    </xf>
    <xf numFmtId="165" fontId="117" fillId="0" borderId="0" xfId="826" applyNumberFormat="1" applyFont="1" applyFill="1" applyBorder="1" applyAlignment="1">
      <alignment vertical="center"/>
    </xf>
    <xf numFmtId="0" fontId="0" fillId="0" borderId="0" xfId="0" applyBorder="1"/>
    <xf numFmtId="165" fontId="139" fillId="0" borderId="0" xfId="826" applyNumberFormat="1" applyFont="1" applyFill="1" applyBorder="1" applyAlignment="1">
      <alignment vertical="center"/>
    </xf>
    <xf numFmtId="164" fontId="6" fillId="0" borderId="0" xfId="1085" applyNumberFormat="1" applyFont="1" applyFill="1" applyBorder="1" applyAlignment="1">
      <alignment horizontal="right" vertical="center"/>
    </xf>
    <xf numFmtId="43" fontId="6" fillId="0" borderId="0" xfId="1244" applyFont="1" applyAlignment="1">
      <alignment vertical="center"/>
    </xf>
    <xf numFmtId="164" fontId="6" fillId="57" borderId="0" xfId="1085" applyNumberFormat="1" applyFont="1" applyFill="1" applyAlignment="1">
      <alignment vertical="center"/>
    </xf>
    <xf numFmtId="164" fontId="6" fillId="57" borderId="0" xfId="1085" applyNumberFormat="1" applyFont="1" applyFill="1" applyBorder="1" applyAlignment="1">
      <alignment vertical="center"/>
    </xf>
    <xf numFmtId="165" fontId="117" fillId="57" borderId="0" xfId="804" applyNumberFormat="1" applyFont="1" applyFill="1" applyAlignment="1">
      <alignment horizontal="right" vertical="center"/>
    </xf>
    <xf numFmtId="165" fontId="118" fillId="57" borderId="37" xfId="804" applyNumberFormat="1" applyFont="1" applyFill="1" applyBorder="1" applyAlignment="1">
      <alignment horizontal="right" vertical="center"/>
    </xf>
    <xf numFmtId="165" fontId="117" fillId="57" borderId="0" xfId="804" applyNumberFormat="1" applyFont="1" applyFill="1" applyBorder="1" applyAlignment="1">
      <alignment horizontal="right" vertical="center"/>
    </xf>
    <xf numFmtId="165" fontId="117" fillId="57" borderId="0" xfId="804" quotePrefix="1" applyNumberFormat="1" applyFont="1" applyFill="1" applyAlignment="1">
      <alignment horizontal="right" vertical="center"/>
    </xf>
    <xf numFmtId="165" fontId="117" fillId="57" borderId="0" xfId="804" quotePrefix="1" applyNumberFormat="1" applyFont="1" applyFill="1" applyBorder="1" applyAlignment="1">
      <alignment horizontal="right" vertical="center"/>
    </xf>
    <xf numFmtId="165" fontId="118" fillId="57" borderId="0" xfId="804" applyNumberFormat="1" applyFont="1" applyFill="1" applyAlignment="1">
      <alignment horizontal="right" vertical="center"/>
    </xf>
    <xf numFmtId="165" fontId="118" fillId="57" borderId="38" xfId="804" applyNumberFormat="1" applyFont="1" applyFill="1" applyBorder="1" applyAlignment="1">
      <alignment horizontal="right" vertical="center"/>
    </xf>
    <xf numFmtId="43" fontId="6" fillId="0" borderId="0" xfId="1244" applyFont="1" applyFill="1" applyAlignment="1">
      <alignment vertical="top" wrapText="1"/>
    </xf>
    <xf numFmtId="3" fontId="117" fillId="50" borderId="0" xfId="826" applyNumberFormat="1" applyFont="1" applyFill="1" applyBorder="1" applyAlignment="1">
      <alignment vertical="center"/>
    </xf>
    <xf numFmtId="165" fontId="117" fillId="0" borderId="0" xfId="804" applyNumberFormat="1" applyFont="1" applyFill="1" applyAlignment="1">
      <alignment vertical="center"/>
    </xf>
    <xf numFmtId="165" fontId="117" fillId="0" borderId="0" xfId="804" applyNumberFormat="1" applyFont="1" applyFill="1" applyAlignment="1">
      <alignment horizontal="right" vertical="center"/>
    </xf>
    <xf numFmtId="165" fontId="118" fillId="0" borderId="0" xfId="804" applyNumberFormat="1" applyFont="1" applyFill="1" applyAlignment="1">
      <alignment horizontal="right" vertical="center"/>
    </xf>
    <xf numFmtId="165" fontId="118" fillId="0" borderId="38" xfId="804" applyNumberFormat="1" applyFont="1" applyFill="1" applyBorder="1" applyAlignment="1">
      <alignment horizontal="right" vertical="center"/>
    </xf>
    <xf numFmtId="165" fontId="117" fillId="0" borderId="0" xfId="804" applyNumberFormat="1" applyFont="1" applyFill="1" applyBorder="1" applyAlignment="1">
      <alignment horizontal="right" vertical="center"/>
    </xf>
    <xf numFmtId="165" fontId="117" fillId="0" borderId="0" xfId="804" quotePrefix="1" applyNumberFormat="1" applyFont="1" applyFill="1" applyAlignment="1">
      <alignment horizontal="right" vertical="center"/>
    </xf>
    <xf numFmtId="165" fontId="117" fillId="0" borderId="0" xfId="804" quotePrefix="1" applyNumberFormat="1" applyFont="1" applyFill="1" applyBorder="1" applyAlignment="1">
      <alignment horizontal="right" vertical="center"/>
    </xf>
    <xf numFmtId="165" fontId="117" fillId="0" borderId="44" xfId="826" applyNumberFormat="1" applyFont="1" applyFill="1" applyBorder="1" applyAlignment="1">
      <alignment vertical="center"/>
    </xf>
    <xf numFmtId="0" fontId="117" fillId="0" borderId="0" xfId="0" applyFont="1"/>
    <xf numFmtId="165" fontId="137" fillId="0" borderId="0" xfId="603" applyNumberFormat="1" applyFont="1" applyFill="1" applyBorder="1" applyAlignment="1"/>
    <xf numFmtId="43" fontId="117" fillId="57" borderId="0" xfId="1244" applyFont="1" applyFill="1" applyBorder="1" applyAlignment="1">
      <alignment vertical="center"/>
    </xf>
    <xf numFmtId="165" fontId="78" fillId="0" borderId="0" xfId="804" quotePrefix="1" applyNumberFormat="1" applyFont="1" applyFill="1" applyBorder="1" applyAlignment="1">
      <alignment horizontal="center" vertical="center" wrapText="1"/>
    </xf>
    <xf numFmtId="165" fontId="78" fillId="0" borderId="0" xfId="804" applyNumberFormat="1" applyFont="1" applyFill="1" applyBorder="1" applyAlignment="1">
      <alignment horizontal="center" vertical="center" wrapText="1"/>
    </xf>
    <xf numFmtId="165" fontId="6" fillId="50" borderId="0" xfId="826" applyNumberFormat="1" applyFont="1" applyFill="1" applyBorder="1" applyAlignment="1">
      <alignment vertical="center" wrapText="1"/>
    </xf>
    <xf numFmtId="165" fontId="4" fillId="50" borderId="0" xfId="863" applyNumberFormat="1" applyFont="1" applyFill="1" applyBorder="1" applyAlignment="1">
      <alignment vertical="center" wrapText="1"/>
    </xf>
    <xf numFmtId="165" fontId="118" fillId="0" borderId="37" xfId="804" applyNumberFormat="1" applyFont="1" applyFill="1" applyBorder="1" applyAlignment="1">
      <alignment horizontal="right" vertical="center"/>
    </xf>
    <xf numFmtId="164" fontId="6" fillId="0" borderId="36" xfId="1085" applyNumberFormat="1" applyFont="1" applyFill="1" applyBorder="1" applyAlignment="1">
      <alignment vertical="center"/>
    </xf>
    <xf numFmtId="165" fontId="117" fillId="0" borderId="0" xfId="0" applyNumberFormat="1" applyFont="1" applyBorder="1"/>
    <xf numFmtId="165" fontId="117" fillId="50" borderId="0" xfId="1113" applyNumberFormat="1" applyFont="1" applyFill="1" applyBorder="1" applyAlignment="1">
      <alignment vertical="center"/>
    </xf>
    <xf numFmtId="164" fontId="117" fillId="0" borderId="0" xfId="1085" applyNumberFormat="1" applyFont="1" applyAlignment="1">
      <alignment horizontal="center"/>
    </xf>
    <xf numFmtId="209" fontId="6" fillId="50" borderId="0" xfId="826" applyNumberFormat="1" applyFont="1" applyFill="1" applyAlignment="1">
      <alignment vertical="center"/>
    </xf>
    <xf numFmtId="209" fontId="6" fillId="0" borderId="0" xfId="826" applyNumberFormat="1" applyFont="1" applyAlignment="1">
      <alignment vertical="center"/>
    </xf>
    <xf numFmtId="209" fontId="6" fillId="0" borderId="0" xfId="826" applyNumberFormat="1" applyFont="1" applyAlignment="1">
      <alignment horizontal="right" vertical="center"/>
    </xf>
    <xf numFmtId="165" fontId="6" fillId="0" borderId="0" xfId="583" applyNumberFormat="1" applyFont="1" applyFill="1" applyBorder="1" applyAlignment="1">
      <alignment horizontal="left" vertical="center" wrapText="1"/>
    </xf>
    <xf numFmtId="164" fontId="9" fillId="50" borderId="33" xfId="1113" applyNumberFormat="1" applyFont="1" applyFill="1" applyBorder="1" applyAlignment="1">
      <alignment horizontal="center" vertical="center"/>
    </xf>
    <xf numFmtId="0" fontId="117" fillId="61" borderId="0" xfId="0" applyFont="1" applyFill="1"/>
    <xf numFmtId="165" fontId="121" fillId="50" borderId="0" xfId="826" quotePrefix="1" applyNumberFormat="1" applyFont="1" applyFill="1" applyBorder="1" applyAlignment="1">
      <alignment vertical="center"/>
    </xf>
    <xf numFmtId="165" fontId="10" fillId="0" borderId="0" xfId="0" applyNumberFormat="1" applyFont="1"/>
    <xf numFmtId="165" fontId="121" fillId="50" borderId="0" xfId="826" applyNumberFormat="1" applyFont="1" applyFill="1" applyBorder="1" applyAlignment="1">
      <alignment vertical="center"/>
    </xf>
    <xf numFmtId="165" fontId="10" fillId="0" borderId="0" xfId="0" applyNumberFormat="1" applyFont="1" applyBorder="1"/>
    <xf numFmtId="165" fontId="10" fillId="0" borderId="0" xfId="0" applyNumberFormat="1" applyFont="1" applyFill="1" applyBorder="1"/>
    <xf numFmtId="1" fontId="121" fillId="50" borderId="0" xfId="826" applyNumberFormat="1" applyFont="1" applyFill="1" applyBorder="1" applyAlignment="1">
      <alignment horizontal="left" vertical="center"/>
    </xf>
    <xf numFmtId="165" fontId="10" fillId="57" borderId="0" xfId="0" applyNumberFormat="1" applyFont="1" applyFill="1" applyBorder="1"/>
    <xf numFmtId="0" fontId="0" fillId="0" borderId="0" xfId="0" applyFill="1" applyBorder="1"/>
    <xf numFmtId="0" fontId="117" fillId="61" borderId="0" xfId="0" quotePrefix="1" applyFont="1" applyFill="1"/>
    <xf numFmtId="0" fontId="10" fillId="0" borderId="0" xfId="862" applyFont="1" applyFill="1" applyAlignment="1">
      <alignment vertical="center"/>
    </xf>
    <xf numFmtId="0" fontId="56" fillId="0" borderId="0" xfId="862" applyFill="1" applyAlignment="1">
      <alignment vertical="center"/>
    </xf>
    <xf numFmtId="0" fontId="56" fillId="0" borderId="0" xfId="935" applyFont="1" applyFill="1" applyAlignment="1">
      <alignment vertical="center"/>
    </xf>
    <xf numFmtId="0" fontId="84" fillId="0" borderId="0" xfId="935" applyAlignment="1">
      <alignment vertical="center"/>
    </xf>
    <xf numFmtId="0" fontId="56" fillId="57" borderId="0" xfId="935" applyFont="1" applyFill="1" applyAlignment="1">
      <alignment horizontal="center" vertical="center"/>
    </xf>
    <xf numFmtId="0" fontId="86" fillId="0" borderId="0" xfId="862" applyFont="1" applyFill="1" applyAlignment="1">
      <alignment vertical="center"/>
    </xf>
    <xf numFmtId="0" fontId="52" fillId="0" borderId="0" xfId="862" applyFont="1" applyFill="1" applyAlignment="1">
      <alignment vertical="center"/>
    </xf>
    <xf numFmtId="0" fontId="140" fillId="62" borderId="46" xfId="862" applyFont="1" applyFill="1" applyBorder="1" applyAlignment="1">
      <alignment horizontal="left" vertical="center"/>
    </xf>
    <xf numFmtId="0" fontId="141" fillId="62" borderId="47" xfId="862" applyFont="1" applyFill="1" applyBorder="1" applyAlignment="1">
      <alignment horizontal="right" vertical="center"/>
    </xf>
    <xf numFmtId="0" fontId="140" fillId="62" borderId="48" xfId="862" applyFont="1" applyFill="1" applyBorder="1" applyAlignment="1">
      <alignment horizontal="left" vertical="center"/>
    </xf>
    <xf numFmtId="0" fontId="140" fillId="62" borderId="49" xfId="862" applyFont="1" applyFill="1" applyBorder="1" applyAlignment="1">
      <alignment horizontal="left" vertical="center"/>
    </xf>
    <xf numFmtId="0" fontId="141" fillId="62" borderId="50" xfId="862" applyFont="1" applyFill="1" applyBorder="1" applyAlignment="1">
      <alignment horizontal="right" vertical="center"/>
    </xf>
    <xf numFmtId="0" fontId="141" fillId="62" borderId="51" xfId="862" applyFont="1" applyFill="1" applyBorder="1" applyAlignment="1">
      <alignment horizontal="right" vertical="center"/>
    </xf>
    <xf numFmtId="0" fontId="0" fillId="0" borderId="0" xfId="862" applyFont="1" applyFill="1" applyAlignment="1">
      <alignment vertical="center"/>
    </xf>
    <xf numFmtId="165" fontId="6" fillId="50" borderId="37" xfId="826" applyNumberFormat="1" applyFont="1" applyFill="1" applyBorder="1" applyAlignment="1">
      <alignment vertical="center" wrapText="1"/>
    </xf>
    <xf numFmtId="0" fontId="88" fillId="0" borderId="0" xfId="935" applyFont="1" applyFill="1" applyAlignment="1">
      <alignment vertical="center"/>
    </xf>
    <xf numFmtId="0" fontId="142" fillId="0" borderId="0" xfId="935" applyFont="1" applyFill="1" applyAlignment="1">
      <alignment horizontal="left" vertical="center"/>
    </xf>
    <xf numFmtId="0" fontId="142" fillId="0" borderId="0" xfId="935" applyFont="1" applyFill="1" applyAlignment="1">
      <alignment horizontal="right" vertical="center"/>
    </xf>
    <xf numFmtId="0" fontId="91" fillId="0" borderId="0" xfId="862" applyFont="1" applyFill="1" applyAlignment="1">
      <alignment vertical="center"/>
    </xf>
    <xf numFmtId="0" fontId="90" fillId="0" borderId="0" xfId="862" applyFont="1" applyFill="1" applyAlignment="1">
      <alignment horizontal="right" vertical="center"/>
    </xf>
    <xf numFmtId="0" fontId="91" fillId="0" borderId="0" xfId="0" applyFont="1"/>
    <xf numFmtId="0" fontId="86" fillId="0" borderId="0" xfId="935" applyFont="1" applyAlignment="1">
      <alignment vertical="center"/>
    </xf>
    <xf numFmtId="0" fontId="0" fillId="0" borderId="0" xfId="935" applyFont="1" applyAlignment="1">
      <alignment vertical="center"/>
    </xf>
    <xf numFmtId="165" fontId="143" fillId="0" borderId="0" xfId="804" applyNumberFormat="1" applyFont="1" applyFill="1" applyBorder="1" applyAlignment="1">
      <alignment horizontal="right" vertical="center"/>
    </xf>
    <xf numFmtId="165" fontId="143" fillId="57" borderId="0" xfId="804" applyNumberFormat="1" applyFont="1" applyFill="1" applyBorder="1" applyAlignment="1">
      <alignment horizontal="right" vertical="center"/>
    </xf>
    <xf numFmtId="165" fontId="143" fillId="60" borderId="0" xfId="804" applyNumberFormat="1" applyFont="1" applyFill="1" applyBorder="1" applyAlignment="1">
      <alignment vertical="center"/>
    </xf>
    <xf numFmtId="165" fontId="79" fillId="0" borderId="0" xfId="804" applyNumberFormat="1" applyFont="1" applyFill="1" applyBorder="1" applyAlignment="1">
      <alignment horizontal="right" vertical="center"/>
    </xf>
    <xf numFmtId="165" fontId="79" fillId="0" borderId="0" xfId="804" applyNumberFormat="1" applyFont="1" applyBorder="1" applyAlignment="1">
      <alignment horizontal="right" vertical="center"/>
    </xf>
    <xf numFmtId="202" fontId="144" fillId="57" borderId="0" xfId="804" applyNumberFormat="1" applyFont="1" applyFill="1" applyAlignment="1">
      <alignment vertical="center"/>
    </xf>
    <xf numFmtId="165" fontId="144" fillId="57" borderId="0" xfId="804" applyNumberFormat="1" applyFont="1" applyFill="1" applyAlignment="1">
      <alignment vertical="center"/>
    </xf>
    <xf numFmtId="165" fontId="144" fillId="0" borderId="0" xfId="804" applyNumberFormat="1" applyFont="1" applyAlignment="1">
      <alignment vertical="center"/>
    </xf>
    <xf numFmtId="165" fontId="145" fillId="50" borderId="0" xfId="863" applyNumberFormat="1" applyFont="1" applyFill="1" applyAlignment="1">
      <alignment vertical="center"/>
    </xf>
    <xf numFmtId="165" fontId="146" fillId="0" borderId="0" xfId="804" applyNumberFormat="1" applyFont="1" applyAlignment="1">
      <alignment vertical="center"/>
    </xf>
    <xf numFmtId="165" fontId="93" fillId="0" borderId="0" xfId="804" applyNumberFormat="1" applyFont="1" applyAlignment="1">
      <alignment vertical="center"/>
    </xf>
    <xf numFmtId="165" fontId="143" fillId="0" borderId="36" xfId="804" applyNumberFormat="1" applyFont="1" applyFill="1" applyBorder="1" applyAlignment="1">
      <alignment horizontal="right" vertical="center"/>
    </xf>
    <xf numFmtId="165" fontId="143" fillId="57" borderId="36" xfId="804" applyNumberFormat="1" applyFont="1" applyFill="1" applyBorder="1" applyAlignment="1">
      <alignment horizontal="right" vertical="center"/>
    </xf>
    <xf numFmtId="165" fontId="143" fillId="60" borderId="36" xfId="804" applyNumberFormat="1" applyFont="1" applyFill="1" applyBorder="1" applyAlignment="1">
      <alignment vertical="center"/>
    </xf>
    <xf numFmtId="165" fontId="79" fillId="0" borderId="36" xfId="804" applyNumberFormat="1" applyFont="1" applyFill="1" applyBorder="1" applyAlignment="1">
      <alignment horizontal="right" vertical="center"/>
    </xf>
    <xf numFmtId="165" fontId="79" fillId="0" borderId="36" xfId="804" applyNumberFormat="1" applyFont="1" applyBorder="1" applyAlignment="1">
      <alignment horizontal="right" vertical="center"/>
    </xf>
    <xf numFmtId="165" fontId="79" fillId="57" borderId="36" xfId="804" applyNumberFormat="1" applyFont="1" applyFill="1" applyBorder="1" applyAlignment="1">
      <alignment horizontal="left" vertical="center" wrapText="1" indent="1"/>
    </xf>
    <xf numFmtId="0" fontId="52" fillId="0" borderId="56" xfId="862" applyFont="1" applyFill="1" applyBorder="1" applyAlignment="1">
      <alignment vertical="center"/>
    </xf>
    <xf numFmtId="0" fontId="90" fillId="0" borderId="56" xfId="862" applyFont="1" applyFill="1" applyBorder="1" applyAlignment="1">
      <alignment vertical="center"/>
    </xf>
    <xf numFmtId="0" fontId="56" fillId="0" borderId="57" xfId="862" applyFont="1" applyFill="1" applyBorder="1" applyAlignment="1">
      <alignment vertical="center"/>
    </xf>
    <xf numFmtId="0" fontId="88" fillId="0" borderId="57" xfId="862" applyFont="1" applyFill="1" applyBorder="1" applyAlignment="1">
      <alignment vertical="center"/>
    </xf>
    <xf numFmtId="0" fontId="56" fillId="0" borderId="57" xfId="862" applyFont="1" applyFill="1" applyBorder="1" applyAlignment="1">
      <alignment horizontal="left" vertical="center"/>
    </xf>
    <xf numFmtId="0" fontId="88" fillId="0" borderId="57" xfId="862" applyFont="1" applyFill="1" applyBorder="1" applyAlignment="1">
      <alignment horizontal="left" vertical="center"/>
    </xf>
    <xf numFmtId="14" fontId="56" fillId="0" borderId="57" xfId="862" applyNumberFormat="1" applyFont="1" applyFill="1" applyBorder="1" applyAlignment="1">
      <alignment horizontal="left" vertical="center"/>
    </xf>
    <xf numFmtId="14" fontId="88" fillId="0" borderId="57" xfId="862" applyNumberFormat="1" applyFont="1" applyFill="1" applyBorder="1" applyAlignment="1">
      <alignment horizontal="left" vertical="center"/>
    </xf>
    <xf numFmtId="14" fontId="87" fillId="0" borderId="58" xfId="470" applyNumberFormat="1" applyFont="1" applyFill="1" applyBorder="1" applyAlignment="1" applyProtection="1">
      <alignment horizontal="left" vertical="center"/>
    </xf>
    <xf numFmtId="14" fontId="92" fillId="0" borderId="58" xfId="470" applyNumberFormat="1" applyFont="1" applyFill="1" applyBorder="1" applyAlignment="1" applyProtection="1">
      <alignment horizontal="left" vertical="center"/>
    </xf>
    <xf numFmtId="0" fontId="56" fillId="0" borderId="57" xfId="862" applyFont="1" applyFill="1" applyBorder="1" applyAlignment="1">
      <alignment vertical="center" wrapText="1"/>
    </xf>
    <xf numFmtId="0" fontId="88" fillId="0" borderId="57" xfId="862" applyFont="1" applyFill="1" applyBorder="1" applyAlignment="1">
      <alignment vertical="center" wrapText="1"/>
    </xf>
    <xf numFmtId="3" fontId="0" fillId="0" borderId="0" xfId="0" applyNumberFormat="1"/>
    <xf numFmtId="165" fontId="117" fillId="57" borderId="36" xfId="826" applyNumberFormat="1" applyFont="1" applyFill="1" applyBorder="1" applyAlignment="1">
      <alignment vertical="center"/>
    </xf>
    <xf numFmtId="165" fontId="117" fillId="0" borderId="36" xfId="826" applyNumberFormat="1" applyFont="1" applyFill="1" applyBorder="1" applyAlignment="1">
      <alignment vertical="center"/>
    </xf>
    <xf numFmtId="0" fontId="0" fillId="0" borderId="36" xfId="0" applyBorder="1"/>
    <xf numFmtId="165" fontId="117" fillId="50" borderId="36" xfId="826" applyNumberFormat="1" applyFont="1" applyFill="1" applyBorder="1" applyAlignment="1">
      <alignment vertical="center"/>
    </xf>
    <xf numFmtId="0" fontId="6" fillId="0" borderId="0" xfId="694" quotePrefix="1" applyFont="1" applyFill="1" applyBorder="1" applyAlignment="1">
      <alignment vertical="top" wrapText="1"/>
    </xf>
    <xf numFmtId="0" fontId="2" fillId="0" borderId="0" xfId="1297"/>
    <xf numFmtId="17" fontId="88" fillId="0" borderId="57" xfId="862" quotePrefix="1" applyNumberFormat="1" applyFont="1" applyFill="1" applyBorder="1" applyAlignment="1">
      <alignment vertical="center"/>
    </xf>
    <xf numFmtId="165" fontId="6" fillId="0" borderId="0" xfId="1298" applyNumberFormat="1" applyFont="1" applyFill="1" applyAlignment="1">
      <alignment vertical="center"/>
    </xf>
    <xf numFmtId="17" fontId="56" fillId="0" borderId="57" xfId="862" quotePrefix="1" applyNumberFormat="1" applyFont="1" applyFill="1" applyBorder="1" applyAlignment="1">
      <alignment horizontal="left" vertical="center"/>
    </xf>
    <xf numFmtId="165" fontId="124" fillId="0" borderId="40" xfId="139" applyNumberFormat="1" applyFont="1" applyFill="1" applyBorder="1" applyAlignment="1">
      <alignment horizontal="left" vertical="center" wrapText="1"/>
    </xf>
    <xf numFmtId="0" fontId="10" fillId="0" borderId="0" xfId="862" applyFont="1" applyFill="1" applyAlignment="1">
      <alignment vertical="center" wrapText="1"/>
    </xf>
    <xf numFmtId="14" fontId="56" fillId="0" borderId="58" xfId="470" applyNumberFormat="1" applyFont="1" applyFill="1" applyBorder="1" applyAlignment="1" applyProtection="1">
      <alignment horizontal="left" vertical="center" wrapText="1"/>
    </xf>
    <xf numFmtId="4" fontId="6" fillId="50" borderId="0" xfId="826" applyNumberFormat="1" applyFont="1" applyFill="1" applyAlignment="1">
      <alignment vertical="center"/>
    </xf>
    <xf numFmtId="0" fontId="155" fillId="0" borderId="0" xfId="0" applyFont="1"/>
    <xf numFmtId="165" fontId="6" fillId="0" borderId="0" xfId="583" applyNumberFormat="1" applyFont="1" applyFill="1" applyBorder="1" applyAlignment="1">
      <alignment vertical="center" wrapText="1"/>
    </xf>
    <xf numFmtId="165" fontId="9" fillId="0" borderId="0" xfId="583" applyNumberFormat="1" applyFont="1" applyFill="1" applyBorder="1" applyAlignment="1">
      <alignment vertical="center" wrapText="1"/>
    </xf>
    <xf numFmtId="165" fontId="139" fillId="50" borderId="0" xfId="863" applyNumberFormat="1" applyFont="1" applyFill="1" applyBorder="1" applyAlignment="1">
      <alignment vertical="center"/>
    </xf>
    <xf numFmtId="165" fontId="118" fillId="50" borderId="45" xfId="826" applyNumberFormat="1" applyFont="1" applyFill="1" applyBorder="1" applyAlignment="1">
      <alignment horizontal="center" vertical="center"/>
    </xf>
    <xf numFmtId="165" fontId="118" fillId="57" borderId="45" xfId="804" applyNumberFormat="1" applyFont="1" applyFill="1" applyBorder="1" applyAlignment="1">
      <alignment horizontal="center" vertical="center" wrapText="1"/>
    </xf>
    <xf numFmtId="165" fontId="117" fillId="0" borderId="43" xfId="804" applyNumberFormat="1" applyFont="1" applyFill="1" applyBorder="1" applyAlignment="1">
      <alignment horizontal="center" vertical="center" wrapText="1"/>
    </xf>
    <xf numFmtId="202" fontId="139" fillId="0" borderId="0" xfId="826" applyNumberFormat="1" applyFont="1" applyFill="1" applyAlignment="1">
      <alignment vertical="center"/>
    </xf>
    <xf numFmtId="165" fontId="139" fillId="50" borderId="0" xfId="826" applyNumberFormat="1" applyFont="1" applyFill="1" applyAlignment="1">
      <alignment horizontal="center" vertical="center"/>
    </xf>
    <xf numFmtId="202" fontId="139" fillId="50" borderId="0" xfId="826" applyNumberFormat="1" applyFont="1" applyFill="1" applyAlignment="1">
      <alignment vertical="center"/>
    </xf>
    <xf numFmtId="0" fontId="0" fillId="0" borderId="0" xfId="0" applyFill="1"/>
    <xf numFmtId="202" fontId="117" fillId="0" borderId="0" xfId="0" applyNumberFormat="1" applyFont="1"/>
    <xf numFmtId="221" fontId="117" fillId="0" borderId="0" xfId="0" applyNumberFormat="1" applyFont="1"/>
    <xf numFmtId="202" fontId="117" fillId="0" borderId="0" xfId="0" applyNumberFormat="1" applyFont="1" applyFill="1"/>
    <xf numFmtId="203" fontId="117" fillId="0" borderId="0" xfId="0" applyNumberFormat="1" applyFont="1" applyFill="1"/>
    <xf numFmtId="165" fontId="117" fillId="0" borderId="0" xfId="0" applyNumberFormat="1" applyFont="1" applyFill="1"/>
    <xf numFmtId="4" fontId="117" fillId="0" borderId="0" xfId="0" applyNumberFormat="1" applyFont="1"/>
    <xf numFmtId="0" fontId="91" fillId="0" borderId="62" xfId="862" applyFont="1" applyFill="1" applyBorder="1" applyAlignment="1">
      <alignment vertical="center"/>
    </xf>
    <xf numFmtId="0" fontId="91" fillId="0" borderId="63" xfId="862" applyFont="1" applyFill="1" applyBorder="1" applyAlignment="1">
      <alignment vertical="center"/>
    </xf>
    <xf numFmtId="0" fontId="10" fillId="0" borderId="62" xfId="862" applyFont="1" applyFill="1" applyBorder="1" applyAlignment="1">
      <alignment vertical="center"/>
    </xf>
    <xf numFmtId="0" fontId="10" fillId="0" borderId="63" xfId="862" applyFont="1" applyFill="1" applyBorder="1" applyAlignment="1">
      <alignment vertical="center"/>
    </xf>
    <xf numFmtId="43" fontId="0" fillId="0" borderId="0" xfId="1244" applyFont="1"/>
    <xf numFmtId="164" fontId="9" fillId="50" borderId="33" xfId="1113" applyNumberFormat="1" applyFont="1" applyFill="1" applyBorder="1" applyAlignment="1">
      <alignment horizontal="center" vertical="center"/>
    </xf>
    <xf numFmtId="164" fontId="9" fillId="50" borderId="38" xfId="1113" applyNumberFormat="1" applyFont="1" applyFill="1" applyBorder="1" applyAlignment="1">
      <alignment horizontal="center" vertical="center"/>
    </xf>
    <xf numFmtId="165" fontId="117" fillId="50" borderId="0" xfId="863" applyNumberFormat="1" applyFont="1" applyFill="1" applyBorder="1" applyAlignment="1">
      <alignment vertical="center"/>
    </xf>
    <xf numFmtId="17" fontId="88" fillId="0" borderId="57" xfId="862" quotePrefix="1" applyNumberFormat="1" applyFont="1" applyFill="1" applyBorder="1" applyAlignment="1">
      <alignment horizontal="left" vertical="center"/>
    </xf>
    <xf numFmtId="0" fontId="56" fillId="0" borderId="57" xfId="862" quotePrefix="1" applyFont="1" applyFill="1" applyBorder="1" applyAlignment="1">
      <alignment vertical="center"/>
    </xf>
    <xf numFmtId="0" fontId="88" fillId="0" borderId="57" xfId="862" quotePrefix="1" applyFont="1" applyFill="1" applyBorder="1" applyAlignment="1">
      <alignment vertical="center"/>
    </xf>
    <xf numFmtId="165" fontId="11" fillId="57" borderId="0" xfId="863" applyNumberFormat="1" applyFont="1" applyFill="1" applyBorder="1" applyAlignment="1">
      <alignment horizontal="center" vertical="center"/>
    </xf>
    <xf numFmtId="209" fontId="6" fillId="50" borderId="0" xfId="826" applyNumberFormat="1" applyFont="1" applyFill="1" applyBorder="1" applyAlignment="1">
      <alignment vertical="center"/>
    </xf>
    <xf numFmtId="165" fontId="0" fillId="0" borderId="0" xfId="0" applyNumberFormat="1" applyBorder="1"/>
    <xf numFmtId="209" fontId="6" fillId="0" borderId="0" xfId="826" applyNumberFormat="1" applyFont="1" applyBorder="1" applyAlignment="1">
      <alignment vertical="center"/>
    </xf>
    <xf numFmtId="209" fontId="6" fillId="0" borderId="0" xfId="826" applyNumberFormat="1" applyFont="1" applyBorder="1" applyAlignment="1">
      <alignment horizontal="right" vertical="center"/>
    </xf>
    <xf numFmtId="43" fontId="0" fillId="0" borderId="0" xfId="1244" applyFont="1" applyBorder="1"/>
    <xf numFmtId="3" fontId="0" fillId="0" borderId="0" xfId="0" applyNumberFormat="1" applyBorder="1"/>
    <xf numFmtId="164" fontId="0" fillId="0" borderId="0" xfId="0" applyNumberFormat="1"/>
    <xf numFmtId="0" fontId="91" fillId="0" borderId="65" xfId="862" applyFont="1" applyFill="1" applyBorder="1" applyAlignment="1">
      <alignment vertical="center"/>
    </xf>
    <xf numFmtId="0" fontId="10" fillId="0" borderId="64" xfId="862" applyFont="1" applyFill="1" applyBorder="1" applyAlignment="1">
      <alignment vertical="center"/>
    </xf>
    <xf numFmtId="0" fontId="91" fillId="0" borderId="64" xfId="862" applyFont="1" applyFill="1" applyBorder="1" applyAlignment="1">
      <alignment vertical="center"/>
    </xf>
    <xf numFmtId="17" fontId="56" fillId="0" borderId="57" xfId="862" applyNumberFormat="1" applyFont="1" applyFill="1" applyBorder="1" applyAlignment="1">
      <alignment vertical="center"/>
    </xf>
    <xf numFmtId="165" fontId="7" fillId="57" borderId="0" xfId="863" applyNumberFormat="1" applyFont="1" applyFill="1" applyAlignment="1">
      <alignment horizontal="left" wrapText="1"/>
    </xf>
    <xf numFmtId="204" fontId="133" fillId="0" borderId="0" xfId="0" applyNumberFormat="1" applyFont="1" applyFill="1" applyAlignment="1">
      <alignment horizontal="center" vertical="center"/>
    </xf>
    <xf numFmtId="165" fontId="9" fillId="50" borderId="52" xfId="826" applyNumberFormat="1" applyFont="1" applyFill="1" applyBorder="1" applyAlignment="1">
      <alignment horizontal="center" vertical="center" wrapText="1"/>
    </xf>
    <xf numFmtId="165" fontId="9" fillId="50" borderId="53" xfId="826" applyNumberFormat="1" applyFont="1" applyFill="1" applyBorder="1" applyAlignment="1">
      <alignment horizontal="center" vertical="center" wrapText="1"/>
    </xf>
    <xf numFmtId="165" fontId="9" fillId="50" borderId="35" xfId="826" applyNumberFormat="1" applyFont="1" applyFill="1" applyBorder="1" applyAlignment="1">
      <alignment horizontal="center" vertical="center" wrapText="1"/>
    </xf>
    <xf numFmtId="165" fontId="9" fillId="50" borderId="54" xfId="826" applyNumberFormat="1" applyFont="1" applyFill="1" applyBorder="1" applyAlignment="1">
      <alignment horizontal="center" vertical="center" wrapText="1"/>
    </xf>
    <xf numFmtId="165" fontId="9" fillId="50" borderId="39" xfId="826" applyNumberFormat="1" applyFont="1" applyFill="1" applyBorder="1" applyAlignment="1">
      <alignment horizontal="center" vertical="center" wrapText="1"/>
    </xf>
    <xf numFmtId="165" fontId="9" fillId="50" borderId="34" xfId="826" applyNumberFormat="1" applyFont="1" applyFill="1" applyBorder="1" applyAlignment="1">
      <alignment horizontal="center" vertical="center" wrapText="1"/>
    </xf>
    <xf numFmtId="164" fontId="9" fillId="50" borderId="37" xfId="1113" applyNumberFormat="1" applyFont="1" applyFill="1" applyBorder="1" applyAlignment="1">
      <alignment horizontal="center" vertical="center"/>
    </xf>
    <xf numFmtId="165" fontId="6" fillId="50" borderId="37" xfId="826" applyNumberFormat="1" applyFont="1" applyFill="1" applyBorder="1" applyAlignment="1">
      <alignment horizontal="left" vertical="center" wrapText="1"/>
    </xf>
    <xf numFmtId="164" fontId="9" fillId="50" borderId="33" xfId="1113" applyNumberFormat="1" applyFont="1" applyFill="1" applyBorder="1" applyAlignment="1">
      <alignment horizontal="center" vertical="center"/>
    </xf>
    <xf numFmtId="164" fontId="9" fillId="50" borderId="38" xfId="1113" applyNumberFormat="1" applyFont="1" applyFill="1" applyBorder="1" applyAlignment="1">
      <alignment horizontal="center" vertical="center"/>
    </xf>
    <xf numFmtId="165" fontId="116" fillId="0" borderId="0" xfId="637" applyNumberFormat="1" applyFont="1" applyBorder="1" applyAlignment="1">
      <alignment horizontal="left" wrapText="1"/>
    </xf>
    <xf numFmtId="164" fontId="4" fillId="50" borderId="0" xfId="1114" applyNumberFormat="1" applyFont="1" applyFill="1" applyAlignment="1">
      <alignment horizontal="right" vertical="center" wrapText="1"/>
    </xf>
    <xf numFmtId="165" fontId="9" fillId="50" borderId="32" xfId="826" applyNumberFormat="1" applyFont="1" applyFill="1" applyBorder="1" applyAlignment="1">
      <alignment horizontal="center" vertical="center" wrapText="1"/>
    </xf>
    <xf numFmtId="164" fontId="9" fillId="50" borderId="32" xfId="1113" applyNumberFormat="1" applyFont="1" applyFill="1" applyBorder="1" applyAlignment="1">
      <alignment horizontal="center" vertical="center"/>
    </xf>
    <xf numFmtId="165" fontId="4" fillId="50" borderId="0" xfId="826" applyNumberFormat="1" applyFont="1" applyFill="1" applyAlignment="1">
      <alignment horizontal="left" vertical="center" wrapText="1"/>
    </xf>
    <xf numFmtId="165" fontId="9" fillId="50" borderId="55" xfId="826" applyNumberFormat="1" applyFont="1" applyFill="1" applyBorder="1" applyAlignment="1">
      <alignment horizontal="center" vertical="center"/>
    </xf>
    <xf numFmtId="165" fontId="9" fillId="50" borderId="32" xfId="826" applyNumberFormat="1" applyFont="1" applyFill="1" applyBorder="1" applyAlignment="1">
      <alignment horizontal="center" vertical="center"/>
    </xf>
    <xf numFmtId="165" fontId="118" fillId="50" borderId="45" xfId="826" applyNumberFormat="1" applyFont="1" applyFill="1" applyBorder="1" applyAlignment="1">
      <alignment horizontal="center" vertical="center"/>
    </xf>
    <xf numFmtId="165" fontId="118" fillId="57" borderId="45" xfId="804" applyNumberFormat="1" applyFont="1" applyFill="1" applyBorder="1" applyAlignment="1">
      <alignment horizontal="center" vertical="center" wrapText="1"/>
    </xf>
    <xf numFmtId="1" fontId="137" fillId="0" borderId="43" xfId="804" quotePrefix="1" applyNumberFormat="1" applyFont="1" applyBorder="1" applyAlignment="1">
      <alignment horizontal="center" vertical="center"/>
    </xf>
    <xf numFmtId="1" fontId="137" fillId="0" borderId="43" xfId="804" applyNumberFormat="1" applyFont="1" applyBorder="1" applyAlignment="1">
      <alignment horizontal="center" vertical="center"/>
    </xf>
    <xf numFmtId="165" fontId="78" fillId="0" borderId="43" xfId="804" applyNumberFormat="1" applyFont="1" applyBorder="1" applyAlignment="1">
      <alignment horizontal="center" vertical="center"/>
    </xf>
    <xf numFmtId="165" fontId="124" fillId="0" borderId="40" xfId="139" applyNumberFormat="1" applyFont="1" applyFill="1" applyBorder="1" applyAlignment="1">
      <alignment horizontal="left" vertical="center" wrapText="1"/>
    </xf>
    <xf numFmtId="1" fontId="137" fillId="57" borderId="43" xfId="603" quotePrefix="1" applyNumberFormat="1" applyFont="1" applyFill="1" applyBorder="1" applyAlignment="1">
      <alignment horizontal="center" vertical="center"/>
    </xf>
    <xf numFmtId="0" fontId="156" fillId="0" borderId="0" xfId="862" applyFont="1" applyFill="1" applyAlignment="1">
      <alignment horizontal="center" vertical="center"/>
    </xf>
    <xf numFmtId="0" fontId="56" fillId="0" borderId="49" xfId="862" quotePrefix="1" applyFont="1" applyFill="1" applyBorder="1" applyAlignment="1">
      <alignment horizontal="left" vertical="center" wrapText="1"/>
    </xf>
    <xf numFmtId="0" fontId="56" fillId="0" borderId="51" xfId="862" quotePrefix="1" applyFont="1" applyFill="1" applyBorder="1" applyAlignment="1">
      <alignment horizontal="left" vertical="center" wrapText="1"/>
    </xf>
    <xf numFmtId="0" fontId="88" fillId="0" borderId="49" xfId="862" quotePrefix="1" applyFont="1" applyFill="1" applyBorder="1" applyAlignment="1">
      <alignment horizontal="left" vertical="center" wrapText="1"/>
    </xf>
    <xf numFmtId="0" fontId="88" fillId="0" borderId="51" xfId="862" quotePrefix="1" applyFont="1" applyFill="1" applyBorder="1" applyAlignment="1">
      <alignment horizontal="left" vertical="center" wrapText="1"/>
    </xf>
    <xf numFmtId="0" fontId="88" fillId="0" borderId="49" xfId="862" quotePrefix="1" applyFont="1" applyFill="1" applyBorder="1" applyAlignment="1">
      <alignment vertical="center" wrapText="1"/>
    </xf>
    <xf numFmtId="0" fontId="88" fillId="0" borderId="51" xfId="862" quotePrefix="1" applyFont="1" applyFill="1" applyBorder="1" applyAlignment="1">
      <alignment vertical="center" wrapText="1"/>
    </xf>
    <xf numFmtId="0" fontId="56" fillId="0" borderId="57" xfId="862" quotePrefix="1" applyFont="1" applyFill="1" applyBorder="1" applyAlignment="1">
      <alignment horizontal="left" vertical="center" wrapText="1"/>
    </xf>
    <xf numFmtId="0" fontId="88" fillId="0" borderId="57" xfId="862" quotePrefix="1" applyFont="1" applyFill="1" applyBorder="1" applyAlignment="1">
      <alignment horizontal="left" vertical="center" wrapText="1"/>
    </xf>
    <xf numFmtId="0" fontId="52" fillId="0" borderId="57" xfId="862" quotePrefix="1" applyFont="1" applyFill="1" applyBorder="1" applyAlignment="1">
      <alignment horizontal="left" vertical="center" wrapText="1"/>
    </xf>
    <xf numFmtId="0" fontId="88" fillId="0" borderId="56" xfId="862" quotePrefix="1" applyFont="1" applyFill="1" applyBorder="1" applyAlignment="1">
      <alignment horizontal="left" vertical="center" wrapText="1"/>
    </xf>
    <xf numFmtId="0" fontId="88" fillId="0" borderId="48" xfId="862" quotePrefix="1" applyFont="1" applyFill="1" applyBorder="1" applyAlignment="1">
      <alignment horizontal="left" vertical="center" wrapText="1"/>
    </xf>
    <xf numFmtId="0" fontId="88" fillId="0" borderId="50" xfId="862" quotePrefix="1" applyFont="1" applyFill="1" applyBorder="1" applyAlignment="1">
      <alignment horizontal="left" vertical="center" wrapText="1"/>
    </xf>
    <xf numFmtId="0" fontId="90" fillId="0" borderId="57" xfId="862" quotePrefix="1" applyFont="1" applyFill="1" applyBorder="1" applyAlignment="1">
      <alignment horizontal="left" vertical="center" wrapText="1"/>
    </xf>
    <xf numFmtId="0" fontId="56" fillId="0" borderId="48" xfId="862" quotePrefix="1" applyFont="1" applyFill="1" applyBorder="1" applyAlignment="1">
      <alignment horizontal="left" vertical="center" wrapText="1"/>
    </xf>
    <xf numFmtId="0" fontId="56" fillId="0" borderId="50" xfId="862" quotePrefix="1" applyFont="1" applyFill="1" applyBorder="1" applyAlignment="1">
      <alignment horizontal="left" vertical="center" wrapText="1"/>
    </xf>
    <xf numFmtId="0" fontId="56" fillId="0" borderId="56" xfId="862" quotePrefix="1" applyFont="1" applyFill="1" applyBorder="1" applyAlignment="1">
      <alignment horizontal="left" vertical="center" wrapText="1"/>
    </xf>
    <xf numFmtId="0" fontId="56" fillId="0" borderId="46" xfId="862" quotePrefix="1" applyFont="1" applyFill="1" applyBorder="1" applyAlignment="1">
      <alignment horizontal="left" vertical="center" wrapText="1"/>
    </xf>
    <xf numFmtId="0" fontId="56" fillId="0" borderId="47" xfId="862" quotePrefix="1" applyFont="1" applyFill="1" applyBorder="1" applyAlignment="1">
      <alignment horizontal="left" vertical="center" wrapText="1"/>
    </xf>
    <xf numFmtId="0" fontId="90" fillId="0" borderId="49" xfId="862" quotePrefix="1" applyFont="1" applyFill="1" applyBorder="1" applyAlignment="1">
      <alignment horizontal="left" vertical="center" wrapText="1"/>
    </xf>
    <xf numFmtId="0" fontId="90" fillId="0" borderId="51" xfId="862" quotePrefix="1" applyFont="1" applyFill="1" applyBorder="1" applyAlignment="1">
      <alignment horizontal="left" vertical="center" wrapText="1"/>
    </xf>
    <xf numFmtId="0" fontId="56" fillId="0" borderId="58" xfId="862" quotePrefix="1" applyFont="1" applyFill="1" applyBorder="1" applyAlignment="1">
      <alignment horizontal="left" vertical="center" wrapText="1"/>
    </xf>
    <xf numFmtId="0" fontId="88" fillId="0" borderId="58" xfId="862" quotePrefix="1" applyFont="1" applyFill="1" applyBorder="1" applyAlignment="1">
      <alignment horizontal="left" vertical="center" wrapText="1"/>
    </xf>
    <xf numFmtId="0" fontId="88" fillId="0" borderId="46" xfId="862" quotePrefix="1" applyFont="1" applyFill="1" applyBorder="1" applyAlignment="1">
      <alignment horizontal="left" vertical="center" wrapText="1"/>
    </xf>
    <xf numFmtId="0" fontId="88" fillId="0" borderId="47" xfId="862" quotePrefix="1" applyFont="1" applyFill="1" applyBorder="1" applyAlignment="1">
      <alignment horizontal="left" vertical="center" wrapText="1"/>
    </xf>
  </cellXfs>
  <cellStyles count="2492">
    <cellStyle name="%" xfId="1" xr:uid="{00000000-0005-0000-0000-000000000000}"/>
    <cellStyle name="% 10" xfId="2" xr:uid="{00000000-0005-0000-0000-000001000000}"/>
    <cellStyle name="% 10 2" xfId="1299" xr:uid="{00000000-0005-0000-0000-000002000000}"/>
    <cellStyle name="% 11" xfId="3" xr:uid="{00000000-0005-0000-0000-000003000000}"/>
    <cellStyle name="% 11 2" xfId="1300" xr:uid="{00000000-0005-0000-0000-000004000000}"/>
    <cellStyle name="% 12" xfId="4" xr:uid="{00000000-0005-0000-0000-000005000000}"/>
    <cellStyle name="% 12 2" xfId="1301" xr:uid="{00000000-0005-0000-0000-000006000000}"/>
    <cellStyle name="% 13" xfId="5" xr:uid="{00000000-0005-0000-0000-000007000000}"/>
    <cellStyle name="% 13 2" xfId="1302" xr:uid="{00000000-0005-0000-0000-000008000000}"/>
    <cellStyle name="% 14" xfId="1303" xr:uid="{00000000-0005-0000-0000-000009000000}"/>
    <cellStyle name="% 2" xfId="6" xr:uid="{00000000-0005-0000-0000-00000A000000}"/>
    <cellStyle name="% 2 10" xfId="7" xr:uid="{00000000-0005-0000-0000-00000B000000}"/>
    <cellStyle name="% 2 10 2" xfId="1304" xr:uid="{00000000-0005-0000-0000-00000C000000}"/>
    <cellStyle name="% 2 11" xfId="8" xr:uid="{00000000-0005-0000-0000-00000D000000}"/>
    <cellStyle name="% 2 11 2" xfId="1305" xr:uid="{00000000-0005-0000-0000-00000E000000}"/>
    <cellStyle name="% 2 12" xfId="9" xr:uid="{00000000-0005-0000-0000-00000F000000}"/>
    <cellStyle name="% 2 12 2" xfId="1306" xr:uid="{00000000-0005-0000-0000-000010000000}"/>
    <cellStyle name="% 2 13" xfId="1307" xr:uid="{00000000-0005-0000-0000-000011000000}"/>
    <cellStyle name="% 2 2" xfId="10" xr:uid="{00000000-0005-0000-0000-000012000000}"/>
    <cellStyle name="% 2 2 2" xfId="1308" xr:uid="{00000000-0005-0000-0000-000013000000}"/>
    <cellStyle name="% 2 3" xfId="11" xr:uid="{00000000-0005-0000-0000-000014000000}"/>
    <cellStyle name="% 2 3 2" xfId="1309" xr:uid="{00000000-0005-0000-0000-000015000000}"/>
    <cellStyle name="% 2 4" xfId="12" xr:uid="{00000000-0005-0000-0000-000016000000}"/>
    <cellStyle name="% 2 4 2" xfId="1310" xr:uid="{00000000-0005-0000-0000-000017000000}"/>
    <cellStyle name="% 2 5" xfId="13" xr:uid="{00000000-0005-0000-0000-000018000000}"/>
    <cellStyle name="% 2 5 2" xfId="1311" xr:uid="{00000000-0005-0000-0000-000019000000}"/>
    <cellStyle name="% 2 6" xfId="14" xr:uid="{00000000-0005-0000-0000-00001A000000}"/>
    <cellStyle name="% 2 6 2" xfId="1312" xr:uid="{00000000-0005-0000-0000-00001B000000}"/>
    <cellStyle name="% 2 7" xfId="15" xr:uid="{00000000-0005-0000-0000-00001C000000}"/>
    <cellStyle name="% 2 7 2" xfId="1313" xr:uid="{00000000-0005-0000-0000-00001D000000}"/>
    <cellStyle name="% 2 8" xfId="16" xr:uid="{00000000-0005-0000-0000-00001E000000}"/>
    <cellStyle name="% 2 8 2" xfId="1314" xr:uid="{00000000-0005-0000-0000-00001F000000}"/>
    <cellStyle name="% 2 9" xfId="17" xr:uid="{00000000-0005-0000-0000-000020000000}"/>
    <cellStyle name="% 2 9 2" xfId="1315" xr:uid="{00000000-0005-0000-0000-000021000000}"/>
    <cellStyle name="% 3" xfId="18" xr:uid="{00000000-0005-0000-0000-000022000000}"/>
    <cellStyle name="% 3 2" xfId="1316" xr:uid="{00000000-0005-0000-0000-000023000000}"/>
    <cellStyle name="% 4" xfId="19" xr:uid="{00000000-0005-0000-0000-000024000000}"/>
    <cellStyle name="% 4 2" xfId="1317" xr:uid="{00000000-0005-0000-0000-000025000000}"/>
    <cellStyle name="% 5" xfId="20" xr:uid="{00000000-0005-0000-0000-000026000000}"/>
    <cellStyle name="% 5 2" xfId="1318" xr:uid="{00000000-0005-0000-0000-000027000000}"/>
    <cellStyle name="% 6" xfId="21" xr:uid="{00000000-0005-0000-0000-000028000000}"/>
    <cellStyle name="% 6 2" xfId="1319" xr:uid="{00000000-0005-0000-0000-000029000000}"/>
    <cellStyle name="% 7" xfId="22" xr:uid="{00000000-0005-0000-0000-00002A000000}"/>
    <cellStyle name="% 7 2" xfId="1320" xr:uid="{00000000-0005-0000-0000-00002B000000}"/>
    <cellStyle name="% 8" xfId="23" xr:uid="{00000000-0005-0000-0000-00002C000000}"/>
    <cellStyle name="% 8 2" xfId="1321" xr:uid="{00000000-0005-0000-0000-00002D000000}"/>
    <cellStyle name="% 9" xfId="24" xr:uid="{00000000-0005-0000-0000-00002E000000}"/>
    <cellStyle name="% 9 2" xfId="1322" xr:uid="{00000000-0005-0000-0000-00002F000000}"/>
    <cellStyle name="%_3.ind_pobreza" xfId="1323" xr:uid="{00000000-0005-0000-0000-000030000000}"/>
    <cellStyle name="%_3.ind_pobreza 2" xfId="1324" xr:uid="{00000000-0005-0000-0000-000031000000}"/>
    <cellStyle name="_06.0223-r1" xfId="25" xr:uid="{00000000-0005-0000-0000-000032000000}"/>
    <cellStyle name="_06.0223-r1 10" xfId="26" xr:uid="{00000000-0005-0000-0000-000033000000}"/>
    <cellStyle name="_06.0223-r1 10 2" xfId="1325" xr:uid="{00000000-0005-0000-0000-000034000000}"/>
    <cellStyle name="_06.0223-r1 11" xfId="27" xr:uid="{00000000-0005-0000-0000-000035000000}"/>
    <cellStyle name="_06.0223-r1 11 2" xfId="1326" xr:uid="{00000000-0005-0000-0000-000036000000}"/>
    <cellStyle name="_06.0223-r1 12" xfId="28" xr:uid="{00000000-0005-0000-0000-000037000000}"/>
    <cellStyle name="_06.0223-r1 12 2" xfId="1327" xr:uid="{00000000-0005-0000-0000-000038000000}"/>
    <cellStyle name="_06.0223-r1 13" xfId="1328" xr:uid="{00000000-0005-0000-0000-000039000000}"/>
    <cellStyle name="_06.0223-r1 2" xfId="29" xr:uid="{00000000-0005-0000-0000-00003A000000}"/>
    <cellStyle name="_06.0223-r1 2 2" xfId="1329" xr:uid="{00000000-0005-0000-0000-00003B000000}"/>
    <cellStyle name="_06.0223-r1 3" xfId="30" xr:uid="{00000000-0005-0000-0000-00003C000000}"/>
    <cellStyle name="_06.0223-r1 3 2" xfId="1330" xr:uid="{00000000-0005-0000-0000-00003D000000}"/>
    <cellStyle name="_06.0223-r1 4" xfId="31" xr:uid="{00000000-0005-0000-0000-00003E000000}"/>
    <cellStyle name="_06.0223-r1 4 2" xfId="1331" xr:uid="{00000000-0005-0000-0000-00003F000000}"/>
    <cellStyle name="_06.0223-r1 5" xfId="32" xr:uid="{00000000-0005-0000-0000-000040000000}"/>
    <cellStyle name="_06.0223-r1 5 2" xfId="1332" xr:uid="{00000000-0005-0000-0000-000041000000}"/>
    <cellStyle name="_06.0223-r1 6" xfId="33" xr:uid="{00000000-0005-0000-0000-000042000000}"/>
    <cellStyle name="_06.0223-r1 6 2" xfId="1333" xr:uid="{00000000-0005-0000-0000-000043000000}"/>
    <cellStyle name="_06.0223-r1 7" xfId="34" xr:uid="{00000000-0005-0000-0000-000044000000}"/>
    <cellStyle name="_06.0223-r1 7 2" xfId="1334" xr:uid="{00000000-0005-0000-0000-000045000000}"/>
    <cellStyle name="_06.0223-r1 8" xfId="35" xr:uid="{00000000-0005-0000-0000-000046000000}"/>
    <cellStyle name="_06.0223-r1 8 2" xfId="1335" xr:uid="{00000000-0005-0000-0000-000047000000}"/>
    <cellStyle name="_06.0223-r1 9" xfId="36" xr:uid="{00000000-0005-0000-0000-000048000000}"/>
    <cellStyle name="_06.0223-r1 9 2" xfId="1336" xr:uid="{00000000-0005-0000-0000-000049000000}"/>
    <cellStyle name="20% - Accent1" xfId="37" xr:uid="{00000000-0005-0000-0000-00004A000000}"/>
    <cellStyle name="20% - Accent2" xfId="38" xr:uid="{00000000-0005-0000-0000-00004B000000}"/>
    <cellStyle name="20% - Accent3" xfId="39" xr:uid="{00000000-0005-0000-0000-00004C000000}"/>
    <cellStyle name="20% - Accent4" xfId="40" xr:uid="{00000000-0005-0000-0000-00004D000000}"/>
    <cellStyle name="20% - Accent5" xfId="41" xr:uid="{00000000-0005-0000-0000-00004E000000}"/>
    <cellStyle name="20% - Accent6" xfId="42" xr:uid="{00000000-0005-0000-0000-00004F000000}"/>
    <cellStyle name="20% - Cor1 2" xfId="43" xr:uid="{00000000-0005-0000-0000-000050000000}"/>
    <cellStyle name="20% - Cor1 3" xfId="44" xr:uid="{00000000-0005-0000-0000-000051000000}"/>
    <cellStyle name="20% - Cor1 4" xfId="45" xr:uid="{00000000-0005-0000-0000-000052000000}"/>
    <cellStyle name="20% - Cor2 2" xfId="46" xr:uid="{00000000-0005-0000-0000-000053000000}"/>
    <cellStyle name="20% - Cor2 3" xfId="47" xr:uid="{00000000-0005-0000-0000-000054000000}"/>
    <cellStyle name="20% - Cor2 4" xfId="48" xr:uid="{00000000-0005-0000-0000-000055000000}"/>
    <cellStyle name="20% - Cor3 2" xfId="49" xr:uid="{00000000-0005-0000-0000-000056000000}"/>
    <cellStyle name="20% - Cor3 2 2" xfId="50" xr:uid="{00000000-0005-0000-0000-000057000000}"/>
    <cellStyle name="20% - Cor3 2 2 2" xfId="51" xr:uid="{00000000-0005-0000-0000-000058000000}"/>
    <cellStyle name="20% - Cor3 2 3" xfId="52" xr:uid="{00000000-0005-0000-0000-000059000000}"/>
    <cellStyle name="20% - Cor3 3" xfId="53" xr:uid="{00000000-0005-0000-0000-00005A000000}"/>
    <cellStyle name="20% - Cor3 4" xfId="54" xr:uid="{00000000-0005-0000-0000-00005B000000}"/>
    <cellStyle name="20% - Cor4 2" xfId="55" xr:uid="{00000000-0005-0000-0000-00005C000000}"/>
    <cellStyle name="20% - Cor4 3" xfId="56" xr:uid="{00000000-0005-0000-0000-00005D000000}"/>
    <cellStyle name="20% - Cor4 4" xfId="57" xr:uid="{00000000-0005-0000-0000-00005E000000}"/>
    <cellStyle name="20% - Cor5 2" xfId="58" xr:uid="{00000000-0005-0000-0000-00005F000000}"/>
    <cellStyle name="20% - Cor5 3" xfId="59" xr:uid="{00000000-0005-0000-0000-000060000000}"/>
    <cellStyle name="20% - Cor5 4" xfId="60" xr:uid="{00000000-0005-0000-0000-000061000000}"/>
    <cellStyle name="20% - Cor6 2" xfId="61" xr:uid="{00000000-0005-0000-0000-000062000000}"/>
    <cellStyle name="20% - Cor6 3" xfId="62" xr:uid="{00000000-0005-0000-0000-000063000000}"/>
    <cellStyle name="20% - Cor6 4" xfId="63" xr:uid="{00000000-0005-0000-0000-000064000000}"/>
    <cellStyle name="20% - Ênfase1" xfId="1337" xr:uid="{00000000-0005-0000-0000-000065000000}"/>
    <cellStyle name="20% - Ênfase2" xfId="1338" xr:uid="{00000000-0005-0000-0000-000066000000}"/>
    <cellStyle name="20% - Ênfase3" xfId="1339" xr:uid="{00000000-0005-0000-0000-000067000000}"/>
    <cellStyle name="20% - Ênfase4" xfId="1340" xr:uid="{00000000-0005-0000-0000-000068000000}"/>
    <cellStyle name="20% - Ênfase5" xfId="1341" xr:uid="{00000000-0005-0000-0000-000069000000}"/>
    <cellStyle name="20% - Ênfase6" xfId="1342" xr:uid="{00000000-0005-0000-0000-00006A000000}"/>
    <cellStyle name="40% - Accent1" xfId="64" xr:uid="{00000000-0005-0000-0000-00006B000000}"/>
    <cellStyle name="40% - Accent2" xfId="65" xr:uid="{00000000-0005-0000-0000-00006C000000}"/>
    <cellStyle name="40% - Accent3" xfId="66" xr:uid="{00000000-0005-0000-0000-00006D000000}"/>
    <cellStyle name="40% - Accent4" xfId="67" xr:uid="{00000000-0005-0000-0000-00006E000000}"/>
    <cellStyle name="40% - Accent5" xfId="68" xr:uid="{00000000-0005-0000-0000-00006F000000}"/>
    <cellStyle name="40% - Accent6" xfId="69" xr:uid="{00000000-0005-0000-0000-000070000000}"/>
    <cellStyle name="40% - Cor1 2" xfId="70" xr:uid="{00000000-0005-0000-0000-000071000000}"/>
    <cellStyle name="40% - Cor1 3" xfId="71" xr:uid="{00000000-0005-0000-0000-000072000000}"/>
    <cellStyle name="40% - Cor1 4" xfId="72" xr:uid="{00000000-0005-0000-0000-000073000000}"/>
    <cellStyle name="40% - Cor2 2" xfId="73" xr:uid="{00000000-0005-0000-0000-000074000000}"/>
    <cellStyle name="40% - Cor2 3" xfId="74" xr:uid="{00000000-0005-0000-0000-000075000000}"/>
    <cellStyle name="40% - Cor2 4" xfId="75" xr:uid="{00000000-0005-0000-0000-000076000000}"/>
    <cellStyle name="40% - Cor3 2" xfId="76" xr:uid="{00000000-0005-0000-0000-000077000000}"/>
    <cellStyle name="40% - Cor3 3" xfId="77" xr:uid="{00000000-0005-0000-0000-000078000000}"/>
    <cellStyle name="40% - Cor3 4" xfId="78" xr:uid="{00000000-0005-0000-0000-000079000000}"/>
    <cellStyle name="40% - Cor4 2" xfId="79" xr:uid="{00000000-0005-0000-0000-00007A000000}"/>
    <cellStyle name="40% - Cor4 3" xfId="80" xr:uid="{00000000-0005-0000-0000-00007B000000}"/>
    <cellStyle name="40% - Cor4 4" xfId="81" xr:uid="{00000000-0005-0000-0000-00007C000000}"/>
    <cellStyle name="40% - Cor5 2" xfId="82" xr:uid="{00000000-0005-0000-0000-00007D000000}"/>
    <cellStyle name="40% - Cor5 3" xfId="83" xr:uid="{00000000-0005-0000-0000-00007E000000}"/>
    <cellStyle name="40% - Cor5 4" xfId="84" xr:uid="{00000000-0005-0000-0000-00007F000000}"/>
    <cellStyle name="40% - Cor6 2" xfId="85" xr:uid="{00000000-0005-0000-0000-000080000000}"/>
    <cellStyle name="40% - Cor6 3" xfId="86" xr:uid="{00000000-0005-0000-0000-000081000000}"/>
    <cellStyle name="40% - Cor6 4" xfId="87" xr:uid="{00000000-0005-0000-0000-000082000000}"/>
    <cellStyle name="40% - Ênfase1" xfId="1343" xr:uid="{00000000-0005-0000-0000-000083000000}"/>
    <cellStyle name="40% - Ênfase2" xfId="1344" xr:uid="{00000000-0005-0000-0000-000084000000}"/>
    <cellStyle name="40% - Ênfase3" xfId="1345" xr:uid="{00000000-0005-0000-0000-000085000000}"/>
    <cellStyle name="40% - Ênfase4" xfId="1346" xr:uid="{00000000-0005-0000-0000-000086000000}"/>
    <cellStyle name="40% - Ênfase5" xfId="1347" xr:uid="{00000000-0005-0000-0000-000087000000}"/>
    <cellStyle name="40% - Ênfase6" xfId="1348" xr:uid="{00000000-0005-0000-0000-000088000000}"/>
    <cellStyle name="60% - Accent1" xfId="88" xr:uid="{00000000-0005-0000-0000-000089000000}"/>
    <cellStyle name="60% - Accent2" xfId="89" xr:uid="{00000000-0005-0000-0000-00008A000000}"/>
    <cellStyle name="60% - Accent3" xfId="90" xr:uid="{00000000-0005-0000-0000-00008B000000}"/>
    <cellStyle name="60% - Accent4" xfId="91" xr:uid="{00000000-0005-0000-0000-00008C000000}"/>
    <cellStyle name="60% - Accent5" xfId="92" xr:uid="{00000000-0005-0000-0000-00008D000000}"/>
    <cellStyle name="60% - Accent6" xfId="93" xr:uid="{00000000-0005-0000-0000-00008E000000}"/>
    <cellStyle name="60% - Cor1 2" xfId="94" xr:uid="{00000000-0005-0000-0000-00008F000000}"/>
    <cellStyle name="60% - Cor1 3" xfId="95" xr:uid="{00000000-0005-0000-0000-000090000000}"/>
    <cellStyle name="60% - Cor1 4" xfId="96" xr:uid="{00000000-0005-0000-0000-000091000000}"/>
    <cellStyle name="60% - Cor2 2" xfId="97" xr:uid="{00000000-0005-0000-0000-000092000000}"/>
    <cellStyle name="60% - Cor2 3" xfId="98" xr:uid="{00000000-0005-0000-0000-000093000000}"/>
    <cellStyle name="60% - Cor2 4" xfId="99" xr:uid="{00000000-0005-0000-0000-000094000000}"/>
    <cellStyle name="60% - Cor3 2" xfId="100" xr:uid="{00000000-0005-0000-0000-000095000000}"/>
    <cellStyle name="60% - Cor3 3" xfId="101" xr:uid="{00000000-0005-0000-0000-000096000000}"/>
    <cellStyle name="60% - Cor3 4" xfId="102" xr:uid="{00000000-0005-0000-0000-000097000000}"/>
    <cellStyle name="60% - Cor4 2" xfId="103" xr:uid="{00000000-0005-0000-0000-000098000000}"/>
    <cellStyle name="60% - Cor4 3" xfId="104" xr:uid="{00000000-0005-0000-0000-000099000000}"/>
    <cellStyle name="60% - Cor4 4" xfId="105" xr:uid="{00000000-0005-0000-0000-00009A000000}"/>
    <cellStyle name="60% - Cor5 2" xfId="106" xr:uid="{00000000-0005-0000-0000-00009B000000}"/>
    <cellStyle name="60% - Cor5 3" xfId="107" xr:uid="{00000000-0005-0000-0000-00009C000000}"/>
    <cellStyle name="60% - Cor5 4" xfId="108" xr:uid="{00000000-0005-0000-0000-00009D000000}"/>
    <cellStyle name="60% - Cor6 2" xfId="109" xr:uid="{00000000-0005-0000-0000-00009E000000}"/>
    <cellStyle name="60% - Cor6 3" xfId="110" xr:uid="{00000000-0005-0000-0000-00009F000000}"/>
    <cellStyle name="60% - Cor6 4" xfId="111" xr:uid="{00000000-0005-0000-0000-0000A0000000}"/>
    <cellStyle name="60% - Ênfase1" xfId="1349" xr:uid="{00000000-0005-0000-0000-0000A1000000}"/>
    <cellStyle name="60% - Ênfase2" xfId="1350" xr:uid="{00000000-0005-0000-0000-0000A2000000}"/>
    <cellStyle name="60% - Ênfase3" xfId="1351" xr:uid="{00000000-0005-0000-0000-0000A3000000}"/>
    <cellStyle name="60% - Ênfase4" xfId="1352" xr:uid="{00000000-0005-0000-0000-0000A4000000}"/>
    <cellStyle name="60% - Ênfase5" xfId="1353" xr:uid="{00000000-0005-0000-0000-0000A5000000}"/>
    <cellStyle name="60% - Ênfase6" xfId="1354" xr:uid="{00000000-0005-0000-0000-0000A6000000}"/>
    <cellStyle name="a" xfId="1355" xr:uid="{00000000-0005-0000-0000-0000A7000000}"/>
    <cellStyle name="a_Capacidade e cobertura 2004 - 2007 - PARES e POPH" xfId="1356" xr:uid="{00000000-0005-0000-0000-0000A8000000}"/>
    <cellStyle name="a_INE_DGO_TC" xfId="1357" xr:uid="{00000000-0005-0000-0000-0000A9000000}"/>
    <cellStyle name="a_Livro2" xfId="1358" xr:uid="{00000000-0005-0000-0000-0000AA000000}"/>
    <cellStyle name="a_Subsistema 2014" xfId="1359" xr:uid="{00000000-0005-0000-0000-0000AB000000}"/>
    <cellStyle name="Accent1" xfId="112" xr:uid="{00000000-0005-0000-0000-0000AC000000}"/>
    <cellStyle name="Accent1 - 20%" xfId="113" xr:uid="{00000000-0005-0000-0000-0000AD000000}"/>
    <cellStyle name="Accent1 - 40%" xfId="114" xr:uid="{00000000-0005-0000-0000-0000AE000000}"/>
    <cellStyle name="Accent1 - 60%" xfId="115" xr:uid="{00000000-0005-0000-0000-0000AF000000}"/>
    <cellStyle name="Accent1_2012-2016 Prestações Desemprego_6_Março" xfId="1360" xr:uid="{00000000-0005-0000-0000-0000B0000000}"/>
    <cellStyle name="Accent2" xfId="116" xr:uid="{00000000-0005-0000-0000-0000B1000000}"/>
    <cellStyle name="Accent2 - 20%" xfId="117" xr:uid="{00000000-0005-0000-0000-0000B2000000}"/>
    <cellStyle name="Accent2 - 40%" xfId="118" xr:uid="{00000000-0005-0000-0000-0000B3000000}"/>
    <cellStyle name="Accent2 - 60%" xfId="119" xr:uid="{00000000-0005-0000-0000-0000B4000000}"/>
    <cellStyle name="Accent2_2012-2016 Prestações Desemprego_6_Março" xfId="1361" xr:uid="{00000000-0005-0000-0000-0000B5000000}"/>
    <cellStyle name="Accent3" xfId="120" xr:uid="{00000000-0005-0000-0000-0000B6000000}"/>
    <cellStyle name="Accent3 - 20%" xfId="121" xr:uid="{00000000-0005-0000-0000-0000B7000000}"/>
    <cellStyle name="Accent3 - 40%" xfId="122" xr:uid="{00000000-0005-0000-0000-0000B8000000}"/>
    <cellStyle name="Accent3 - 60%" xfId="123" xr:uid="{00000000-0005-0000-0000-0000B9000000}"/>
    <cellStyle name="Accent3_2012-2016 Prestações Desemprego_6_Março" xfId="1362" xr:uid="{00000000-0005-0000-0000-0000BA000000}"/>
    <cellStyle name="Accent4" xfId="124" xr:uid="{00000000-0005-0000-0000-0000BB000000}"/>
    <cellStyle name="Accent4 - 20%" xfId="125" xr:uid="{00000000-0005-0000-0000-0000BC000000}"/>
    <cellStyle name="Accent4 - 40%" xfId="126" xr:uid="{00000000-0005-0000-0000-0000BD000000}"/>
    <cellStyle name="Accent4 - 60%" xfId="127" xr:uid="{00000000-0005-0000-0000-0000BE000000}"/>
    <cellStyle name="Accent4_2012-2016 Prestações Desemprego_6_Março" xfId="1363" xr:uid="{00000000-0005-0000-0000-0000BF000000}"/>
    <cellStyle name="Accent5" xfId="128" xr:uid="{00000000-0005-0000-0000-0000C0000000}"/>
    <cellStyle name="Accent5 - 20%" xfId="129" xr:uid="{00000000-0005-0000-0000-0000C1000000}"/>
    <cellStyle name="Accent5 - 40%" xfId="130" xr:uid="{00000000-0005-0000-0000-0000C2000000}"/>
    <cellStyle name="Accent5 - 60%" xfId="131" xr:uid="{00000000-0005-0000-0000-0000C3000000}"/>
    <cellStyle name="Accent5_2012-2016 Prestações Desemprego_6_Março" xfId="1364" xr:uid="{00000000-0005-0000-0000-0000C4000000}"/>
    <cellStyle name="Accent6" xfId="132" xr:uid="{00000000-0005-0000-0000-0000C5000000}"/>
    <cellStyle name="Accent6 - 20%" xfId="133" xr:uid="{00000000-0005-0000-0000-0000C6000000}"/>
    <cellStyle name="Accent6 - 40%" xfId="134" xr:uid="{00000000-0005-0000-0000-0000C7000000}"/>
    <cellStyle name="Accent6 - 60%" xfId="135" xr:uid="{00000000-0005-0000-0000-0000C8000000}"/>
    <cellStyle name="Accent6_2012-2016 Prestações Desemprego_6_Março" xfId="1365" xr:uid="{00000000-0005-0000-0000-0000C9000000}"/>
    <cellStyle name="Anos" xfId="136" xr:uid="{00000000-0005-0000-0000-0000CA000000}"/>
    <cellStyle name="Bad" xfId="137" xr:uid="{00000000-0005-0000-0000-0000CB000000}"/>
    <cellStyle name="Bom" xfId="1366" xr:uid="{00000000-0005-0000-0000-0000CC000000}"/>
    <cellStyle name="CABECALHO" xfId="138" xr:uid="{00000000-0005-0000-0000-0000CD000000}"/>
    <cellStyle name="Cabeçalho 1" xfId="139" builtinId="16"/>
    <cellStyle name="Cabeçalho 1 10" xfId="140" xr:uid="{00000000-0005-0000-0000-0000CF000000}"/>
    <cellStyle name="Cabeçalho 1 10 2" xfId="1367" xr:uid="{00000000-0005-0000-0000-0000D0000000}"/>
    <cellStyle name="Cabeçalho 1 11" xfId="141" xr:uid="{00000000-0005-0000-0000-0000D1000000}"/>
    <cellStyle name="Cabeçalho 1 11 2" xfId="1368" xr:uid="{00000000-0005-0000-0000-0000D2000000}"/>
    <cellStyle name="Cabeçalho 1 12" xfId="142" xr:uid="{00000000-0005-0000-0000-0000D3000000}"/>
    <cellStyle name="Cabeçalho 1 2" xfId="143" xr:uid="{00000000-0005-0000-0000-0000D4000000}"/>
    <cellStyle name="Cabeçalho 1 2 10" xfId="144" xr:uid="{00000000-0005-0000-0000-0000D5000000}"/>
    <cellStyle name="Cabeçalho 1 2 11" xfId="145" xr:uid="{00000000-0005-0000-0000-0000D6000000}"/>
    <cellStyle name="Cabeçalho 1 2 2" xfId="146" xr:uid="{00000000-0005-0000-0000-0000D7000000}"/>
    <cellStyle name="Cabeçalho 1 2 3" xfId="147" xr:uid="{00000000-0005-0000-0000-0000D8000000}"/>
    <cellStyle name="Cabeçalho 1 2 4" xfId="148" xr:uid="{00000000-0005-0000-0000-0000D9000000}"/>
    <cellStyle name="Cabeçalho 1 2 5" xfId="149" xr:uid="{00000000-0005-0000-0000-0000DA000000}"/>
    <cellStyle name="Cabeçalho 1 2 6" xfId="150" xr:uid="{00000000-0005-0000-0000-0000DB000000}"/>
    <cellStyle name="Cabeçalho 1 2 7" xfId="151" xr:uid="{00000000-0005-0000-0000-0000DC000000}"/>
    <cellStyle name="Cabeçalho 1 2 8" xfId="152" xr:uid="{00000000-0005-0000-0000-0000DD000000}"/>
    <cellStyle name="Cabeçalho 1 2 9" xfId="153" xr:uid="{00000000-0005-0000-0000-0000DE000000}"/>
    <cellStyle name="Cabeçalho 1 2_DGO" xfId="1369" xr:uid="{00000000-0005-0000-0000-0000DF000000}"/>
    <cellStyle name="Cabeçalho 1 3" xfId="154" xr:uid="{00000000-0005-0000-0000-0000E0000000}"/>
    <cellStyle name="Cabeçalho 1 4" xfId="155" xr:uid="{00000000-0005-0000-0000-0000E1000000}"/>
    <cellStyle name="Cabeçalho 1 5" xfId="156" xr:uid="{00000000-0005-0000-0000-0000E2000000}"/>
    <cellStyle name="Cabeçalho 1 5 2" xfId="1370" xr:uid="{00000000-0005-0000-0000-0000E3000000}"/>
    <cellStyle name="Cabeçalho 1 6" xfId="157" xr:uid="{00000000-0005-0000-0000-0000E4000000}"/>
    <cellStyle name="Cabeçalho 1 6 2" xfId="1371" xr:uid="{00000000-0005-0000-0000-0000E5000000}"/>
    <cellStyle name="Cabeçalho 1 7" xfId="158" xr:uid="{00000000-0005-0000-0000-0000E6000000}"/>
    <cellStyle name="Cabeçalho 1 7 2" xfId="1372" xr:uid="{00000000-0005-0000-0000-0000E7000000}"/>
    <cellStyle name="Cabeçalho 1 8" xfId="159" xr:uid="{00000000-0005-0000-0000-0000E8000000}"/>
    <cellStyle name="Cabeçalho 1 8 2" xfId="1373" xr:uid="{00000000-0005-0000-0000-0000E9000000}"/>
    <cellStyle name="Cabeçalho 1 9" xfId="160" xr:uid="{00000000-0005-0000-0000-0000EA000000}"/>
    <cellStyle name="Cabeçalho 1 9 2" xfId="1374" xr:uid="{00000000-0005-0000-0000-0000EB000000}"/>
    <cellStyle name="CABECALHO 2" xfId="161" xr:uid="{00000000-0005-0000-0000-0000EC000000}"/>
    <cellStyle name="Cabeçalho 2 10" xfId="162" xr:uid="{00000000-0005-0000-0000-0000ED000000}"/>
    <cellStyle name="Cabeçalho 2 10 2" xfId="1375" xr:uid="{00000000-0005-0000-0000-0000EE000000}"/>
    <cellStyle name="Cabeçalho 2 11" xfId="163" xr:uid="{00000000-0005-0000-0000-0000EF000000}"/>
    <cellStyle name="Cabeçalho 2 11 2" xfId="1376" xr:uid="{00000000-0005-0000-0000-0000F0000000}"/>
    <cellStyle name="Cabeçalho 2 12" xfId="1377" xr:uid="{00000000-0005-0000-0000-0000F1000000}"/>
    <cellStyle name="CABECALHO 2 2" xfId="164" xr:uid="{00000000-0005-0000-0000-0000F2000000}"/>
    <cellStyle name="Cabeçalho 2 2" xfId="165" xr:uid="{00000000-0005-0000-0000-0000F3000000}"/>
    <cellStyle name="Cabeçalho 2 2 10" xfId="166" xr:uid="{00000000-0005-0000-0000-0000F4000000}"/>
    <cellStyle name="Cabeçalho 2 2 11" xfId="167" xr:uid="{00000000-0005-0000-0000-0000F5000000}"/>
    <cellStyle name="CABECALHO 2 2 2" xfId="1378" xr:uid="{00000000-0005-0000-0000-0000F6000000}"/>
    <cellStyle name="Cabeçalho 2 2 2" xfId="168" xr:uid="{00000000-0005-0000-0000-0000F7000000}"/>
    <cellStyle name="CABECALHO 2 2 3" xfId="1379" xr:uid="{00000000-0005-0000-0000-0000F8000000}"/>
    <cellStyle name="Cabeçalho 2 2 3" xfId="169" xr:uid="{00000000-0005-0000-0000-0000F9000000}"/>
    <cellStyle name="Cabeçalho 2 2 4" xfId="170" xr:uid="{00000000-0005-0000-0000-0000FA000000}"/>
    <cellStyle name="Cabeçalho 2 2 5" xfId="171" xr:uid="{00000000-0005-0000-0000-0000FB000000}"/>
    <cellStyle name="Cabeçalho 2 2 6" xfId="172" xr:uid="{00000000-0005-0000-0000-0000FC000000}"/>
    <cellStyle name="Cabeçalho 2 2 7" xfId="173" xr:uid="{00000000-0005-0000-0000-0000FD000000}"/>
    <cellStyle name="Cabeçalho 2 2 8" xfId="174" xr:uid="{00000000-0005-0000-0000-0000FE000000}"/>
    <cellStyle name="Cabeçalho 2 2 9" xfId="175" xr:uid="{00000000-0005-0000-0000-0000FF000000}"/>
    <cellStyle name="Cabeçalho 2 2_DGO" xfId="1380" xr:uid="{00000000-0005-0000-0000-000000010000}"/>
    <cellStyle name="CABECALHO 2 3" xfId="1381" xr:uid="{00000000-0005-0000-0000-000001010000}"/>
    <cellStyle name="Cabeçalho 2 3" xfId="176" xr:uid="{00000000-0005-0000-0000-000002010000}"/>
    <cellStyle name="CABECALHO 2 4" xfId="1382" xr:uid="{00000000-0005-0000-0000-000003010000}"/>
    <cellStyle name="Cabeçalho 2 4" xfId="177" xr:uid="{00000000-0005-0000-0000-000004010000}"/>
    <cellStyle name="Cabeçalho 2 5" xfId="178" xr:uid="{00000000-0005-0000-0000-000005010000}"/>
    <cellStyle name="Cabeçalho 2 5 2" xfId="1383" xr:uid="{00000000-0005-0000-0000-000006010000}"/>
    <cellStyle name="Cabeçalho 2 6" xfId="179" xr:uid="{00000000-0005-0000-0000-000007010000}"/>
    <cellStyle name="Cabeçalho 2 6 2" xfId="1384" xr:uid="{00000000-0005-0000-0000-000008010000}"/>
    <cellStyle name="Cabeçalho 2 7" xfId="180" xr:uid="{00000000-0005-0000-0000-000009010000}"/>
    <cellStyle name="Cabeçalho 2 7 2" xfId="1385" xr:uid="{00000000-0005-0000-0000-00000A010000}"/>
    <cellStyle name="Cabeçalho 2 8" xfId="181" xr:uid="{00000000-0005-0000-0000-00000B010000}"/>
    <cellStyle name="Cabeçalho 2 8 2" xfId="1386" xr:uid="{00000000-0005-0000-0000-00000C010000}"/>
    <cellStyle name="Cabeçalho 2 9" xfId="182" xr:uid="{00000000-0005-0000-0000-00000D010000}"/>
    <cellStyle name="Cabeçalho 2 9 2" xfId="1387" xr:uid="{00000000-0005-0000-0000-00000E010000}"/>
    <cellStyle name="CABECALHO 3" xfId="183" xr:uid="{00000000-0005-0000-0000-00000F010000}"/>
    <cellStyle name="Cabeçalho 3 10" xfId="184" xr:uid="{00000000-0005-0000-0000-000010010000}"/>
    <cellStyle name="Cabeçalho 3 10 2" xfId="1388" xr:uid="{00000000-0005-0000-0000-000011010000}"/>
    <cellStyle name="Cabeçalho 3 11" xfId="185" xr:uid="{00000000-0005-0000-0000-000012010000}"/>
    <cellStyle name="Cabeçalho 3 11 2" xfId="1389" xr:uid="{00000000-0005-0000-0000-000013010000}"/>
    <cellStyle name="Cabeçalho 3 12" xfId="1390" xr:uid="{00000000-0005-0000-0000-000014010000}"/>
    <cellStyle name="CABECALHO 3 2" xfId="186" xr:uid="{00000000-0005-0000-0000-000015010000}"/>
    <cellStyle name="Cabeçalho 3 2" xfId="187" xr:uid="{00000000-0005-0000-0000-000016010000}"/>
    <cellStyle name="Cabeçalho 3 2 10" xfId="188" xr:uid="{00000000-0005-0000-0000-000017010000}"/>
    <cellStyle name="Cabeçalho 3 2 11" xfId="189" xr:uid="{00000000-0005-0000-0000-000018010000}"/>
    <cellStyle name="CABECALHO 3 2 2" xfId="1391" xr:uid="{00000000-0005-0000-0000-000019010000}"/>
    <cellStyle name="Cabeçalho 3 2 2" xfId="190" xr:uid="{00000000-0005-0000-0000-00001A010000}"/>
    <cellStyle name="CABECALHO 3 2 3" xfId="1392" xr:uid="{00000000-0005-0000-0000-00001B010000}"/>
    <cellStyle name="Cabeçalho 3 2 3" xfId="191" xr:uid="{00000000-0005-0000-0000-00001C010000}"/>
    <cellStyle name="Cabeçalho 3 2 4" xfId="192" xr:uid="{00000000-0005-0000-0000-00001D010000}"/>
    <cellStyle name="Cabeçalho 3 2 5" xfId="193" xr:uid="{00000000-0005-0000-0000-00001E010000}"/>
    <cellStyle name="Cabeçalho 3 2 6" xfId="194" xr:uid="{00000000-0005-0000-0000-00001F010000}"/>
    <cellStyle name="Cabeçalho 3 2 7" xfId="195" xr:uid="{00000000-0005-0000-0000-000020010000}"/>
    <cellStyle name="Cabeçalho 3 2 8" xfId="196" xr:uid="{00000000-0005-0000-0000-000021010000}"/>
    <cellStyle name="Cabeçalho 3 2 9" xfId="197" xr:uid="{00000000-0005-0000-0000-000022010000}"/>
    <cellStyle name="Cabeçalho 3 2_DGO" xfId="1393" xr:uid="{00000000-0005-0000-0000-000023010000}"/>
    <cellStyle name="CABECALHO 3 3" xfId="1394" xr:uid="{00000000-0005-0000-0000-000024010000}"/>
    <cellStyle name="Cabeçalho 3 3" xfId="198" xr:uid="{00000000-0005-0000-0000-000025010000}"/>
    <cellStyle name="CABECALHO 3 4" xfId="1395" xr:uid="{00000000-0005-0000-0000-000026010000}"/>
    <cellStyle name="Cabeçalho 3 4" xfId="199" xr:uid="{00000000-0005-0000-0000-000027010000}"/>
    <cellStyle name="Cabeçalho 3 5" xfId="200" xr:uid="{00000000-0005-0000-0000-000028010000}"/>
    <cellStyle name="Cabeçalho 3 5 2" xfId="1396" xr:uid="{00000000-0005-0000-0000-000029010000}"/>
    <cellStyle name="Cabeçalho 3 6" xfId="201" xr:uid="{00000000-0005-0000-0000-00002A010000}"/>
    <cellStyle name="Cabeçalho 3 6 2" xfId="1397" xr:uid="{00000000-0005-0000-0000-00002B010000}"/>
    <cellStyle name="Cabeçalho 3 7" xfId="202" xr:uid="{00000000-0005-0000-0000-00002C010000}"/>
    <cellStyle name="Cabeçalho 3 7 2" xfId="1398" xr:uid="{00000000-0005-0000-0000-00002D010000}"/>
    <cellStyle name="Cabeçalho 3 8" xfId="203" xr:uid="{00000000-0005-0000-0000-00002E010000}"/>
    <cellStyle name="Cabeçalho 3 8 2" xfId="1399" xr:uid="{00000000-0005-0000-0000-00002F010000}"/>
    <cellStyle name="Cabeçalho 3 9" xfId="204" xr:uid="{00000000-0005-0000-0000-000030010000}"/>
    <cellStyle name="Cabeçalho 3 9 2" xfId="1400" xr:uid="{00000000-0005-0000-0000-000031010000}"/>
    <cellStyle name="CABECALHO 4" xfId="205" xr:uid="{00000000-0005-0000-0000-000032010000}"/>
    <cellStyle name="Cabeçalho 4 10" xfId="206" xr:uid="{00000000-0005-0000-0000-000033010000}"/>
    <cellStyle name="Cabeçalho 4 10 2" xfId="1401" xr:uid="{00000000-0005-0000-0000-000034010000}"/>
    <cellStyle name="Cabeçalho 4 11" xfId="207" xr:uid="{00000000-0005-0000-0000-000035010000}"/>
    <cellStyle name="Cabeçalho 4 11 2" xfId="1402" xr:uid="{00000000-0005-0000-0000-000036010000}"/>
    <cellStyle name="Cabeçalho 4 12" xfId="1403" xr:uid="{00000000-0005-0000-0000-000037010000}"/>
    <cellStyle name="CABECALHO 4 2" xfId="208" xr:uid="{00000000-0005-0000-0000-000038010000}"/>
    <cellStyle name="Cabeçalho 4 2" xfId="209" xr:uid="{00000000-0005-0000-0000-000039010000}"/>
    <cellStyle name="Cabeçalho 4 2 10" xfId="210" xr:uid="{00000000-0005-0000-0000-00003A010000}"/>
    <cellStyle name="Cabeçalho 4 2 11" xfId="211" xr:uid="{00000000-0005-0000-0000-00003B010000}"/>
    <cellStyle name="CABECALHO 4 2 2" xfId="1404" xr:uid="{00000000-0005-0000-0000-00003C010000}"/>
    <cellStyle name="Cabeçalho 4 2 2" xfId="212" xr:uid="{00000000-0005-0000-0000-00003D010000}"/>
    <cellStyle name="CABECALHO 4 2 3" xfId="1405" xr:uid="{00000000-0005-0000-0000-00003E010000}"/>
    <cellStyle name="Cabeçalho 4 2 3" xfId="213" xr:uid="{00000000-0005-0000-0000-00003F010000}"/>
    <cellStyle name="Cabeçalho 4 2 4" xfId="214" xr:uid="{00000000-0005-0000-0000-000040010000}"/>
    <cellStyle name="Cabeçalho 4 2 5" xfId="215" xr:uid="{00000000-0005-0000-0000-000041010000}"/>
    <cellStyle name="Cabeçalho 4 2 6" xfId="216" xr:uid="{00000000-0005-0000-0000-000042010000}"/>
    <cellStyle name="Cabeçalho 4 2 7" xfId="217" xr:uid="{00000000-0005-0000-0000-000043010000}"/>
    <cellStyle name="Cabeçalho 4 2 8" xfId="218" xr:uid="{00000000-0005-0000-0000-000044010000}"/>
    <cellStyle name="Cabeçalho 4 2 9" xfId="219" xr:uid="{00000000-0005-0000-0000-000045010000}"/>
    <cellStyle name="Cabeçalho 4 2_DGO" xfId="1406" xr:uid="{00000000-0005-0000-0000-000046010000}"/>
    <cellStyle name="CABECALHO 4 3" xfId="1407" xr:uid="{00000000-0005-0000-0000-000047010000}"/>
    <cellStyle name="Cabeçalho 4 3" xfId="220" xr:uid="{00000000-0005-0000-0000-000048010000}"/>
    <cellStyle name="CABECALHO 4 4" xfId="1408" xr:uid="{00000000-0005-0000-0000-000049010000}"/>
    <cellStyle name="Cabeçalho 4 4" xfId="221" xr:uid="{00000000-0005-0000-0000-00004A010000}"/>
    <cellStyle name="Cabeçalho 4 5" xfId="222" xr:uid="{00000000-0005-0000-0000-00004B010000}"/>
    <cellStyle name="Cabeçalho 4 5 2" xfId="1409" xr:uid="{00000000-0005-0000-0000-00004C010000}"/>
    <cellStyle name="Cabeçalho 4 6" xfId="223" xr:uid="{00000000-0005-0000-0000-00004D010000}"/>
    <cellStyle name="Cabeçalho 4 6 2" xfId="1410" xr:uid="{00000000-0005-0000-0000-00004E010000}"/>
    <cellStyle name="Cabeçalho 4 7" xfId="224" xr:uid="{00000000-0005-0000-0000-00004F010000}"/>
    <cellStyle name="Cabeçalho 4 7 2" xfId="1411" xr:uid="{00000000-0005-0000-0000-000050010000}"/>
    <cellStyle name="Cabeçalho 4 8" xfId="225" xr:uid="{00000000-0005-0000-0000-000051010000}"/>
    <cellStyle name="Cabeçalho 4 8 2" xfId="1412" xr:uid="{00000000-0005-0000-0000-000052010000}"/>
    <cellStyle name="Cabeçalho 4 9" xfId="226" xr:uid="{00000000-0005-0000-0000-000053010000}"/>
    <cellStyle name="Cabeçalho 4 9 2" xfId="1413" xr:uid="{00000000-0005-0000-0000-000054010000}"/>
    <cellStyle name="CABECALHO 5" xfId="227" xr:uid="{00000000-0005-0000-0000-000055010000}"/>
    <cellStyle name="CABECALHO 5 2" xfId="1414" xr:uid="{00000000-0005-0000-0000-000056010000}"/>
    <cellStyle name="CABECALHO 6" xfId="1415" xr:uid="{00000000-0005-0000-0000-000057010000}"/>
    <cellStyle name="CABECALHO 7" xfId="1416" xr:uid="{00000000-0005-0000-0000-000058010000}"/>
    <cellStyle name="CABECALHO_3.ind_pobreza" xfId="1417" xr:uid="{00000000-0005-0000-0000-000059010000}"/>
    <cellStyle name="cal" xfId="228" xr:uid="{00000000-0005-0000-0000-00005A010000}"/>
    <cellStyle name="cal 2" xfId="1418" xr:uid="{00000000-0005-0000-0000-00005B010000}"/>
    <cellStyle name="Calc" xfId="229" xr:uid="{00000000-0005-0000-0000-00005C010000}"/>
    <cellStyle name="Calc - Blue" xfId="230" xr:uid="{00000000-0005-0000-0000-00005D010000}"/>
    <cellStyle name="Calc - Blue 2" xfId="1419" xr:uid="{00000000-0005-0000-0000-00005E010000}"/>
    <cellStyle name="Calc - Green" xfId="231" xr:uid="{00000000-0005-0000-0000-00005F010000}"/>
    <cellStyle name="Calc - Green 2" xfId="1420" xr:uid="{00000000-0005-0000-0000-000060010000}"/>
    <cellStyle name="Calc - Grey" xfId="232" xr:uid="{00000000-0005-0000-0000-000061010000}"/>
    <cellStyle name="Calc - Grey 2" xfId="1421" xr:uid="{00000000-0005-0000-0000-000062010000}"/>
    <cellStyle name="Calc - White" xfId="233" xr:uid="{00000000-0005-0000-0000-000063010000}"/>
    <cellStyle name="Calc - White 2" xfId="1422" xr:uid="{00000000-0005-0000-0000-000064010000}"/>
    <cellStyle name="Calc 2" xfId="1423" xr:uid="{00000000-0005-0000-0000-000065010000}"/>
    <cellStyle name="Calc Currency (0)" xfId="1424" xr:uid="{00000000-0005-0000-0000-000066010000}"/>
    <cellStyle name="Calc Currency (2)" xfId="1425" xr:uid="{00000000-0005-0000-0000-000067010000}"/>
    <cellStyle name="Calc Percent (0)" xfId="1426" xr:uid="{00000000-0005-0000-0000-000068010000}"/>
    <cellStyle name="Calc Percent (1)" xfId="1427" xr:uid="{00000000-0005-0000-0000-000069010000}"/>
    <cellStyle name="Calc Percent (2)" xfId="1428" xr:uid="{00000000-0005-0000-0000-00006A010000}"/>
    <cellStyle name="Calc Units (0)" xfId="1429" xr:uid="{00000000-0005-0000-0000-00006B010000}"/>
    <cellStyle name="Calc Units (1)" xfId="1430" xr:uid="{00000000-0005-0000-0000-00006C010000}"/>
    <cellStyle name="Calc Units (2)" xfId="1431" xr:uid="{00000000-0005-0000-0000-00006D010000}"/>
    <cellStyle name="Calculation" xfId="234" xr:uid="{00000000-0005-0000-0000-00006E010000}"/>
    <cellStyle name="Calculation 2" xfId="235" xr:uid="{00000000-0005-0000-0000-00006F010000}"/>
    <cellStyle name="Calculation 2 2" xfId="236" xr:uid="{00000000-0005-0000-0000-000070010000}"/>
    <cellStyle name="Calculation 2 3" xfId="237" xr:uid="{00000000-0005-0000-0000-000071010000}"/>
    <cellStyle name="Calculation 3" xfId="238" xr:uid="{00000000-0005-0000-0000-000072010000}"/>
    <cellStyle name="Calculation 4" xfId="239" xr:uid="{00000000-0005-0000-0000-000073010000}"/>
    <cellStyle name="Calculation 5" xfId="240" xr:uid="{00000000-0005-0000-0000-000074010000}"/>
    <cellStyle name="Calculation 6" xfId="241" xr:uid="{00000000-0005-0000-0000-000075010000}"/>
    <cellStyle name="Calculation_efeito da reposicao de subsidios em 2013 (2)" xfId="1432" xr:uid="{00000000-0005-0000-0000-000076010000}"/>
    <cellStyle name="Cálculo 2" xfId="242" xr:uid="{00000000-0005-0000-0000-000077010000}"/>
    <cellStyle name="Cálculo 2 2" xfId="243" xr:uid="{00000000-0005-0000-0000-000078010000}"/>
    <cellStyle name="Cálculo 2 3" xfId="244" xr:uid="{00000000-0005-0000-0000-000079010000}"/>
    <cellStyle name="Cálculo 2 4" xfId="245" xr:uid="{00000000-0005-0000-0000-00007A010000}"/>
    <cellStyle name="Cálculo 2 5" xfId="246" xr:uid="{00000000-0005-0000-0000-00007B010000}"/>
    <cellStyle name="Cálculo 2 6" xfId="247" xr:uid="{00000000-0005-0000-0000-00007C010000}"/>
    <cellStyle name="Cálculo 3" xfId="248" xr:uid="{00000000-0005-0000-0000-00007D010000}"/>
    <cellStyle name="Cálculo 4" xfId="249" xr:uid="{00000000-0005-0000-0000-00007E010000}"/>
    <cellStyle name="Célula de Verificação" xfId="1433" xr:uid="{00000000-0005-0000-0000-00007F010000}"/>
    <cellStyle name="Célula Ligada 10" xfId="250" xr:uid="{00000000-0005-0000-0000-000080010000}"/>
    <cellStyle name="Célula Ligada 10 2" xfId="1434" xr:uid="{00000000-0005-0000-0000-000081010000}"/>
    <cellStyle name="Célula Ligada 11" xfId="251" xr:uid="{00000000-0005-0000-0000-000082010000}"/>
    <cellStyle name="Célula Ligada 11 2" xfId="1435" xr:uid="{00000000-0005-0000-0000-000083010000}"/>
    <cellStyle name="Célula Ligada 2" xfId="252" xr:uid="{00000000-0005-0000-0000-000084010000}"/>
    <cellStyle name="Célula Ligada 2 10" xfId="253" xr:uid="{00000000-0005-0000-0000-000085010000}"/>
    <cellStyle name="Célula Ligada 2 11" xfId="254" xr:uid="{00000000-0005-0000-0000-000086010000}"/>
    <cellStyle name="Célula Ligada 2 2" xfId="255" xr:uid="{00000000-0005-0000-0000-000087010000}"/>
    <cellStyle name="Célula Ligada 2 3" xfId="256" xr:uid="{00000000-0005-0000-0000-000088010000}"/>
    <cellStyle name="Célula Ligada 2 4" xfId="257" xr:uid="{00000000-0005-0000-0000-000089010000}"/>
    <cellStyle name="Célula Ligada 2 5" xfId="258" xr:uid="{00000000-0005-0000-0000-00008A010000}"/>
    <cellStyle name="Célula Ligada 2 6" xfId="259" xr:uid="{00000000-0005-0000-0000-00008B010000}"/>
    <cellStyle name="Célula Ligada 2 7" xfId="260" xr:uid="{00000000-0005-0000-0000-00008C010000}"/>
    <cellStyle name="Célula Ligada 2 8" xfId="261" xr:uid="{00000000-0005-0000-0000-00008D010000}"/>
    <cellStyle name="Célula Ligada 2 9" xfId="262" xr:uid="{00000000-0005-0000-0000-00008E010000}"/>
    <cellStyle name="Célula Ligada 2_DGO" xfId="1436" xr:uid="{00000000-0005-0000-0000-00008F010000}"/>
    <cellStyle name="Célula Ligada 3" xfId="263" xr:uid="{00000000-0005-0000-0000-000090010000}"/>
    <cellStyle name="Célula Ligada 4" xfId="264" xr:uid="{00000000-0005-0000-0000-000091010000}"/>
    <cellStyle name="Célula Ligada 5" xfId="265" xr:uid="{00000000-0005-0000-0000-000092010000}"/>
    <cellStyle name="Célula Ligada 5 2" xfId="1437" xr:uid="{00000000-0005-0000-0000-000093010000}"/>
    <cellStyle name="Célula Ligada 6" xfId="266" xr:uid="{00000000-0005-0000-0000-000094010000}"/>
    <cellStyle name="Célula Ligada 6 2" xfId="1438" xr:uid="{00000000-0005-0000-0000-000095010000}"/>
    <cellStyle name="Célula Ligada 7" xfId="267" xr:uid="{00000000-0005-0000-0000-000096010000}"/>
    <cellStyle name="Célula Ligada 7 2" xfId="1439" xr:uid="{00000000-0005-0000-0000-000097010000}"/>
    <cellStyle name="Célula Ligada 8" xfId="268" xr:uid="{00000000-0005-0000-0000-000098010000}"/>
    <cellStyle name="Célula Ligada 8 2" xfId="1440" xr:uid="{00000000-0005-0000-0000-000099010000}"/>
    <cellStyle name="Célula Ligada 9" xfId="269" xr:uid="{00000000-0005-0000-0000-00009A010000}"/>
    <cellStyle name="Célula Ligada 9 2" xfId="1441" xr:uid="{00000000-0005-0000-0000-00009B010000}"/>
    <cellStyle name="Célula Vinculada" xfId="1442" xr:uid="{00000000-0005-0000-0000-00009C010000}"/>
    <cellStyle name="Check Cell" xfId="270" xr:uid="{00000000-0005-0000-0000-00009D010000}"/>
    <cellStyle name="COMMA" xfId="271" xr:uid="{00000000-0005-0000-0000-00009E010000}"/>
    <cellStyle name="Comma  - Style1" xfId="1443" xr:uid="{00000000-0005-0000-0000-00009F010000}"/>
    <cellStyle name="Comma  - Style2" xfId="1444" xr:uid="{00000000-0005-0000-0000-0000A0010000}"/>
    <cellStyle name="Comma  - Style3" xfId="1445" xr:uid="{00000000-0005-0000-0000-0000A1010000}"/>
    <cellStyle name="Comma  - Style4" xfId="1446" xr:uid="{00000000-0005-0000-0000-0000A2010000}"/>
    <cellStyle name="Comma  - Style5" xfId="1447" xr:uid="{00000000-0005-0000-0000-0000A3010000}"/>
    <cellStyle name="Comma  - Style6" xfId="1448" xr:uid="{00000000-0005-0000-0000-0000A4010000}"/>
    <cellStyle name="Comma  - Style7" xfId="1449" xr:uid="{00000000-0005-0000-0000-0000A5010000}"/>
    <cellStyle name="Comma  - Style8" xfId="1450" xr:uid="{00000000-0005-0000-0000-0000A6010000}"/>
    <cellStyle name="Comma [0] 2" xfId="272" xr:uid="{00000000-0005-0000-0000-0000A7010000}"/>
    <cellStyle name="Comma [0] 2 2" xfId="273" xr:uid="{00000000-0005-0000-0000-0000A8010000}"/>
    <cellStyle name="Comma [0] 2 2 2" xfId="274" xr:uid="{00000000-0005-0000-0000-0000A9010000}"/>
    <cellStyle name="Comma [0] 2 2 2 10" xfId="275" xr:uid="{00000000-0005-0000-0000-0000AA010000}"/>
    <cellStyle name="Comma [0] 2 2 2 10 2" xfId="1451" xr:uid="{00000000-0005-0000-0000-0000AB010000}"/>
    <cellStyle name="Comma [0] 2 2 2 11" xfId="276" xr:uid="{00000000-0005-0000-0000-0000AC010000}"/>
    <cellStyle name="Comma [0] 2 2 2 11 2" xfId="1452" xr:uid="{00000000-0005-0000-0000-0000AD010000}"/>
    <cellStyle name="Comma [0] 2 2 2 12" xfId="277" xr:uid="{00000000-0005-0000-0000-0000AE010000}"/>
    <cellStyle name="Comma [0] 2 2 2 12 2" xfId="1454" xr:uid="{00000000-0005-0000-0000-0000AF010000}"/>
    <cellStyle name="Comma [0] 2 2 2 12 3" xfId="1453" xr:uid="{00000000-0005-0000-0000-0000B0010000}"/>
    <cellStyle name="Comma [0] 2 2 2 13" xfId="278" xr:uid="{00000000-0005-0000-0000-0000B1010000}"/>
    <cellStyle name="Comma [0] 2 2 2 13 2" xfId="1456" xr:uid="{00000000-0005-0000-0000-0000B2010000}"/>
    <cellStyle name="Comma [0] 2 2 2 13 3" xfId="1455" xr:uid="{00000000-0005-0000-0000-0000B3010000}"/>
    <cellStyle name="Comma [0] 2 2 2 14" xfId="279" xr:uid="{00000000-0005-0000-0000-0000B4010000}"/>
    <cellStyle name="Comma [0] 2 2 2 14 2" xfId="1458" xr:uid="{00000000-0005-0000-0000-0000B5010000}"/>
    <cellStyle name="Comma [0] 2 2 2 14 3" xfId="1457" xr:uid="{00000000-0005-0000-0000-0000B6010000}"/>
    <cellStyle name="Comma [0] 2 2 2 15" xfId="1459" xr:uid="{00000000-0005-0000-0000-0000B7010000}"/>
    <cellStyle name="Comma [0] 2 2 2 2" xfId="280" xr:uid="{00000000-0005-0000-0000-0000B8010000}"/>
    <cellStyle name="Comma [0] 2 2 2 2 2" xfId="1460" xr:uid="{00000000-0005-0000-0000-0000B9010000}"/>
    <cellStyle name="Comma [0] 2 2 2 3" xfId="281" xr:uid="{00000000-0005-0000-0000-0000BA010000}"/>
    <cellStyle name="Comma [0] 2 2 2 3 2" xfId="1461" xr:uid="{00000000-0005-0000-0000-0000BB010000}"/>
    <cellStyle name="Comma [0] 2 2 2 4" xfId="282" xr:uid="{00000000-0005-0000-0000-0000BC010000}"/>
    <cellStyle name="Comma [0] 2 2 2 4 2" xfId="1462" xr:uid="{00000000-0005-0000-0000-0000BD010000}"/>
    <cellStyle name="Comma [0] 2 2 2 5" xfId="283" xr:uid="{00000000-0005-0000-0000-0000BE010000}"/>
    <cellStyle name="Comma [0] 2 2 2 5 2" xfId="1463" xr:uid="{00000000-0005-0000-0000-0000BF010000}"/>
    <cellStyle name="Comma [0] 2 2 2 6" xfId="284" xr:uid="{00000000-0005-0000-0000-0000C0010000}"/>
    <cellStyle name="Comma [0] 2 2 2 6 2" xfId="1464" xr:uid="{00000000-0005-0000-0000-0000C1010000}"/>
    <cellStyle name="Comma [0] 2 2 2 7" xfId="285" xr:uid="{00000000-0005-0000-0000-0000C2010000}"/>
    <cellStyle name="Comma [0] 2 2 2 7 2" xfId="1465" xr:uid="{00000000-0005-0000-0000-0000C3010000}"/>
    <cellStyle name="Comma [0] 2 2 2 8" xfId="286" xr:uid="{00000000-0005-0000-0000-0000C4010000}"/>
    <cellStyle name="Comma [0] 2 2 2 8 2" xfId="1466" xr:uid="{00000000-0005-0000-0000-0000C5010000}"/>
    <cellStyle name="Comma [0] 2 2 2 9" xfId="287" xr:uid="{00000000-0005-0000-0000-0000C6010000}"/>
    <cellStyle name="Comma [0] 2 2 2 9 2" xfId="1467" xr:uid="{00000000-0005-0000-0000-0000C7010000}"/>
    <cellStyle name="Comma [0] 2 2 3" xfId="288" xr:uid="{00000000-0005-0000-0000-0000C8010000}"/>
    <cellStyle name="Comma [0] 2 2 3 10" xfId="289" xr:uid="{00000000-0005-0000-0000-0000C9010000}"/>
    <cellStyle name="Comma [0] 2 2 3 10 2" xfId="1468" xr:uid="{00000000-0005-0000-0000-0000CA010000}"/>
    <cellStyle name="Comma [0] 2 2 3 11" xfId="1469" xr:uid="{00000000-0005-0000-0000-0000CB010000}"/>
    <cellStyle name="Comma [0] 2 2 3 2" xfId="290" xr:uid="{00000000-0005-0000-0000-0000CC010000}"/>
    <cellStyle name="Comma [0] 2 2 3 2 2" xfId="291" xr:uid="{00000000-0005-0000-0000-0000CD010000}"/>
    <cellStyle name="Comma [0] 2 2 3 2 2 2" xfId="1470" xr:uid="{00000000-0005-0000-0000-0000CE010000}"/>
    <cellStyle name="Comma [0] 2 2 3 2 3" xfId="1471" xr:uid="{00000000-0005-0000-0000-0000CF010000}"/>
    <cellStyle name="Comma [0] 2 2 3 3" xfId="292" xr:uid="{00000000-0005-0000-0000-0000D0010000}"/>
    <cellStyle name="Comma [0] 2 2 3 3 2" xfId="1472" xr:uid="{00000000-0005-0000-0000-0000D1010000}"/>
    <cellStyle name="Comma [0] 2 2 3 4" xfId="293" xr:uid="{00000000-0005-0000-0000-0000D2010000}"/>
    <cellStyle name="Comma [0] 2 2 3 4 2" xfId="1473" xr:uid="{00000000-0005-0000-0000-0000D3010000}"/>
    <cellStyle name="Comma [0] 2 2 3 5" xfId="294" xr:uid="{00000000-0005-0000-0000-0000D4010000}"/>
    <cellStyle name="Comma [0] 2 2 3 5 2" xfId="1474" xr:uid="{00000000-0005-0000-0000-0000D5010000}"/>
    <cellStyle name="Comma [0] 2 2 3 6" xfId="295" xr:uid="{00000000-0005-0000-0000-0000D6010000}"/>
    <cellStyle name="Comma [0] 2 2 3 6 2" xfId="1475" xr:uid="{00000000-0005-0000-0000-0000D7010000}"/>
    <cellStyle name="Comma [0] 2 2 3 7" xfId="296" xr:uid="{00000000-0005-0000-0000-0000D8010000}"/>
    <cellStyle name="Comma [0] 2 2 3 7 2" xfId="1476" xr:uid="{00000000-0005-0000-0000-0000D9010000}"/>
    <cellStyle name="Comma [0] 2 2 3 8" xfId="297" xr:uid="{00000000-0005-0000-0000-0000DA010000}"/>
    <cellStyle name="Comma [0] 2 2 3 8 2" xfId="1477" xr:uid="{00000000-0005-0000-0000-0000DB010000}"/>
    <cellStyle name="Comma [0] 2 2 3 9" xfId="298" xr:uid="{00000000-0005-0000-0000-0000DC010000}"/>
    <cellStyle name="Comma [0] 2 2 3 9 2" xfId="1478" xr:uid="{00000000-0005-0000-0000-0000DD010000}"/>
    <cellStyle name="Comma [0] 2 2 4" xfId="1479" xr:uid="{00000000-0005-0000-0000-0000DE010000}"/>
    <cellStyle name="Comma [0] 2 3" xfId="1480" xr:uid="{00000000-0005-0000-0000-0000DF010000}"/>
    <cellStyle name="Comma [00]" xfId="1481" xr:uid="{00000000-0005-0000-0000-0000E0010000}"/>
    <cellStyle name="Comma [00] 2" xfId="1482" xr:uid="{00000000-0005-0000-0000-0000E1010000}"/>
    <cellStyle name="Comma 2" xfId="299" xr:uid="{00000000-0005-0000-0000-0000E2010000}"/>
    <cellStyle name="Comma 2 2" xfId="300" xr:uid="{00000000-0005-0000-0000-0000E3010000}"/>
    <cellStyle name="Comma 2 2 2" xfId="301" xr:uid="{00000000-0005-0000-0000-0000E4010000}"/>
    <cellStyle name="Comma 2 2 2 2" xfId="1485" xr:uid="{00000000-0005-0000-0000-0000E5010000}"/>
    <cellStyle name="Comma 2 2 3" xfId="302" xr:uid="{00000000-0005-0000-0000-0000E6010000}"/>
    <cellStyle name="Comma 2 2 3 2" xfId="1486" xr:uid="{00000000-0005-0000-0000-0000E7010000}"/>
    <cellStyle name="Comma 2 2 4" xfId="1487" xr:uid="{00000000-0005-0000-0000-0000E8010000}"/>
    <cellStyle name="Comma 2 2 5" xfId="1484" xr:uid="{00000000-0005-0000-0000-0000E9010000}"/>
    <cellStyle name="Comma 2 3" xfId="303" xr:uid="{00000000-0005-0000-0000-0000EA010000}"/>
    <cellStyle name="Comma 2 3 2" xfId="304" xr:uid="{00000000-0005-0000-0000-0000EB010000}"/>
    <cellStyle name="Comma 2 3 2 2" xfId="1489" xr:uid="{00000000-0005-0000-0000-0000EC010000}"/>
    <cellStyle name="Comma 2 3 3" xfId="305" xr:uid="{00000000-0005-0000-0000-0000ED010000}"/>
    <cellStyle name="Comma 2 3 3 2" xfId="1490" xr:uid="{00000000-0005-0000-0000-0000EE010000}"/>
    <cellStyle name="Comma 2 3 4" xfId="1491" xr:uid="{00000000-0005-0000-0000-0000EF010000}"/>
    <cellStyle name="Comma 2 3 5" xfId="1488" xr:uid="{00000000-0005-0000-0000-0000F0010000}"/>
    <cellStyle name="Comma 2 4" xfId="306" xr:uid="{00000000-0005-0000-0000-0000F1010000}"/>
    <cellStyle name="Comma 2 4 2" xfId="307" xr:uid="{00000000-0005-0000-0000-0000F2010000}"/>
    <cellStyle name="Comma 2 4 2 2" xfId="1493" xr:uid="{00000000-0005-0000-0000-0000F3010000}"/>
    <cellStyle name="Comma 2 4 3" xfId="308" xr:uid="{00000000-0005-0000-0000-0000F4010000}"/>
    <cellStyle name="Comma 2 4 3 2" xfId="1494" xr:uid="{00000000-0005-0000-0000-0000F5010000}"/>
    <cellStyle name="Comma 2 4 4" xfId="1495" xr:uid="{00000000-0005-0000-0000-0000F6010000}"/>
    <cellStyle name="Comma 2 4 5" xfId="1492" xr:uid="{00000000-0005-0000-0000-0000F7010000}"/>
    <cellStyle name="Comma 2 5" xfId="309" xr:uid="{00000000-0005-0000-0000-0000F8010000}"/>
    <cellStyle name="Comma 2 5 2" xfId="310" xr:uid="{00000000-0005-0000-0000-0000F9010000}"/>
    <cellStyle name="Comma 2 5 2 2" xfId="1497" xr:uid="{00000000-0005-0000-0000-0000FA010000}"/>
    <cellStyle name="Comma 2 5 3" xfId="311" xr:uid="{00000000-0005-0000-0000-0000FB010000}"/>
    <cellStyle name="Comma 2 5 3 2" xfId="1498" xr:uid="{00000000-0005-0000-0000-0000FC010000}"/>
    <cellStyle name="Comma 2 5 4" xfId="1499" xr:uid="{00000000-0005-0000-0000-0000FD010000}"/>
    <cellStyle name="Comma 2 5 5" xfId="1496" xr:uid="{00000000-0005-0000-0000-0000FE010000}"/>
    <cellStyle name="Comma 2 6" xfId="312" xr:uid="{00000000-0005-0000-0000-0000FF010000}"/>
    <cellStyle name="Comma 2 6 2" xfId="313" xr:uid="{00000000-0005-0000-0000-000000020000}"/>
    <cellStyle name="Comma 2 6 2 2" xfId="1501" xr:uid="{00000000-0005-0000-0000-000001020000}"/>
    <cellStyle name="Comma 2 6 3" xfId="314" xr:uid="{00000000-0005-0000-0000-000002020000}"/>
    <cellStyle name="Comma 2 6 3 2" xfId="1502" xr:uid="{00000000-0005-0000-0000-000003020000}"/>
    <cellStyle name="Comma 2 6 4" xfId="1503" xr:uid="{00000000-0005-0000-0000-000004020000}"/>
    <cellStyle name="Comma 2 6 5" xfId="1500" xr:uid="{00000000-0005-0000-0000-000005020000}"/>
    <cellStyle name="Comma 2 7" xfId="315" xr:uid="{00000000-0005-0000-0000-000006020000}"/>
    <cellStyle name="Comma 2 7 2" xfId="316" xr:uid="{00000000-0005-0000-0000-000007020000}"/>
    <cellStyle name="Comma 2 7 2 2" xfId="1505" xr:uid="{00000000-0005-0000-0000-000008020000}"/>
    <cellStyle name="Comma 2 7 3" xfId="317" xr:uid="{00000000-0005-0000-0000-000009020000}"/>
    <cellStyle name="Comma 2 7 3 2" xfId="1506" xr:uid="{00000000-0005-0000-0000-00000A020000}"/>
    <cellStyle name="Comma 2 7 4" xfId="318" xr:uid="{00000000-0005-0000-0000-00000B020000}"/>
    <cellStyle name="Comma 2 7 4 2" xfId="1507" xr:uid="{00000000-0005-0000-0000-00000C020000}"/>
    <cellStyle name="Comma 2 7 5" xfId="319" xr:uid="{00000000-0005-0000-0000-00000D020000}"/>
    <cellStyle name="Comma 2 7 5 2" xfId="1508" xr:uid="{00000000-0005-0000-0000-00000E020000}"/>
    <cellStyle name="Comma 2 7 6" xfId="320" xr:uid="{00000000-0005-0000-0000-00000F020000}"/>
    <cellStyle name="Comma 2 7 6 2" xfId="1509" xr:uid="{00000000-0005-0000-0000-000010020000}"/>
    <cellStyle name="Comma 2 7 7" xfId="1510" xr:uid="{00000000-0005-0000-0000-000011020000}"/>
    <cellStyle name="Comma 2 7 8" xfId="1504" xr:uid="{00000000-0005-0000-0000-000012020000}"/>
    <cellStyle name="Comma 2 8" xfId="321" xr:uid="{00000000-0005-0000-0000-000013020000}"/>
    <cellStyle name="Comma 2 8 2" xfId="322" xr:uid="{00000000-0005-0000-0000-000014020000}"/>
    <cellStyle name="Comma 2 8 2 2" xfId="1512" xr:uid="{00000000-0005-0000-0000-000015020000}"/>
    <cellStyle name="Comma 2 8 3" xfId="323" xr:uid="{00000000-0005-0000-0000-000016020000}"/>
    <cellStyle name="Comma 2 8 3 2" xfId="1513" xr:uid="{00000000-0005-0000-0000-000017020000}"/>
    <cellStyle name="Comma 2 8 4" xfId="1514" xr:uid="{00000000-0005-0000-0000-000018020000}"/>
    <cellStyle name="Comma 2 8 5" xfId="1511" xr:uid="{00000000-0005-0000-0000-000019020000}"/>
    <cellStyle name="Comma 2 9" xfId="1483" xr:uid="{00000000-0005-0000-0000-00001A020000}"/>
    <cellStyle name="Comma 3" xfId="324" xr:uid="{00000000-0005-0000-0000-00001B020000}"/>
    <cellStyle name="Comma 3 2" xfId="325" xr:uid="{00000000-0005-0000-0000-00001C020000}"/>
    <cellStyle name="Comma 3 2 2" xfId="1516" xr:uid="{00000000-0005-0000-0000-00001D020000}"/>
    <cellStyle name="Comma 3 3" xfId="1517" xr:uid="{00000000-0005-0000-0000-00001E020000}"/>
    <cellStyle name="Comma 3 4" xfId="1515" xr:uid="{00000000-0005-0000-0000-00001F020000}"/>
    <cellStyle name="Comma 8" xfId="326" xr:uid="{00000000-0005-0000-0000-000020020000}"/>
    <cellStyle name="Comma 8 2" xfId="327" xr:uid="{00000000-0005-0000-0000-000021020000}"/>
    <cellStyle name="Comma 8 2 2" xfId="1519" xr:uid="{00000000-0005-0000-0000-000022020000}"/>
    <cellStyle name="Comma 8 3" xfId="328" xr:uid="{00000000-0005-0000-0000-000023020000}"/>
    <cellStyle name="Comma 8 3 2" xfId="1520" xr:uid="{00000000-0005-0000-0000-000024020000}"/>
    <cellStyle name="Comma 8 4" xfId="329" xr:uid="{00000000-0005-0000-0000-000025020000}"/>
    <cellStyle name="Comma 8 4 2" xfId="1521" xr:uid="{00000000-0005-0000-0000-000026020000}"/>
    <cellStyle name="Comma 8 5" xfId="1518" xr:uid="{00000000-0005-0000-0000-000027020000}"/>
    <cellStyle name="COMMA_Serviço por económica 2014_20131212" xfId="1522" xr:uid="{00000000-0005-0000-0000-000028020000}"/>
    <cellStyle name="Comma0" xfId="330" xr:uid="{00000000-0005-0000-0000-000029020000}"/>
    <cellStyle name="Comma0 2" xfId="1523" xr:uid="{00000000-0005-0000-0000-00002A020000}"/>
    <cellStyle name="Cor1 2" xfId="331" xr:uid="{00000000-0005-0000-0000-00002B020000}"/>
    <cellStyle name="Cor1 3" xfId="332" xr:uid="{00000000-0005-0000-0000-00002C020000}"/>
    <cellStyle name="Cor1 4" xfId="333" xr:uid="{00000000-0005-0000-0000-00002D020000}"/>
    <cellStyle name="Cor2 2" xfId="334" xr:uid="{00000000-0005-0000-0000-00002E020000}"/>
    <cellStyle name="Cor2 3" xfId="335" xr:uid="{00000000-0005-0000-0000-00002F020000}"/>
    <cellStyle name="Cor2 4" xfId="336" xr:uid="{00000000-0005-0000-0000-000030020000}"/>
    <cellStyle name="Cor3 2" xfId="337" xr:uid="{00000000-0005-0000-0000-000031020000}"/>
    <cellStyle name="Cor3 3" xfId="338" xr:uid="{00000000-0005-0000-0000-000032020000}"/>
    <cellStyle name="Cor3 4" xfId="339" xr:uid="{00000000-0005-0000-0000-000033020000}"/>
    <cellStyle name="Cor4 2" xfId="340" xr:uid="{00000000-0005-0000-0000-000034020000}"/>
    <cellStyle name="Cor4 3" xfId="341" xr:uid="{00000000-0005-0000-0000-000035020000}"/>
    <cellStyle name="Cor4 4" xfId="342" xr:uid="{00000000-0005-0000-0000-000036020000}"/>
    <cellStyle name="Cor5 2" xfId="343" xr:uid="{00000000-0005-0000-0000-000037020000}"/>
    <cellStyle name="Cor5 3" xfId="344" xr:uid="{00000000-0005-0000-0000-000038020000}"/>
    <cellStyle name="Cor5 4" xfId="345" xr:uid="{00000000-0005-0000-0000-000039020000}"/>
    <cellStyle name="Cor6 2" xfId="346" xr:uid="{00000000-0005-0000-0000-00003A020000}"/>
    <cellStyle name="Cor6 3" xfId="347" xr:uid="{00000000-0005-0000-0000-00003B020000}"/>
    <cellStyle name="Cor6 4" xfId="348" xr:uid="{00000000-0005-0000-0000-00003C020000}"/>
    <cellStyle name="Correcto 10" xfId="349" xr:uid="{00000000-0005-0000-0000-00003D020000}"/>
    <cellStyle name="Correcto 10 2" xfId="1524" xr:uid="{00000000-0005-0000-0000-00003E020000}"/>
    <cellStyle name="Correcto 11" xfId="350" xr:uid="{00000000-0005-0000-0000-00003F020000}"/>
    <cellStyle name="Correcto 11 2" xfId="1525" xr:uid="{00000000-0005-0000-0000-000040020000}"/>
    <cellStyle name="Correcto 2" xfId="351" xr:uid="{00000000-0005-0000-0000-000041020000}"/>
    <cellStyle name="Correcto 2 10" xfId="352" xr:uid="{00000000-0005-0000-0000-000042020000}"/>
    <cellStyle name="Correcto 2 11" xfId="353" xr:uid="{00000000-0005-0000-0000-000043020000}"/>
    <cellStyle name="Correcto 2 12" xfId="354" xr:uid="{00000000-0005-0000-0000-000044020000}"/>
    <cellStyle name="Correcto 2 2" xfId="355" xr:uid="{00000000-0005-0000-0000-000045020000}"/>
    <cellStyle name="Correcto 2 3" xfId="356" xr:uid="{00000000-0005-0000-0000-000046020000}"/>
    <cellStyle name="Correcto 2 4" xfId="357" xr:uid="{00000000-0005-0000-0000-000047020000}"/>
    <cellStyle name="Correcto 2 5" xfId="358" xr:uid="{00000000-0005-0000-0000-000048020000}"/>
    <cellStyle name="Correcto 2 6" xfId="359" xr:uid="{00000000-0005-0000-0000-000049020000}"/>
    <cellStyle name="Correcto 2 7" xfId="360" xr:uid="{00000000-0005-0000-0000-00004A020000}"/>
    <cellStyle name="Correcto 2 8" xfId="361" xr:uid="{00000000-0005-0000-0000-00004B020000}"/>
    <cellStyle name="Correcto 2 9" xfId="362" xr:uid="{00000000-0005-0000-0000-00004C020000}"/>
    <cellStyle name="Correcto 2_DGO" xfId="1526" xr:uid="{00000000-0005-0000-0000-00004D020000}"/>
    <cellStyle name="Correcto 3" xfId="363" xr:uid="{00000000-0005-0000-0000-00004E020000}"/>
    <cellStyle name="Correcto 4" xfId="364" xr:uid="{00000000-0005-0000-0000-00004F020000}"/>
    <cellStyle name="Correcto 5" xfId="365" xr:uid="{00000000-0005-0000-0000-000050020000}"/>
    <cellStyle name="Correcto 5 2" xfId="1527" xr:uid="{00000000-0005-0000-0000-000051020000}"/>
    <cellStyle name="Correcto 6" xfId="366" xr:uid="{00000000-0005-0000-0000-000052020000}"/>
    <cellStyle name="Correcto 6 2" xfId="1528" xr:uid="{00000000-0005-0000-0000-000053020000}"/>
    <cellStyle name="Correcto 7" xfId="367" xr:uid="{00000000-0005-0000-0000-000054020000}"/>
    <cellStyle name="Correcto 7 2" xfId="1529" xr:uid="{00000000-0005-0000-0000-000055020000}"/>
    <cellStyle name="Correcto 8" xfId="368" xr:uid="{00000000-0005-0000-0000-000056020000}"/>
    <cellStyle name="Correcto 8 2" xfId="1530" xr:uid="{00000000-0005-0000-0000-000057020000}"/>
    <cellStyle name="Correcto 9" xfId="369" xr:uid="{00000000-0005-0000-0000-000058020000}"/>
    <cellStyle name="Correcto 9 2" xfId="1531" xr:uid="{00000000-0005-0000-0000-000059020000}"/>
    <cellStyle name="CURRENCY" xfId="370" xr:uid="{00000000-0005-0000-0000-00005A020000}"/>
    <cellStyle name="Currency [00]" xfId="1532" xr:uid="{00000000-0005-0000-0000-00005B020000}"/>
    <cellStyle name="Currency [00] 2" xfId="1533" xr:uid="{00000000-0005-0000-0000-00005C020000}"/>
    <cellStyle name="Currency [2]" xfId="371" xr:uid="{00000000-0005-0000-0000-00005D020000}"/>
    <cellStyle name="Currency [2] 2" xfId="1534" xr:uid="{00000000-0005-0000-0000-00005E020000}"/>
    <cellStyle name="Currency 2" xfId="372" xr:uid="{00000000-0005-0000-0000-00005F020000}"/>
    <cellStyle name="Currency 2 10" xfId="373" xr:uid="{00000000-0005-0000-0000-000060020000}"/>
    <cellStyle name="Currency 2 10 2" xfId="1536" xr:uid="{00000000-0005-0000-0000-000061020000}"/>
    <cellStyle name="Currency 2 11" xfId="1537" xr:uid="{00000000-0005-0000-0000-000062020000}"/>
    <cellStyle name="Currency 2 12" xfId="1535" xr:uid="{00000000-0005-0000-0000-000063020000}"/>
    <cellStyle name="Currency 2 2" xfId="374" xr:uid="{00000000-0005-0000-0000-000064020000}"/>
    <cellStyle name="Currency 2 2 2" xfId="375" xr:uid="{00000000-0005-0000-0000-000065020000}"/>
    <cellStyle name="Currency 2 2 2 2" xfId="1539" xr:uid="{00000000-0005-0000-0000-000066020000}"/>
    <cellStyle name="Currency 2 2 3" xfId="376" xr:uid="{00000000-0005-0000-0000-000067020000}"/>
    <cellStyle name="Currency 2 2 3 2" xfId="1540" xr:uid="{00000000-0005-0000-0000-000068020000}"/>
    <cellStyle name="Currency 2 2 4" xfId="1541" xr:uid="{00000000-0005-0000-0000-000069020000}"/>
    <cellStyle name="Currency 2 2 5" xfId="1538" xr:uid="{00000000-0005-0000-0000-00006A020000}"/>
    <cellStyle name="Currency 2 3" xfId="377" xr:uid="{00000000-0005-0000-0000-00006B020000}"/>
    <cellStyle name="Currency 2 3 2" xfId="378" xr:uid="{00000000-0005-0000-0000-00006C020000}"/>
    <cellStyle name="Currency 2 3 2 2" xfId="1543" xr:uid="{00000000-0005-0000-0000-00006D020000}"/>
    <cellStyle name="Currency 2 3 3" xfId="379" xr:uid="{00000000-0005-0000-0000-00006E020000}"/>
    <cellStyle name="Currency 2 3 3 2" xfId="1544" xr:uid="{00000000-0005-0000-0000-00006F020000}"/>
    <cellStyle name="Currency 2 3 4" xfId="1545" xr:uid="{00000000-0005-0000-0000-000070020000}"/>
    <cellStyle name="Currency 2 3 5" xfId="1542" xr:uid="{00000000-0005-0000-0000-000071020000}"/>
    <cellStyle name="Currency 2 4" xfId="380" xr:uid="{00000000-0005-0000-0000-000072020000}"/>
    <cellStyle name="Currency 2 4 2" xfId="381" xr:uid="{00000000-0005-0000-0000-000073020000}"/>
    <cellStyle name="Currency 2 4 2 2" xfId="1547" xr:uid="{00000000-0005-0000-0000-000074020000}"/>
    <cellStyle name="Currency 2 4 3" xfId="382" xr:uid="{00000000-0005-0000-0000-000075020000}"/>
    <cellStyle name="Currency 2 4 3 2" xfId="1548" xr:uid="{00000000-0005-0000-0000-000076020000}"/>
    <cellStyle name="Currency 2 4 4" xfId="1549" xr:uid="{00000000-0005-0000-0000-000077020000}"/>
    <cellStyle name="Currency 2 4 5" xfId="1546" xr:uid="{00000000-0005-0000-0000-000078020000}"/>
    <cellStyle name="Currency 2 5" xfId="383" xr:uid="{00000000-0005-0000-0000-000079020000}"/>
    <cellStyle name="Currency 2 5 2" xfId="384" xr:uid="{00000000-0005-0000-0000-00007A020000}"/>
    <cellStyle name="Currency 2 5 2 2" xfId="1551" xr:uid="{00000000-0005-0000-0000-00007B020000}"/>
    <cellStyle name="Currency 2 5 3" xfId="385" xr:uid="{00000000-0005-0000-0000-00007C020000}"/>
    <cellStyle name="Currency 2 5 3 2" xfId="1552" xr:uid="{00000000-0005-0000-0000-00007D020000}"/>
    <cellStyle name="Currency 2 5 4" xfId="1553" xr:uid="{00000000-0005-0000-0000-00007E020000}"/>
    <cellStyle name="Currency 2 5 5" xfId="1550" xr:uid="{00000000-0005-0000-0000-00007F020000}"/>
    <cellStyle name="Currency 2 6" xfId="386" xr:uid="{00000000-0005-0000-0000-000080020000}"/>
    <cellStyle name="Currency 2 6 2" xfId="387" xr:uid="{00000000-0005-0000-0000-000081020000}"/>
    <cellStyle name="Currency 2 6 2 2" xfId="1555" xr:uid="{00000000-0005-0000-0000-000082020000}"/>
    <cellStyle name="Currency 2 6 3" xfId="388" xr:uid="{00000000-0005-0000-0000-000083020000}"/>
    <cellStyle name="Currency 2 6 3 2" xfId="1556" xr:uid="{00000000-0005-0000-0000-000084020000}"/>
    <cellStyle name="Currency 2 6 4" xfId="1557" xr:uid="{00000000-0005-0000-0000-000085020000}"/>
    <cellStyle name="Currency 2 6 5" xfId="1554" xr:uid="{00000000-0005-0000-0000-000086020000}"/>
    <cellStyle name="Currency 2 7" xfId="389" xr:uid="{00000000-0005-0000-0000-000087020000}"/>
    <cellStyle name="Currency 2 7 2" xfId="390" xr:uid="{00000000-0005-0000-0000-000088020000}"/>
    <cellStyle name="Currency 2 7 2 2" xfId="1559" xr:uid="{00000000-0005-0000-0000-000089020000}"/>
    <cellStyle name="Currency 2 7 3" xfId="391" xr:uid="{00000000-0005-0000-0000-00008A020000}"/>
    <cellStyle name="Currency 2 7 3 2" xfId="1560" xr:uid="{00000000-0005-0000-0000-00008B020000}"/>
    <cellStyle name="Currency 2 7 4" xfId="1561" xr:uid="{00000000-0005-0000-0000-00008C020000}"/>
    <cellStyle name="Currency 2 7 5" xfId="1558" xr:uid="{00000000-0005-0000-0000-00008D020000}"/>
    <cellStyle name="Currency 2 8" xfId="392" xr:uid="{00000000-0005-0000-0000-00008E020000}"/>
    <cellStyle name="Currency 2 8 2" xfId="393" xr:uid="{00000000-0005-0000-0000-00008F020000}"/>
    <cellStyle name="Currency 2 8 2 2" xfId="1563" xr:uid="{00000000-0005-0000-0000-000090020000}"/>
    <cellStyle name="Currency 2 8 3" xfId="394" xr:uid="{00000000-0005-0000-0000-000091020000}"/>
    <cellStyle name="Currency 2 8 3 2" xfId="1564" xr:uid="{00000000-0005-0000-0000-000092020000}"/>
    <cellStyle name="Currency 2 8 4" xfId="1565" xr:uid="{00000000-0005-0000-0000-000093020000}"/>
    <cellStyle name="Currency 2 8 5" xfId="1562" xr:uid="{00000000-0005-0000-0000-000094020000}"/>
    <cellStyle name="Currency 2 9" xfId="395" xr:uid="{00000000-0005-0000-0000-000095020000}"/>
    <cellStyle name="Currency 2 9 2" xfId="1566" xr:uid="{00000000-0005-0000-0000-000096020000}"/>
    <cellStyle name="Currency0" xfId="396" xr:uid="{00000000-0005-0000-0000-000097020000}"/>
    <cellStyle name="Currency0 2" xfId="1567" xr:uid="{00000000-0005-0000-0000-000098020000}"/>
    <cellStyle name="DATE" xfId="397" xr:uid="{00000000-0005-0000-0000-000099020000}"/>
    <cellStyle name="Date [mmm-yy]" xfId="398" xr:uid="{00000000-0005-0000-0000-00009A020000}"/>
    <cellStyle name="Date Short" xfId="1568" xr:uid="{00000000-0005-0000-0000-00009B020000}"/>
    <cellStyle name="Date_Copiar de Saldos" xfId="1569" xr:uid="{00000000-0005-0000-0000-00009C020000}"/>
    <cellStyle name="dsf" xfId="399" xr:uid="{00000000-0005-0000-0000-00009D020000}"/>
    <cellStyle name="dsf 2" xfId="400" xr:uid="{00000000-0005-0000-0000-00009E020000}"/>
    <cellStyle name="Emphasis 1" xfId="401" xr:uid="{00000000-0005-0000-0000-00009F020000}"/>
    <cellStyle name="Emphasis 2" xfId="402" xr:uid="{00000000-0005-0000-0000-0000A0020000}"/>
    <cellStyle name="Emphasis 3" xfId="403" xr:uid="{00000000-0005-0000-0000-0000A1020000}"/>
    <cellStyle name="Ênfase1" xfId="1570" xr:uid="{00000000-0005-0000-0000-0000A2020000}"/>
    <cellStyle name="Ênfase2" xfId="1571" xr:uid="{00000000-0005-0000-0000-0000A3020000}"/>
    <cellStyle name="Ênfase3" xfId="1572" xr:uid="{00000000-0005-0000-0000-0000A4020000}"/>
    <cellStyle name="Ênfase4" xfId="1573" xr:uid="{00000000-0005-0000-0000-0000A5020000}"/>
    <cellStyle name="Ênfase5" xfId="1574" xr:uid="{00000000-0005-0000-0000-0000A6020000}"/>
    <cellStyle name="Ênfase6" xfId="1575" xr:uid="{00000000-0005-0000-0000-0000A7020000}"/>
    <cellStyle name="Enter Currency (0)" xfId="1576" xr:uid="{00000000-0005-0000-0000-0000A8020000}"/>
    <cellStyle name="Enter Currency (2)" xfId="1577" xr:uid="{00000000-0005-0000-0000-0000A9020000}"/>
    <cellStyle name="Enter Units (0)" xfId="1578" xr:uid="{00000000-0005-0000-0000-0000AA020000}"/>
    <cellStyle name="Enter Units (1)" xfId="1579" xr:uid="{00000000-0005-0000-0000-0000AB020000}"/>
    <cellStyle name="Enter Units (2)" xfId="1580" xr:uid="{00000000-0005-0000-0000-0000AC020000}"/>
    <cellStyle name="Entrada 10" xfId="404" xr:uid="{00000000-0005-0000-0000-0000AD020000}"/>
    <cellStyle name="Entrada 10 2" xfId="1581" xr:uid="{00000000-0005-0000-0000-0000AE020000}"/>
    <cellStyle name="Entrada 11" xfId="405" xr:uid="{00000000-0005-0000-0000-0000AF020000}"/>
    <cellStyle name="Entrada 11 2" xfId="1582" xr:uid="{00000000-0005-0000-0000-0000B0020000}"/>
    <cellStyle name="Entrada 2" xfId="406" xr:uid="{00000000-0005-0000-0000-0000B1020000}"/>
    <cellStyle name="Entrada 2 10" xfId="407" xr:uid="{00000000-0005-0000-0000-0000B2020000}"/>
    <cellStyle name="Entrada 2 11" xfId="408" xr:uid="{00000000-0005-0000-0000-0000B3020000}"/>
    <cellStyle name="Entrada 2 12" xfId="409" xr:uid="{00000000-0005-0000-0000-0000B4020000}"/>
    <cellStyle name="Entrada 2 13" xfId="410" xr:uid="{00000000-0005-0000-0000-0000B5020000}"/>
    <cellStyle name="Entrada 2 2" xfId="411" xr:uid="{00000000-0005-0000-0000-0000B6020000}"/>
    <cellStyle name="Entrada 2 3" xfId="412" xr:uid="{00000000-0005-0000-0000-0000B7020000}"/>
    <cellStyle name="Entrada 2 4" xfId="413" xr:uid="{00000000-0005-0000-0000-0000B8020000}"/>
    <cellStyle name="Entrada 2 5" xfId="414" xr:uid="{00000000-0005-0000-0000-0000B9020000}"/>
    <cellStyle name="Entrada 2 6" xfId="415" xr:uid="{00000000-0005-0000-0000-0000BA020000}"/>
    <cellStyle name="Entrada 2 7" xfId="416" xr:uid="{00000000-0005-0000-0000-0000BB020000}"/>
    <cellStyle name="Entrada 2 8" xfId="417" xr:uid="{00000000-0005-0000-0000-0000BC020000}"/>
    <cellStyle name="Entrada 2 9" xfId="418" xr:uid="{00000000-0005-0000-0000-0000BD020000}"/>
    <cellStyle name="Entrada 2_DGO" xfId="1583" xr:uid="{00000000-0005-0000-0000-0000BE020000}"/>
    <cellStyle name="Entrada 3" xfId="419" xr:uid="{00000000-0005-0000-0000-0000BF020000}"/>
    <cellStyle name="Entrada 4" xfId="420" xr:uid="{00000000-0005-0000-0000-0000C0020000}"/>
    <cellStyle name="Entrada 5" xfId="421" xr:uid="{00000000-0005-0000-0000-0000C1020000}"/>
    <cellStyle name="Entrada 5 2" xfId="1584" xr:uid="{00000000-0005-0000-0000-0000C2020000}"/>
    <cellStyle name="Entrada 6" xfId="422" xr:uid="{00000000-0005-0000-0000-0000C3020000}"/>
    <cellStyle name="Entrada 6 2" xfId="1585" xr:uid="{00000000-0005-0000-0000-0000C4020000}"/>
    <cellStyle name="Entrada 7" xfId="423" xr:uid="{00000000-0005-0000-0000-0000C5020000}"/>
    <cellStyle name="Entrada 7 2" xfId="1586" xr:uid="{00000000-0005-0000-0000-0000C6020000}"/>
    <cellStyle name="Entrada 8" xfId="424" xr:uid="{00000000-0005-0000-0000-0000C7020000}"/>
    <cellStyle name="Entrada 8 2" xfId="1587" xr:uid="{00000000-0005-0000-0000-0000C8020000}"/>
    <cellStyle name="Entrada 9" xfId="425" xr:uid="{00000000-0005-0000-0000-0000C9020000}"/>
    <cellStyle name="Entrada 9 2" xfId="1588" xr:uid="{00000000-0005-0000-0000-0000CA020000}"/>
    <cellStyle name="Estilo 1" xfId="426" xr:uid="{00000000-0005-0000-0000-0000CB020000}"/>
    <cellStyle name="Estilo 1 10" xfId="427" xr:uid="{00000000-0005-0000-0000-0000CC020000}"/>
    <cellStyle name="Estilo 1 10 2" xfId="1589" xr:uid="{00000000-0005-0000-0000-0000CD020000}"/>
    <cellStyle name="Estilo 1 11" xfId="428" xr:uid="{00000000-0005-0000-0000-0000CE020000}"/>
    <cellStyle name="Estilo 1 11 2" xfId="1590" xr:uid="{00000000-0005-0000-0000-0000CF020000}"/>
    <cellStyle name="Estilo 1 12" xfId="429" xr:uid="{00000000-0005-0000-0000-0000D0020000}"/>
    <cellStyle name="Estilo 1 12 2" xfId="1591" xr:uid="{00000000-0005-0000-0000-0000D1020000}"/>
    <cellStyle name="Estilo 1 13" xfId="1592" xr:uid="{00000000-0005-0000-0000-0000D2020000}"/>
    <cellStyle name="Estilo 1 2" xfId="430" xr:uid="{00000000-0005-0000-0000-0000D3020000}"/>
    <cellStyle name="Estilo 1 2 2" xfId="1593" xr:uid="{00000000-0005-0000-0000-0000D4020000}"/>
    <cellStyle name="Estilo 1 3" xfId="431" xr:uid="{00000000-0005-0000-0000-0000D5020000}"/>
    <cellStyle name="Estilo 1 3 2" xfId="1594" xr:uid="{00000000-0005-0000-0000-0000D6020000}"/>
    <cellStyle name="Estilo 1 4" xfId="432" xr:uid="{00000000-0005-0000-0000-0000D7020000}"/>
    <cellStyle name="Estilo 1 4 2" xfId="1595" xr:uid="{00000000-0005-0000-0000-0000D8020000}"/>
    <cellStyle name="Estilo 1 5" xfId="433" xr:uid="{00000000-0005-0000-0000-0000D9020000}"/>
    <cellStyle name="Estilo 1 5 2" xfId="1596" xr:uid="{00000000-0005-0000-0000-0000DA020000}"/>
    <cellStyle name="Estilo 1 6" xfId="434" xr:uid="{00000000-0005-0000-0000-0000DB020000}"/>
    <cellStyle name="Estilo 1 6 2" xfId="1597" xr:uid="{00000000-0005-0000-0000-0000DC020000}"/>
    <cellStyle name="Estilo 1 7" xfId="435" xr:uid="{00000000-0005-0000-0000-0000DD020000}"/>
    <cellStyle name="Estilo 1 7 2" xfId="1598" xr:uid="{00000000-0005-0000-0000-0000DE020000}"/>
    <cellStyle name="Estilo 1 8" xfId="436" xr:uid="{00000000-0005-0000-0000-0000DF020000}"/>
    <cellStyle name="Estilo 1 8 2" xfId="1599" xr:uid="{00000000-0005-0000-0000-0000E0020000}"/>
    <cellStyle name="Estilo 1 9" xfId="437" xr:uid="{00000000-0005-0000-0000-0000E1020000}"/>
    <cellStyle name="Estilo 1 9 2" xfId="1600" xr:uid="{00000000-0005-0000-0000-0000E2020000}"/>
    <cellStyle name="Estilo 1_Livro1" xfId="1601" xr:uid="{00000000-0005-0000-0000-0000E3020000}"/>
    <cellStyle name="Euro" xfId="438" xr:uid="{00000000-0005-0000-0000-0000E4020000}"/>
    <cellStyle name="Euro 2" xfId="439" xr:uid="{00000000-0005-0000-0000-0000E5020000}"/>
    <cellStyle name="Euro 2 2" xfId="440" xr:uid="{00000000-0005-0000-0000-0000E6020000}"/>
    <cellStyle name="Euro 2 2 2" xfId="1603" xr:uid="{00000000-0005-0000-0000-0000E7020000}"/>
    <cellStyle name="Euro 2 3" xfId="441" xr:uid="{00000000-0005-0000-0000-0000E8020000}"/>
    <cellStyle name="Euro 2 3 2" xfId="1604" xr:uid="{00000000-0005-0000-0000-0000E9020000}"/>
    <cellStyle name="Euro 2 4" xfId="442" xr:uid="{00000000-0005-0000-0000-0000EA020000}"/>
    <cellStyle name="Euro 2 4 2" xfId="1605" xr:uid="{00000000-0005-0000-0000-0000EB020000}"/>
    <cellStyle name="Euro 2 5" xfId="1602" xr:uid="{00000000-0005-0000-0000-0000EC020000}"/>
    <cellStyle name="Euro 3" xfId="443" xr:uid="{00000000-0005-0000-0000-0000ED020000}"/>
    <cellStyle name="Euro 3 2" xfId="1606" xr:uid="{00000000-0005-0000-0000-0000EE020000}"/>
    <cellStyle name="Euro 4" xfId="444" xr:uid="{00000000-0005-0000-0000-0000EF020000}"/>
    <cellStyle name="Euro 4 2" xfId="1607" xr:uid="{00000000-0005-0000-0000-0000F0020000}"/>
    <cellStyle name="Euro 5" xfId="445" xr:uid="{00000000-0005-0000-0000-0000F1020000}"/>
    <cellStyle name="Euro 5 2" xfId="1608" xr:uid="{00000000-0005-0000-0000-0000F2020000}"/>
    <cellStyle name="Euro 6" xfId="446" xr:uid="{00000000-0005-0000-0000-0000F3020000}"/>
    <cellStyle name="Euro 6 2" xfId="1609" xr:uid="{00000000-0005-0000-0000-0000F4020000}"/>
    <cellStyle name="Euro_07_05_22 SEMENTES COLZA ROMÉNIA" xfId="447" xr:uid="{00000000-0005-0000-0000-0000F5020000}"/>
    <cellStyle name="Exception" xfId="448" xr:uid="{00000000-0005-0000-0000-0000F6020000}"/>
    <cellStyle name="Explanatory Text" xfId="449" xr:uid="{00000000-0005-0000-0000-0000F7020000}"/>
    <cellStyle name="Feeder Field" xfId="450" xr:uid="{00000000-0005-0000-0000-0000F8020000}"/>
    <cellStyle name="FIXED" xfId="451" xr:uid="{00000000-0005-0000-0000-0000F9020000}"/>
    <cellStyle name="Good" xfId="452" xr:uid="{00000000-0005-0000-0000-0000FA020000}"/>
    <cellStyle name="Grey" xfId="453" xr:uid="{00000000-0005-0000-0000-0000FB020000}"/>
    <cellStyle name="Grey 2" xfId="1610" xr:uid="{00000000-0005-0000-0000-0000FC020000}"/>
    <cellStyle name="Greyed out" xfId="454" xr:uid="{00000000-0005-0000-0000-0000FD020000}"/>
    <cellStyle name="Header1" xfId="1611" xr:uid="{00000000-0005-0000-0000-0000FE020000}"/>
    <cellStyle name="Header2" xfId="1612" xr:uid="{00000000-0005-0000-0000-0000FF020000}"/>
    <cellStyle name="Heading 1" xfId="455" xr:uid="{00000000-0005-0000-0000-000000030000}"/>
    <cellStyle name="Heading 2" xfId="456" xr:uid="{00000000-0005-0000-0000-000001030000}"/>
    <cellStyle name="Heading 3" xfId="457" xr:uid="{00000000-0005-0000-0000-000002030000}"/>
    <cellStyle name="Heading 4" xfId="458" xr:uid="{00000000-0005-0000-0000-000003030000}"/>
    <cellStyle name="HEADING1" xfId="459" xr:uid="{00000000-0005-0000-0000-000004030000}"/>
    <cellStyle name="HEADING2" xfId="460" xr:uid="{00000000-0005-0000-0000-000005030000}"/>
    <cellStyle name="Hiperligação 2" xfId="461" xr:uid="{00000000-0005-0000-0000-000006030000}"/>
    <cellStyle name="Hiperligação 2 2" xfId="462" xr:uid="{00000000-0005-0000-0000-000007030000}"/>
    <cellStyle name="Hiperligação 2 3" xfId="463" xr:uid="{00000000-0005-0000-0000-000008030000}"/>
    <cellStyle name="Hiperligação 2 3 2" xfId="1613" xr:uid="{00000000-0005-0000-0000-000009030000}"/>
    <cellStyle name="Hiperligação 2 4" xfId="464" xr:uid="{00000000-0005-0000-0000-00000A030000}"/>
    <cellStyle name="Hiperligação 2 4 2" xfId="1614" xr:uid="{00000000-0005-0000-0000-00000B030000}"/>
    <cellStyle name="Hiperligação 2 5" xfId="465" xr:uid="{00000000-0005-0000-0000-00000C030000}"/>
    <cellStyle name="Hiperligação 2 5 2" xfId="1615" xr:uid="{00000000-0005-0000-0000-00000D030000}"/>
    <cellStyle name="Hiperligação 2 6" xfId="466" xr:uid="{00000000-0005-0000-0000-00000E030000}"/>
    <cellStyle name="Hiperligação 2 6 2" xfId="1616" xr:uid="{00000000-0005-0000-0000-00000F030000}"/>
    <cellStyle name="Hiperligação 2 7" xfId="467" xr:uid="{00000000-0005-0000-0000-000010030000}"/>
    <cellStyle name="Hiperligação 2 7 2" xfId="1617" xr:uid="{00000000-0005-0000-0000-000011030000}"/>
    <cellStyle name="Hiperligação 3" xfId="468" xr:uid="{00000000-0005-0000-0000-000012030000}"/>
    <cellStyle name="Hiperligação 3 2" xfId="1618" xr:uid="{00000000-0005-0000-0000-000013030000}"/>
    <cellStyle name="Hiperligação 4" xfId="469" xr:uid="{00000000-0005-0000-0000-000014030000}"/>
    <cellStyle name="Hiperligação 4 2" xfId="1619" xr:uid="{00000000-0005-0000-0000-000015030000}"/>
    <cellStyle name="Hiperligação 5" xfId="470" xr:uid="{00000000-0005-0000-0000-000016030000}"/>
    <cellStyle name="Hyperlink 2" xfId="471" xr:uid="{00000000-0005-0000-0000-000017030000}"/>
    <cellStyle name="Hyperlink 2 2" xfId="1620" xr:uid="{00000000-0005-0000-0000-000018030000}"/>
    <cellStyle name="Hyperlink_3.ind_pobreza" xfId="1621" xr:uid="{00000000-0005-0000-0000-000019030000}"/>
    <cellStyle name="Incorrecto 2" xfId="472" xr:uid="{00000000-0005-0000-0000-00001A030000}"/>
    <cellStyle name="Incorrecto 3" xfId="473" xr:uid="{00000000-0005-0000-0000-00001B030000}"/>
    <cellStyle name="Incorrecto 4" xfId="474" xr:uid="{00000000-0005-0000-0000-00001C030000}"/>
    <cellStyle name="Incorreto 2" xfId="1622" xr:uid="{00000000-0005-0000-0000-00001D030000}"/>
    <cellStyle name="Input" xfId="475" xr:uid="{00000000-0005-0000-0000-00001E030000}"/>
    <cellStyle name="Input [yellow]" xfId="1623" xr:uid="{00000000-0005-0000-0000-00001F030000}"/>
    <cellStyle name="Input [yellow] 2" xfId="1624" xr:uid="{00000000-0005-0000-0000-000020030000}"/>
    <cellStyle name="Input 1" xfId="476" xr:uid="{00000000-0005-0000-0000-000021030000}"/>
    <cellStyle name="Input 2" xfId="477" xr:uid="{00000000-0005-0000-0000-000022030000}"/>
    <cellStyle name="Input 2 2" xfId="478" xr:uid="{00000000-0005-0000-0000-000023030000}"/>
    <cellStyle name="Input 2 3" xfId="479" xr:uid="{00000000-0005-0000-0000-000024030000}"/>
    <cellStyle name="Input 3" xfId="480" xr:uid="{00000000-0005-0000-0000-000025030000}"/>
    <cellStyle name="Input 4" xfId="481" xr:uid="{00000000-0005-0000-0000-000026030000}"/>
    <cellStyle name="Input 5" xfId="482" xr:uid="{00000000-0005-0000-0000-000027030000}"/>
    <cellStyle name="Input 6" xfId="483" xr:uid="{00000000-0005-0000-0000-000028030000}"/>
    <cellStyle name="Input Date" xfId="484" xr:uid="{00000000-0005-0000-0000-000029030000}"/>
    <cellStyle name="Input Date 2" xfId="1625" xr:uid="{00000000-0005-0000-0000-00002A030000}"/>
    <cellStyle name="Input Normal" xfId="485" xr:uid="{00000000-0005-0000-0000-00002B030000}"/>
    <cellStyle name="Input Normal 2" xfId="1626" xr:uid="{00000000-0005-0000-0000-00002C030000}"/>
    <cellStyle name="Input Percent" xfId="486" xr:uid="{00000000-0005-0000-0000-00002D030000}"/>
    <cellStyle name="Input Percent [2]" xfId="487" xr:uid="{00000000-0005-0000-0000-00002E030000}"/>
    <cellStyle name="Input Percent [2] 2" xfId="1627" xr:uid="{00000000-0005-0000-0000-00002F030000}"/>
    <cellStyle name="Input Percent 2" xfId="1628" xr:uid="{00000000-0005-0000-0000-000030030000}"/>
    <cellStyle name="Input_baselimpa_para_nuno" xfId="1629" xr:uid="{00000000-0005-0000-0000-000031030000}"/>
    <cellStyle name="LineBottom2" xfId="488" xr:uid="{00000000-0005-0000-0000-000032030000}"/>
    <cellStyle name="Link Currency (0)" xfId="1630" xr:uid="{00000000-0005-0000-0000-000033030000}"/>
    <cellStyle name="Link Currency (2)" xfId="1631" xr:uid="{00000000-0005-0000-0000-000034030000}"/>
    <cellStyle name="Link Units (0)" xfId="1632" xr:uid="{00000000-0005-0000-0000-000035030000}"/>
    <cellStyle name="Link Units (1)" xfId="1633" xr:uid="{00000000-0005-0000-0000-000036030000}"/>
    <cellStyle name="Link Units (2)" xfId="1634" xr:uid="{00000000-0005-0000-0000-000037030000}"/>
    <cellStyle name="Linked Cell" xfId="489" xr:uid="{00000000-0005-0000-0000-000038030000}"/>
    <cellStyle name="Millares_CALDERA.XLC" xfId="490" xr:uid="{00000000-0005-0000-0000-000039030000}"/>
    <cellStyle name="Moeda 2" xfId="491" xr:uid="{00000000-0005-0000-0000-00003A030000}"/>
    <cellStyle name="Moeda 2 2" xfId="492" xr:uid="{00000000-0005-0000-0000-00003B030000}"/>
    <cellStyle name="Moeda 2 2 2" xfId="493" xr:uid="{00000000-0005-0000-0000-00003C030000}"/>
    <cellStyle name="Moeda 2 2 2 2" xfId="1636" xr:uid="{00000000-0005-0000-0000-00003D030000}"/>
    <cellStyle name="Moeda 2 2 3" xfId="494" xr:uid="{00000000-0005-0000-0000-00003E030000}"/>
    <cellStyle name="Moeda 2 2 3 2" xfId="1637" xr:uid="{00000000-0005-0000-0000-00003F030000}"/>
    <cellStyle name="Moeda 2 2 4" xfId="1638" xr:uid="{00000000-0005-0000-0000-000040030000}"/>
    <cellStyle name="Moeda 2 2 5" xfId="1635" xr:uid="{00000000-0005-0000-0000-000041030000}"/>
    <cellStyle name="Moeda 2 3" xfId="1639" xr:uid="{00000000-0005-0000-0000-000042030000}"/>
    <cellStyle name="Moeda 3" xfId="495" xr:uid="{00000000-0005-0000-0000-000043030000}"/>
    <cellStyle name="Moeda 3 2" xfId="496" xr:uid="{00000000-0005-0000-0000-000044030000}"/>
    <cellStyle name="Moeda 3 2 2" xfId="1641" xr:uid="{00000000-0005-0000-0000-000045030000}"/>
    <cellStyle name="Moeda 3 3" xfId="497" xr:uid="{00000000-0005-0000-0000-000046030000}"/>
    <cellStyle name="Moeda 3 3 2" xfId="1642" xr:uid="{00000000-0005-0000-0000-000047030000}"/>
    <cellStyle name="Moeda 3 4" xfId="1643" xr:uid="{00000000-0005-0000-0000-000048030000}"/>
    <cellStyle name="Moeda 3 5" xfId="1640" xr:uid="{00000000-0005-0000-0000-000049030000}"/>
    <cellStyle name="Moeda 6" xfId="498" xr:uid="{00000000-0005-0000-0000-00004A030000}"/>
    <cellStyle name="Moeda 6 2" xfId="1645" xr:uid="{00000000-0005-0000-0000-00004B030000}"/>
    <cellStyle name="Moeda 6 3" xfId="1644" xr:uid="{00000000-0005-0000-0000-00004C030000}"/>
    <cellStyle name="Moeda 7" xfId="499" xr:uid="{00000000-0005-0000-0000-00004D030000}"/>
    <cellStyle name="Moeda 7 2" xfId="1647" xr:uid="{00000000-0005-0000-0000-00004E030000}"/>
    <cellStyle name="Moeda 7 3" xfId="1646" xr:uid="{00000000-0005-0000-0000-00004F030000}"/>
    <cellStyle name="Moeda 8" xfId="1648" xr:uid="{00000000-0005-0000-0000-000050030000}"/>
    <cellStyle name="Moeda 9" xfId="500" xr:uid="{00000000-0005-0000-0000-000051030000}"/>
    <cellStyle name="Moeda 9 2" xfId="1650" xr:uid="{00000000-0005-0000-0000-000052030000}"/>
    <cellStyle name="Moeda 9 3" xfId="1649" xr:uid="{00000000-0005-0000-0000-000053030000}"/>
    <cellStyle name="Moneda_CALDERA.XLC" xfId="501" xr:uid="{00000000-0005-0000-0000-000054030000}"/>
    <cellStyle name="montantes" xfId="502" xr:uid="{00000000-0005-0000-0000-000055030000}"/>
    <cellStyle name="montantes 2" xfId="1651" xr:uid="{00000000-0005-0000-0000-000056030000}"/>
    <cellStyle name="Named Range" xfId="503" xr:uid="{00000000-0005-0000-0000-000057030000}"/>
    <cellStyle name="Named Range Tag" xfId="504" xr:uid="{00000000-0005-0000-0000-000058030000}"/>
    <cellStyle name="Neutra" xfId="1652" xr:uid="{00000000-0005-0000-0000-000059030000}"/>
    <cellStyle name="Neutral" xfId="505" xr:uid="{00000000-0005-0000-0000-00005A030000}"/>
    <cellStyle name="Neutro 2" xfId="506" xr:uid="{00000000-0005-0000-0000-00005B030000}"/>
    <cellStyle name="Neutro 2 2" xfId="507" xr:uid="{00000000-0005-0000-0000-00005C030000}"/>
    <cellStyle name="Neutro 3" xfId="508" xr:uid="{00000000-0005-0000-0000-00005D030000}"/>
    <cellStyle name="Neutro 4" xfId="509" xr:uid="{00000000-0005-0000-0000-00005E030000}"/>
    <cellStyle name="No-definido" xfId="1653" xr:uid="{00000000-0005-0000-0000-00005F030000}"/>
    <cellStyle name="No-definido 2" xfId="1654" xr:uid="{00000000-0005-0000-0000-000060030000}"/>
    <cellStyle name="Normal" xfId="0" builtinId="0"/>
    <cellStyle name="Normal - Style1" xfId="510" xr:uid="{00000000-0005-0000-0000-000062030000}"/>
    <cellStyle name="Normal [1]" xfId="511" xr:uid="{00000000-0005-0000-0000-000063030000}"/>
    <cellStyle name="Normal [1] 2" xfId="1655" xr:uid="{00000000-0005-0000-0000-000064030000}"/>
    <cellStyle name="Normal [2]" xfId="512" xr:uid="{00000000-0005-0000-0000-000065030000}"/>
    <cellStyle name="Normal [2] 2" xfId="1656" xr:uid="{00000000-0005-0000-0000-000066030000}"/>
    <cellStyle name="Normal [3]" xfId="513" xr:uid="{00000000-0005-0000-0000-000067030000}"/>
    <cellStyle name="Normal [3] 2" xfId="1657" xr:uid="{00000000-0005-0000-0000-000068030000}"/>
    <cellStyle name="Normal 10" xfId="514" xr:uid="{00000000-0005-0000-0000-000069030000}"/>
    <cellStyle name="Normal 10 10" xfId="515" xr:uid="{00000000-0005-0000-0000-00006A030000}"/>
    <cellStyle name="Normal 10 10 2" xfId="1659" xr:uid="{00000000-0005-0000-0000-00006B030000}"/>
    <cellStyle name="Normal 10 11" xfId="516" xr:uid="{00000000-0005-0000-0000-00006C030000}"/>
    <cellStyle name="Normal 10 11 2" xfId="1660" xr:uid="{00000000-0005-0000-0000-00006D030000}"/>
    <cellStyle name="Normal 10 12" xfId="517" xr:uid="{00000000-0005-0000-0000-00006E030000}"/>
    <cellStyle name="Normal 10 12 2" xfId="518" xr:uid="{00000000-0005-0000-0000-00006F030000}"/>
    <cellStyle name="Normal 10 12 2 2" xfId="1662" xr:uid="{00000000-0005-0000-0000-000070030000}"/>
    <cellStyle name="Normal 10 12 3" xfId="519" xr:uid="{00000000-0005-0000-0000-000071030000}"/>
    <cellStyle name="Normal 10 12 3 2" xfId="1663" xr:uid="{00000000-0005-0000-0000-000072030000}"/>
    <cellStyle name="Normal 10 12 4" xfId="1664" xr:uid="{00000000-0005-0000-0000-000073030000}"/>
    <cellStyle name="Normal 10 12 5" xfId="1661" xr:uid="{00000000-0005-0000-0000-000074030000}"/>
    <cellStyle name="Normal 10 13" xfId="520" xr:uid="{00000000-0005-0000-0000-000075030000}"/>
    <cellStyle name="Normal 10 13 2" xfId="521" xr:uid="{00000000-0005-0000-0000-000076030000}"/>
    <cellStyle name="Normal 10 13 2 2" xfId="1666" xr:uid="{00000000-0005-0000-0000-000077030000}"/>
    <cellStyle name="Normal 10 13 3" xfId="522" xr:uid="{00000000-0005-0000-0000-000078030000}"/>
    <cellStyle name="Normal 10 13 3 2" xfId="1667" xr:uid="{00000000-0005-0000-0000-000079030000}"/>
    <cellStyle name="Normal 10 13 4" xfId="1668" xr:uid="{00000000-0005-0000-0000-00007A030000}"/>
    <cellStyle name="Normal 10 13 5" xfId="1665" xr:uid="{00000000-0005-0000-0000-00007B030000}"/>
    <cellStyle name="Normal 10 14" xfId="523" xr:uid="{00000000-0005-0000-0000-00007C030000}"/>
    <cellStyle name="Normal 10 14 2" xfId="524" xr:uid="{00000000-0005-0000-0000-00007D030000}"/>
    <cellStyle name="Normal 10 14 2 2" xfId="1670" xr:uid="{00000000-0005-0000-0000-00007E030000}"/>
    <cellStyle name="Normal 10 14 3" xfId="1669" xr:uid="{00000000-0005-0000-0000-00007F030000}"/>
    <cellStyle name="Normal 10 15" xfId="525" xr:uid="{00000000-0005-0000-0000-000080030000}"/>
    <cellStyle name="Normal 10 15 2" xfId="1671" xr:uid="{00000000-0005-0000-0000-000081030000}"/>
    <cellStyle name="Normal 10 16" xfId="1672" xr:uid="{00000000-0005-0000-0000-000082030000}"/>
    <cellStyle name="Normal 10 17" xfId="1658" xr:uid="{00000000-0005-0000-0000-000083030000}"/>
    <cellStyle name="Normal 10 2" xfId="526" xr:uid="{00000000-0005-0000-0000-000084030000}"/>
    <cellStyle name="Normal 10 2 2" xfId="1673" xr:uid="{00000000-0005-0000-0000-000085030000}"/>
    <cellStyle name="Normal 10 3" xfId="527" xr:uid="{00000000-0005-0000-0000-000086030000}"/>
    <cellStyle name="Normal 10 3 2" xfId="528" xr:uid="{00000000-0005-0000-0000-000087030000}"/>
    <cellStyle name="Normal 10 3 2 2" xfId="1675" xr:uid="{00000000-0005-0000-0000-000088030000}"/>
    <cellStyle name="Normal 10 3 3" xfId="529" xr:uid="{00000000-0005-0000-0000-000089030000}"/>
    <cellStyle name="Normal 10 3 3 2" xfId="1676" xr:uid="{00000000-0005-0000-0000-00008A030000}"/>
    <cellStyle name="Normal 10 3 4" xfId="1677" xr:uid="{00000000-0005-0000-0000-00008B030000}"/>
    <cellStyle name="Normal 10 3 5" xfId="1674" xr:uid="{00000000-0005-0000-0000-00008C030000}"/>
    <cellStyle name="Normal 10 4" xfId="530" xr:uid="{00000000-0005-0000-0000-00008D030000}"/>
    <cellStyle name="Normal 10 4 2" xfId="1678" xr:uid="{00000000-0005-0000-0000-00008E030000}"/>
    <cellStyle name="Normal 10 5" xfId="531" xr:uid="{00000000-0005-0000-0000-00008F030000}"/>
    <cellStyle name="Normal 10 5 2" xfId="1679" xr:uid="{00000000-0005-0000-0000-000090030000}"/>
    <cellStyle name="Normal 10 6" xfId="532" xr:uid="{00000000-0005-0000-0000-000091030000}"/>
    <cellStyle name="Normal 10 6 2" xfId="1680" xr:uid="{00000000-0005-0000-0000-000092030000}"/>
    <cellStyle name="Normal 10 7" xfId="533" xr:uid="{00000000-0005-0000-0000-000093030000}"/>
    <cellStyle name="Normal 10 7 2" xfId="1681" xr:uid="{00000000-0005-0000-0000-000094030000}"/>
    <cellStyle name="Normal 10 8" xfId="534" xr:uid="{00000000-0005-0000-0000-000095030000}"/>
    <cellStyle name="Normal 10 8 2" xfId="1682" xr:uid="{00000000-0005-0000-0000-000096030000}"/>
    <cellStyle name="Normal 10 9" xfId="535" xr:uid="{00000000-0005-0000-0000-000097030000}"/>
    <cellStyle name="Normal 10 9 2" xfId="1683" xr:uid="{00000000-0005-0000-0000-000098030000}"/>
    <cellStyle name="Normal 10_DGO" xfId="1684" xr:uid="{00000000-0005-0000-0000-000099030000}"/>
    <cellStyle name="Normal 11" xfId="536" xr:uid="{00000000-0005-0000-0000-00009A030000}"/>
    <cellStyle name="Normal 11 2" xfId="537" xr:uid="{00000000-0005-0000-0000-00009B030000}"/>
    <cellStyle name="Normal 11 2 2" xfId="1685" xr:uid="{00000000-0005-0000-0000-00009C030000}"/>
    <cellStyle name="Normal 11 3" xfId="538" xr:uid="{00000000-0005-0000-0000-00009D030000}"/>
    <cellStyle name="Normal 11 4" xfId="539" xr:uid="{00000000-0005-0000-0000-00009E030000}"/>
    <cellStyle name="Normal 11 4 2" xfId="1686" xr:uid="{00000000-0005-0000-0000-00009F030000}"/>
    <cellStyle name="Normal 11 5" xfId="540" xr:uid="{00000000-0005-0000-0000-0000A0030000}"/>
    <cellStyle name="Normal 11 5 2" xfId="1687" xr:uid="{00000000-0005-0000-0000-0000A1030000}"/>
    <cellStyle name="Normal 11 6" xfId="541" xr:uid="{00000000-0005-0000-0000-0000A2030000}"/>
    <cellStyle name="Normal 11 6 2" xfId="542" xr:uid="{00000000-0005-0000-0000-0000A3030000}"/>
    <cellStyle name="Normal 11 6 2 2" xfId="1688" xr:uid="{00000000-0005-0000-0000-0000A4030000}"/>
    <cellStyle name="Normal 11 7" xfId="543" xr:uid="{00000000-0005-0000-0000-0000A5030000}"/>
    <cellStyle name="Normal 11 8" xfId="1689" xr:uid="{00000000-0005-0000-0000-0000A6030000}"/>
    <cellStyle name="Normal 11_DGO" xfId="1690" xr:uid="{00000000-0005-0000-0000-0000A7030000}"/>
    <cellStyle name="Normal 12" xfId="544" xr:uid="{00000000-0005-0000-0000-0000A8030000}"/>
    <cellStyle name="Normal 12 2" xfId="545" xr:uid="{00000000-0005-0000-0000-0000A9030000}"/>
    <cellStyle name="Normal 12 2 2" xfId="546" xr:uid="{00000000-0005-0000-0000-0000AA030000}"/>
    <cellStyle name="Normal 12 2 2 2" xfId="1693" xr:uid="{00000000-0005-0000-0000-0000AB030000}"/>
    <cellStyle name="Normal 12 2 3" xfId="547" xr:uid="{00000000-0005-0000-0000-0000AC030000}"/>
    <cellStyle name="Normal 12 2 3 2" xfId="1694" xr:uid="{00000000-0005-0000-0000-0000AD030000}"/>
    <cellStyle name="Normal 12 2 4" xfId="1695" xr:uid="{00000000-0005-0000-0000-0000AE030000}"/>
    <cellStyle name="Normal 12 2 5" xfId="1692" xr:uid="{00000000-0005-0000-0000-0000AF030000}"/>
    <cellStyle name="Normal 12 3" xfId="548" xr:uid="{00000000-0005-0000-0000-0000B0030000}"/>
    <cellStyle name="Normal 12 3 2" xfId="549" xr:uid="{00000000-0005-0000-0000-0000B1030000}"/>
    <cellStyle name="Normal 12 3 2 2" xfId="1697" xr:uid="{00000000-0005-0000-0000-0000B2030000}"/>
    <cellStyle name="Normal 12 3 3" xfId="550" xr:uid="{00000000-0005-0000-0000-0000B3030000}"/>
    <cellStyle name="Normal 12 3 3 2" xfId="1698" xr:uid="{00000000-0005-0000-0000-0000B4030000}"/>
    <cellStyle name="Normal 12 3 4" xfId="1699" xr:uid="{00000000-0005-0000-0000-0000B5030000}"/>
    <cellStyle name="Normal 12 3 5" xfId="1696" xr:uid="{00000000-0005-0000-0000-0000B6030000}"/>
    <cellStyle name="Normal 12 4" xfId="551" xr:uid="{00000000-0005-0000-0000-0000B7030000}"/>
    <cellStyle name="Normal 12 4 2" xfId="552" xr:uid="{00000000-0005-0000-0000-0000B8030000}"/>
    <cellStyle name="Normal 12 4 2 2" xfId="553" xr:uid="{00000000-0005-0000-0000-0000B9030000}"/>
    <cellStyle name="Normal 12 4 2 2 2" xfId="1702" xr:uid="{00000000-0005-0000-0000-0000BA030000}"/>
    <cellStyle name="Normal 12 4 2 3" xfId="554" xr:uid="{00000000-0005-0000-0000-0000BB030000}"/>
    <cellStyle name="Normal 12 4 2 3 2" xfId="1703" xr:uid="{00000000-0005-0000-0000-0000BC030000}"/>
    <cellStyle name="Normal 12 4 2 4" xfId="1701" xr:uid="{00000000-0005-0000-0000-0000BD030000}"/>
    <cellStyle name="Normal 12 4 3" xfId="555" xr:uid="{00000000-0005-0000-0000-0000BE030000}"/>
    <cellStyle name="Normal 12 4 3 2" xfId="1704" xr:uid="{00000000-0005-0000-0000-0000BF030000}"/>
    <cellStyle name="Normal 12 4 4" xfId="1705" xr:uid="{00000000-0005-0000-0000-0000C0030000}"/>
    <cellStyle name="Normal 12 4 4 2" xfId="1706" xr:uid="{00000000-0005-0000-0000-0000C1030000}"/>
    <cellStyle name="Normal 12 4 5" xfId="1707" xr:uid="{00000000-0005-0000-0000-0000C2030000}"/>
    <cellStyle name="Normal 12 4 6" xfId="1708" xr:uid="{00000000-0005-0000-0000-0000C3030000}"/>
    <cellStyle name="Normal 12 4 7" xfId="1700" xr:uid="{00000000-0005-0000-0000-0000C4030000}"/>
    <cellStyle name="Normal 12 5" xfId="556" xr:uid="{00000000-0005-0000-0000-0000C5030000}"/>
    <cellStyle name="Normal 12 6" xfId="557" xr:uid="{00000000-0005-0000-0000-0000C6030000}"/>
    <cellStyle name="Normal 12 6 2" xfId="1709" xr:uid="{00000000-0005-0000-0000-0000C7030000}"/>
    <cellStyle name="Normal 12 7" xfId="1710" xr:uid="{00000000-0005-0000-0000-0000C8030000}"/>
    <cellStyle name="Normal 12 8" xfId="1691" xr:uid="{00000000-0005-0000-0000-0000C9030000}"/>
    <cellStyle name="Normal 12_DGO" xfId="1711" xr:uid="{00000000-0005-0000-0000-0000CA030000}"/>
    <cellStyle name="Normal 13" xfId="558" xr:uid="{00000000-0005-0000-0000-0000CB030000}"/>
    <cellStyle name="Normal 13 2" xfId="559" xr:uid="{00000000-0005-0000-0000-0000CC030000}"/>
    <cellStyle name="Normal 13 2 2" xfId="560" xr:uid="{00000000-0005-0000-0000-0000CD030000}"/>
    <cellStyle name="Normal 13 2 3" xfId="1713" xr:uid="{00000000-0005-0000-0000-0000CE030000}"/>
    <cellStyle name="Normal 13 3" xfId="561" xr:uid="{00000000-0005-0000-0000-0000CF030000}"/>
    <cellStyle name="Normal 13 3 2" xfId="1714" xr:uid="{00000000-0005-0000-0000-0000D0030000}"/>
    <cellStyle name="Normal 13 4" xfId="1715" xr:uid="{00000000-0005-0000-0000-0000D1030000}"/>
    <cellStyle name="Normal 13 5" xfId="1712" xr:uid="{00000000-0005-0000-0000-0000D2030000}"/>
    <cellStyle name="Normal 14" xfId="562" xr:uid="{00000000-0005-0000-0000-0000D3030000}"/>
    <cellStyle name="Normal 14 2" xfId="563" xr:uid="{00000000-0005-0000-0000-0000D4030000}"/>
    <cellStyle name="Normal 14 2 2" xfId="1718" xr:uid="{00000000-0005-0000-0000-0000D5030000}"/>
    <cellStyle name="Normal 14 2 3" xfId="1717" xr:uid="{00000000-0005-0000-0000-0000D6030000}"/>
    <cellStyle name="Normal 14 3" xfId="564" xr:uid="{00000000-0005-0000-0000-0000D7030000}"/>
    <cellStyle name="Normal 14 3 2" xfId="1719" xr:uid="{00000000-0005-0000-0000-0000D8030000}"/>
    <cellStyle name="Normal 14 4" xfId="1720" xr:uid="{00000000-0005-0000-0000-0000D9030000}"/>
    <cellStyle name="Normal 14 5" xfId="1716" xr:uid="{00000000-0005-0000-0000-0000DA030000}"/>
    <cellStyle name="Normal 14_DGO" xfId="1721" xr:uid="{00000000-0005-0000-0000-0000DB030000}"/>
    <cellStyle name="Normal 15" xfId="565" xr:uid="{00000000-0005-0000-0000-0000DC030000}"/>
    <cellStyle name="Normal 15 2" xfId="566" xr:uid="{00000000-0005-0000-0000-0000DD030000}"/>
    <cellStyle name="Normal 16" xfId="567" xr:uid="{00000000-0005-0000-0000-0000DE030000}"/>
    <cellStyle name="Normal 16 2" xfId="568" xr:uid="{00000000-0005-0000-0000-0000DF030000}"/>
    <cellStyle name="Normal 16 2 2" xfId="569" xr:uid="{00000000-0005-0000-0000-0000E0030000}"/>
    <cellStyle name="Normal 16 2 2 2" xfId="1723" xr:uid="{00000000-0005-0000-0000-0000E1030000}"/>
    <cellStyle name="Normal 16 2 3" xfId="570" xr:uid="{00000000-0005-0000-0000-0000E2030000}"/>
    <cellStyle name="Normal 16 2 3 2" xfId="1724" xr:uid="{00000000-0005-0000-0000-0000E3030000}"/>
    <cellStyle name="Normal 16 2 4" xfId="1725" xr:uid="{00000000-0005-0000-0000-0000E4030000}"/>
    <cellStyle name="Normal 16 2 5" xfId="1722" xr:uid="{00000000-0005-0000-0000-0000E5030000}"/>
    <cellStyle name="Normal 16 3" xfId="1726" xr:uid="{00000000-0005-0000-0000-0000E6030000}"/>
    <cellStyle name="Normal 17" xfId="571" xr:uid="{00000000-0005-0000-0000-0000E7030000}"/>
    <cellStyle name="Normal 17 2" xfId="572" xr:uid="{00000000-0005-0000-0000-0000E8030000}"/>
    <cellStyle name="Normal 17 2 2" xfId="1728" xr:uid="{00000000-0005-0000-0000-0000E9030000}"/>
    <cellStyle name="Normal 17 3" xfId="573" xr:uid="{00000000-0005-0000-0000-0000EA030000}"/>
    <cellStyle name="Normal 17 3 2" xfId="1729" xr:uid="{00000000-0005-0000-0000-0000EB030000}"/>
    <cellStyle name="Normal 17 4" xfId="1730" xr:uid="{00000000-0005-0000-0000-0000EC030000}"/>
    <cellStyle name="Normal 17 5" xfId="1727" xr:uid="{00000000-0005-0000-0000-0000ED030000}"/>
    <cellStyle name="Normal 18" xfId="574" xr:uid="{00000000-0005-0000-0000-0000EE030000}"/>
    <cellStyle name="Normal 18 2" xfId="575" xr:uid="{00000000-0005-0000-0000-0000EF030000}"/>
    <cellStyle name="Normal 18 2 2" xfId="1732" xr:uid="{00000000-0005-0000-0000-0000F0030000}"/>
    <cellStyle name="Normal 18 3" xfId="576" xr:uid="{00000000-0005-0000-0000-0000F1030000}"/>
    <cellStyle name="Normal 18 3 2" xfId="1733" xr:uid="{00000000-0005-0000-0000-0000F2030000}"/>
    <cellStyle name="Normal 18 4" xfId="1734" xr:uid="{00000000-0005-0000-0000-0000F3030000}"/>
    <cellStyle name="Normal 18 5" xfId="1731" xr:uid="{00000000-0005-0000-0000-0000F4030000}"/>
    <cellStyle name="Normal 19" xfId="577" xr:uid="{00000000-0005-0000-0000-0000F5030000}"/>
    <cellStyle name="Normal 19 2" xfId="578" xr:uid="{00000000-0005-0000-0000-0000F6030000}"/>
    <cellStyle name="Normal 19 2 2" xfId="579" xr:uid="{00000000-0005-0000-0000-0000F7030000}"/>
    <cellStyle name="Normal 19 2 2 2" xfId="1737" xr:uid="{00000000-0005-0000-0000-0000F8030000}"/>
    <cellStyle name="Normal 19 2 3" xfId="580" xr:uid="{00000000-0005-0000-0000-0000F9030000}"/>
    <cellStyle name="Normal 19 2 3 2" xfId="1738" xr:uid="{00000000-0005-0000-0000-0000FA030000}"/>
    <cellStyle name="Normal 19 2 4" xfId="1739" xr:uid="{00000000-0005-0000-0000-0000FB030000}"/>
    <cellStyle name="Normal 19 2 5" xfId="1736" xr:uid="{00000000-0005-0000-0000-0000FC030000}"/>
    <cellStyle name="Normal 19 3" xfId="581" xr:uid="{00000000-0005-0000-0000-0000FD030000}"/>
    <cellStyle name="Normal 19 3 2" xfId="1740" xr:uid="{00000000-0005-0000-0000-0000FE030000}"/>
    <cellStyle name="Normal 19 4" xfId="582" xr:uid="{00000000-0005-0000-0000-0000FF030000}"/>
    <cellStyle name="Normal 19 4 2" xfId="1741" xr:uid="{00000000-0005-0000-0000-000000040000}"/>
    <cellStyle name="Normal 19 5" xfId="1742" xr:uid="{00000000-0005-0000-0000-000001040000}"/>
    <cellStyle name="Normal 19 6" xfId="1735" xr:uid="{00000000-0005-0000-0000-000002040000}"/>
    <cellStyle name="Normal 19_DGO" xfId="1743" xr:uid="{00000000-0005-0000-0000-000003040000}"/>
    <cellStyle name="Normal 2" xfId="583" xr:uid="{00000000-0005-0000-0000-000004040000}"/>
    <cellStyle name="Normal 2 10" xfId="584" xr:uid="{00000000-0005-0000-0000-000005040000}"/>
    <cellStyle name="Normal 2 10 2" xfId="585" xr:uid="{00000000-0005-0000-0000-000006040000}"/>
    <cellStyle name="Normal 2 10 3" xfId="1744" xr:uid="{00000000-0005-0000-0000-000007040000}"/>
    <cellStyle name="Normal 2 11" xfId="586" xr:uid="{00000000-0005-0000-0000-000008040000}"/>
    <cellStyle name="Normal 2 11 2" xfId="587" xr:uid="{00000000-0005-0000-0000-000009040000}"/>
    <cellStyle name="Normal 2 11 3" xfId="1745" xr:uid="{00000000-0005-0000-0000-00000A040000}"/>
    <cellStyle name="Normal 2 12" xfId="588" xr:uid="{00000000-0005-0000-0000-00000B040000}"/>
    <cellStyle name="Normal 2 12 2" xfId="589" xr:uid="{00000000-0005-0000-0000-00000C040000}"/>
    <cellStyle name="Normal 2 12 3" xfId="590" xr:uid="{00000000-0005-0000-0000-00000D040000}"/>
    <cellStyle name="Normal 2 12 3 2" xfId="1746" xr:uid="{00000000-0005-0000-0000-00000E040000}"/>
    <cellStyle name="Normal 2 12 4" xfId="1747" xr:uid="{00000000-0005-0000-0000-00000F040000}"/>
    <cellStyle name="Normal 2 13" xfId="591" xr:uid="{00000000-0005-0000-0000-000010040000}"/>
    <cellStyle name="Normal 2 13 2" xfId="592" xr:uid="{00000000-0005-0000-0000-000011040000}"/>
    <cellStyle name="Normal 2 13 3" xfId="1748" xr:uid="{00000000-0005-0000-0000-000012040000}"/>
    <cellStyle name="Normal 2 14" xfId="593" xr:uid="{00000000-0005-0000-0000-000013040000}"/>
    <cellStyle name="Normal 2 14 2" xfId="594" xr:uid="{00000000-0005-0000-0000-000014040000}"/>
    <cellStyle name="Normal 2 14 3" xfId="1749" xr:uid="{00000000-0005-0000-0000-000015040000}"/>
    <cellStyle name="Normal 2 15" xfId="595" xr:uid="{00000000-0005-0000-0000-000016040000}"/>
    <cellStyle name="Normal 2 15 2" xfId="596" xr:uid="{00000000-0005-0000-0000-000017040000}"/>
    <cellStyle name="Normal 2 15 3" xfId="1750" xr:uid="{00000000-0005-0000-0000-000018040000}"/>
    <cellStyle name="Normal 2 16" xfId="597" xr:uid="{00000000-0005-0000-0000-000019040000}"/>
    <cellStyle name="Normal 2 16 2" xfId="598" xr:uid="{00000000-0005-0000-0000-00001A040000}"/>
    <cellStyle name="Normal 2 16 3" xfId="1751" xr:uid="{00000000-0005-0000-0000-00001B040000}"/>
    <cellStyle name="Normal 2 17" xfId="599" xr:uid="{00000000-0005-0000-0000-00001C040000}"/>
    <cellStyle name="Normal 2 17 2" xfId="600" xr:uid="{00000000-0005-0000-0000-00001D040000}"/>
    <cellStyle name="Normal 2 17 3" xfId="1752" xr:uid="{00000000-0005-0000-0000-00001E040000}"/>
    <cellStyle name="Normal 2 18" xfId="601" xr:uid="{00000000-0005-0000-0000-00001F040000}"/>
    <cellStyle name="Normal 2 18 2" xfId="1753" xr:uid="{00000000-0005-0000-0000-000020040000}"/>
    <cellStyle name="Normal 2 19" xfId="602" xr:uid="{00000000-0005-0000-0000-000021040000}"/>
    <cellStyle name="Normal 2 2" xfId="603" xr:uid="{00000000-0005-0000-0000-000022040000}"/>
    <cellStyle name="Normal 2 2 10" xfId="604" xr:uid="{00000000-0005-0000-0000-000023040000}"/>
    <cellStyle name="Normal 2 2 11" xfId="605" xr:uid="{00000000-0005-0000-0000-000024040000}"/>
    <cellStyle name="Normal 2 2 12" xfId="606" xr:uid="{00000000-0005-0000-0000-000025040000}"/>
    <cellStyle name="Normal 2 2 12 2" xfId="1754" xr:uid="{00000000-0005-0000-0000-000026040000}"/>
    <cellStyle name="Normal 2 2 13" xfId="1755" xr:uid="{00000000-0005-0000-0000-000027040000}"/>
    <cellStyle name="Normal 2 2 2" xfId="607" xr:uid="{00000000-0005-0000-0000-000028040000}"/>
    <cellStyle name="Normal 2 2 2 2" xfId="608" xr:uid="{00000000-0005-0000-0000-000029040000}"/>
    <cellStyle name="Normal 2 2 2 2 2" xfId="609" xr:uid="{00000000-0005-0000-0000-00002A040000}"/>
    <cellStyle name="Normal 2 2 2 2 3" xfId="610" xr:uid="{00000000-0005-0000-0000-00002B040000}"/>
    <cellStyle name="Normal 2 2 2 2 4" xfId="611" xr:uid="{00000000-0005-0000-0000-00002C040000}"/>
    <cellStyle name="Normal 2 2 2 2 5" xfId="612" xr:uid="{00000000-0005-0000-0000-00002D040000}"/>
    <cellStyle name="Normal 2 2 2 2 5 2" xfId="1757" xr:uid="{00000000-0005-0000-0000-00002E040000}"/>
    <cellStyle name="Normal 2 2 2 2 6" xfId="613" xr:uid="{00000000-0005-0000-0000-00002F040000}"/>
    <cellStyle name="Normal 2 2 2 2 6 2" xfId="1758" xr:uid="{00000000-0005-0000-0000-000030040000}"/>
    <cellStyle name="Normal 2 2 2 2 7" xfId="1759" xr:uid="{00000000-0005-0000-0000-000031040000}"/>
    <cellStyle name="Normal 2 2 2 2 8" xfId="1756" xr:uid="{00000000-0005-0000-0000-000032040000}"/>
    <cellStyle name="Normal 2 2 2 2_DGO" xfId="1760" xr:uid="{00000000-0005-0000-0000-000033040000}"/>
    <cellStyle name="Normal 2 2 2 3" xfId="614" xr:uid="{00000000-0005-0000-0000-000034040000}"/>
    <cellStyle name="Normal 2 2 2 3 2" xfId="615" xr:uid="{00000000-0005-0000-0000-000035040000}"/>
    <cellStyle name="Normal 2 2 2 3 2 2" xfId="1762" xr:uid="{00000000-0005-0000-0000-000036040000}"/>
    <cellStyle name="Normal 2 2 2 3 3" xfId="616" xr:uid="{00000000-0005-0000-0000-000037040000}"/>
    <cellStyle name="Normal 2 2 2 3 3 2" xfId="1763" xr:uid="{00000000-0005-0000-0000-000038040000}"/>
    <cellStyle name="Normal 2 2 2 3 4" xfId="1764" xr:uid="{00000000-0005-0000-0000-000039040000}"/>
    <cellStyle name="Normal 2 2 2 3 5" xfId="1761" xr:uid="{00000000-0005-0000-0000-00003A040000}"/>
    <cellStyle name="Normal 2 2 2 4" xfId="617" xr:uid="{00000000-0005-0000-0000-00003B040000}"/>
    <cellStyle name="Normal 2 2 2 4 2" xfId="618" xr:uid="{00000000-0005-0000-0000-00003C040000}"/>
    <cellStyle name="Normal 2 2 2 4 2 2" xfId="1766" xr:uid="{00000000-0005-0000-0000-00003D040000}"/>
    <cellStyle name="Normal 2 2 2 4 3" xfId="619" xr:uid="{00000000-0005-0000-0000-00003E040000}"/>
    <cellStyle name="Normal 2 2 2 4 3 2" xfId="1767" xr:uid="{00000000-0005-0000-0000-00003F040000}"/>
    <cellStyle name="Normal 2 2 2 4 4" xfId="1768" xr:uid="{00000000-0005-0000-0000-000040040000}"/>
    <cellStyle name="Normal 2 2 2 4 5" xfId="1765" xr:uid="{00000000-0005-0000-0000-000041040000}"/>
    <cellStyle name="Normal 2 2 2 5" xfId="620" xr:uid="{00000000-0005-0000-0000-000042040000}"/>
    <cellStyle name="Normal 2 2 2 6" xfId="621" xr:uid="{00000000-0005-0000-0000-000043040000}"/>
    <cellStyle name="Normal 2 2 2 7" xfId="622" xr:uid="{00000000-0005-0000-0000-000044040000}"/>
    <cellStyle name="Normal 2 2 3" xfId="623" xr:uid="{00000000-0005-0000-0000-000045040000}"/>
    <cellStyle name="Normal 2 2 3 2" xfId="624" xr:uid="{00000000-0005-0000-0000-000046040000}"/>
    <cellStyle name="Normal 2 2 3 3" xfId="625" xr:uid="{00000000-0005-0000-0000-000047040000}"/>
    <cellStyle name="Normal 2 2 3 4" xfId="626" xr:uid="{00000000-0005-0000-0000-000048040000}"/>
    <cellStyle name="Normal 2 2 3 4 2" xfId="1769" xr:uid="{00000000-0005-0000-0000-000049040000}"/>
    <cellStyle name="Normal 2 2 3 5" xfId="627" xr:uid="{00000000-0005-0000-0000-00004A040000}"/>
    <cellStyle name="Normal 2 2 3 5 2" xfId="1770" xr:uid="{00000000-0005-0000-0000-00004B040000}"/>
    <cellStyle name="Normal 2 2 3 6" xfId="628" xr:uid="{00000000-0005-0000-0000-00004C040000}"/>
    <cellStyle name="Normal 2 2 3 6 2" xfId="1771" xr:uid="{00000000-0005-0000-0000-00004D040000}"/>
    <cellStyle name="Normal 2 2 3 7" xfId="629" xr:uid="{00000000-0005-0000-0000-00004E040000}"/>
    <cellStyle name="Normal 2 2 3 7 2" xfId="1772" xr:uid="{00000000-0005-0000-0000-00004F040000}"/>
    <cellStyle name="Normal 2 2 3 8" xfId="1773" xr:uid="{00000000-0005-0000-0000-000050040000}"/>
    <cellStyle name="Normal 2 2 4" xfId="630" xr:uid="{00000000-0005-0000-0000-000051040000}"/>
    <cellStyle name="Normal 2 2 5" xfId="631" xr:uid="{00000000-0005-0000-0000-000052040000}"/>
    <cellStyle name="Normal 2 2 6" xfId="632" xr:uid="{00000000-0005-0000-0000-000053040000}"/>
    <cellStyle name="Normal 2 2 7" xfId="633" xr:uid="{00000000-0005-0000-0000-000054040000}"/>
    <cellStyle name="Normal 2 2 8" xfId="634" xr:uid="{00000000-0005-0000-0000-000055040000}"/>
    <cellStyle name="Normal 2 2 9" xfId="635" xr:uid="{00000000-0005-0000-0000-000056040000}"/>
    <cellStyle name="Normal 2 20" xfId="636" xr:uid="{00000000-0005-0000-0000-000057040000}"/>
    <cellStyle name="Normal 2 20 2" xfId="1775" xr:uid="{00000000-0005-0000-0000-000058040000}"/>
    <cellStyle name="Normal 2 20 3" xfId="1774" xr:uid="{00000000-0005-0000-0000-000059040000}"/>
    <cellStyle name="Normal 2 3" xfId="637" xr:uid="{00000000-0005-0000-0000-00005A040000}"/>
    <cellStyle name="Normal 2 3 2" xfId="638" xr:uid="{00000000-0005-0000-0000-00005B040000}"/>
    <cellStyle name="Normal 2 3 2 2" xfId="639" xr:uid="{00000000-0005-0000-0000-00005C040000}"/>
    <cellStyle name="Normal 2 3 2 2 2" xfId="1776" xr:uid="{00000000-0005-0000-0000-00005D040000}"/>
    <cellStyle name="Normal 2 3 2 3" xfId="640" xr:uid="{00000000-0005-0000-0000-00005E040000}"/>
    <cellStyle name="Normal 2 3 2 3 2" xfId="1777" xr:uid="{00000000-0005-0000-0000-00005F040000}"/>
    <cellStyle name="Normal 2 3 2 4" xfId="641" xr:uid="{00000000-0005-0000-0000-000060040000}"/>
    <cellStyle name="Normal 2 3 2 4 2" xfId="1778" xr:uid="{00000000-0005-0000-0000-000061040000}"/>
    <cellStyle name="Normal 2 3 2 5" xfId="642" xr:uid="{00000000-0005-0000-0000-000062040000}"/>
    <cellStyle name="Normal 2 3 2 5 2" xfId="1779" xr:uid="{00000000-0005-0000-0000-000063040000}"/>
    <cellStyle name="Normal 2 3 2 6" xfId="643" xr:uid="{00000000-0005-0000-0000-000064040000}"/>
    <cellStyle name="Normal 2 3 2 6 2" xfId="1780" xr:uid="{00000000-0005-0000-0000-000065040000}"/>
    <cellStyle name="Normal 2 3 2 7" xfId="644" xr:uid="{00000000-0005-0000-0000-000066040000}"/>
    <cellStyle name="Normal 2 3 2 7 2" xfId="1781" xr:uid="{00000000-0005-0000-0000-000067040000}"/>
    <cellStyle name="Normal 2 3 2 8" xfId="1782" xr:uid="{00000000-0005-0000-0000-000068040000}"/>
    <cellStyle name="Normal 2 3 3" xfId="645" xr:uid="{00000000-0005-0000-0000-000069040000}"/>
    <cellStyle name="Normal 2 3 3 2" xfId="1783" xr:uid="{00000000-0005-0000-0000-00006A040000}"/>
    <cellStyle name="Normal 2 3 4" xfId="646" xr:uid="{00000000-0005-0000-0000-00006B040000}"/>
    <cellStyle name="Normal 2 3 5" xfId="647" xr:uid="{00000000-0005-0000-0000-00006C040000}"/>
    <cellStyle name="Normal 2 3 6" xfId="648" xr:uid="{00000000-0005-0000-0000-00006D040000}"/>
    <cellStyle name="Normal 2 3 7" xfId="649" xr:uid="{00000000-0005-0000-0000-00006E040000}"/>
    <cellStyle name="Normal 2 3 8" xfId="650" xr:uid="{00000000-0005-0000-0000-00006F040000}"/>
    <cellStyle name="Normal 2 4" xfId="651" xr:uid="{00000000-0005-0000-0000-000070040000}"/>
    <cellStyle name="Normal 2 4 2" xfId="652" xr:uid="{00000000-0005-0000-0000-000071040000}"/>
    <cellStyle name="Normal 2 4 2 2" xfId="1784" xr:uid="{00000000-0005-0000-0000-000072040000}"/>
    <cellStyle name="Normal 2 4 3" xfId="653" xr:uid="{00000000-0005-0000-0000-000073040000}"/>
    <cellStyle name="Normal 2 4 4" xfId="1785" xr:uid="{00000000-0005-0000-0000-000074040000}"/>
    <cellStyle name="Normal 2 5" xfId="654" xr:uid="{00000000-0005-0000-0000-000075040000}"/>
    <cellStyle name="Normal 2 5 2" xfId="655" xr:uid="{00000000-0005-0000-0000-000076040000}"/>
    <cellStyle name="Normal 2 5 3" xfId="656" xr:uid="{00000000-0005-0000-0000-000077040000}"/>
    <cellStyle name="Normal 2 5 3 2" xfId="1787" xr:uid="{00000000-0005-0000-0000-000078040000}"/>
    <cellStyle name="Normal 2 5 4" xfId="657" xr:uid="{00000000-0005-0000-0000-000079040000}"/>
    <cellStyle name="Normal 2 5 4 2" xfId="1788" xr:uid="{00000000-0005-0000-0000-00007A040000}"/>
    <cellStyle name="Normal 2 5 5" xfId="1786" xr:uid="{00000000-0005-0000-0000-00007B040000}"/>
    <cellStyle name="Normal 2 5_DGO" xfId="1789" xr:uid="{00000000-0005-0000-0000-00007C040000}"/>
    <cellStyle name="Normal 2 6" xfId="658" xr:uid="{00000000-0005-0000-0000-00007D040000}"/>
    <cellStyle name="Normal 2 6 2" xfId="659" xr:uid="{00000000-0005-0000-0000-00007E040000}"/>
    <cellStyle name="Normal 2 7" xfId="660" xr:uid="{00000000-0005-0000-0000-00007F040000}"/>
    <cellStyle name="Normal 2 7 2" xfId="661" xr:uid="{00000000-0005-0000-0000-000080040000}"/>
    <cellStyle name="Normal 2 7 3" xfId="1790" xr:uid="{00000000-0005-0000-0000-000081040000}"/>
    <cellStyle name="Normal 2 8" xfId="662" xr:uid="{00000000-0005-0000-0000-000082040000}"/>
    <cellStyle name="Normal 2 8 2" xfId="663" xr:uid="{00000000-0005-0000-0000-000083040000}"/>
    <cellStyle name="Normal 2 8 3" xfId="1791" xr:uid="{00000000-0005-0000-0000-000084040000}"/>
    <cellStyle name="Normal 2 9" xfId="664" xr:uid="{00000000-0005-0000-0000-000085040000}"/>
    <cellStyle name="Normal 2 9 2" xfId="665" xr:uid="{00000000-0005-0000-0000-000086040000}"/>
    <cellStyle name="Normal 2 9 3" xfId="1792" xr:uid="{00000000-0005-0000-0000-000087040000}"/>
    <cellStyle name="Normal 2_2012-2016 Prestações Desemprego_6_Março" xfId="1793" xr:uid="{00000000-0005-0000-0000-000088040000}"/>
    <cellStyle name="Normal 20" xfId="666" xr:uid="{00000000-0005-0000-0000-000089040000}"/>
    <cellStyle name="Normal 20 2" xfId="667" xr:uid="{00000000-0005-0000-0000-00008A040000}"/>
    <cellStyle name="Normal 20 2 2" xfId="668" xr:uid="{00000000-0005-0000-0000-00008B040000}"/>
    <cellStyle name="Normal 20 2 2 2" xfId="1796" xr:uid="{00000000-0005-0000-0000-00008C040000}"/>
    <cellStyle name="Normal 20 2 3" xfId="669" xr:uid="{00000000-0005-0000-0000-00008D040000}"/>
    <cellStyle name="Normal 20 2 3 2" xfId="1797" xr:uid="{00000000-0005-0000-0000-00008E040000}"/>
    <cellStyle name="Normal 20 2 4" xfId="1798" xr:uid="{00000000-0005-0000-0000-00008F040000}"/>
    <cellStyle name="Normal 20 2 5" xfId="1795" xr:uid="{00000000-0005-0000-0000-000090040000}"/>
    <cellStyle name="Normal 20 3" xfId="670" xr:uid="{00000000-0005-0000-0000-000091040000}"/>
    <cellStyle name="Normal 20 3 2" xfId="1799" xr:uid="{00000000-0005-0000-0000-000092040000}"/>
    <cellStyle name="Normal 20 4" xfId="671" xr:uid="{00000000-0005-0000-0000-000093040000}"/>
    <cellStyle name="Normal 20 4 2" xfId="1800" xr:uid="{00000000-0005-0000-0000-000094040000}"/>
    <cellStyle name="Normal 20 5" xfId="1801" xr:uid="{00000000-0005-0000-0000-000095040000}"/>
    <cellStyle name="Normal 20 6" xfId="1794" xr:uid="{00000000-0005-0000-0000-000096040000}"/>
    <cellStyle name="Normal 20_DGO" xfId="1802" xr:uid="{00000000-0005-0000-0000-000097040000}"/>
    <cellStyle name="Normal 21" xfId="672" xr:uid="{00000000-0005-0000-0000-000098040000}"/>
    <cellStyle name="Normal 21 2" xfId="673" xr:uid="{00000000-0005-0000-0000-000099040000}"/>
    <cellStyle name="Normal 21 2 2" xfId="1804" xr:uid="{00000000-0005-0000-0000-00009A040000}"/>
    <cellStyle name="Normal 21 3" xfId="674" xr:uid="{00000000-0005-0000-0000-00009B040000}"/>
    <cellStyle name="Normal 21 3 2" xfId="1805" xr:uid="{00000000-0005-0000-0000-00009C040000}"/>
    <cellStyle name="Normal 21 4" xfId="1806" xr:uid="{00000000-0005-0000-0000-00009D040000}"/>
    <cellStyle name="Normal 21 5" xfId="1803" xr:uid="{00000000-0005-0000-0000-00009E040000}"/>
    <cellStyle name="Normal 22" xfId="675" xr:uid="{00000000-0005-0000-0000-00009F040000}"/>
    <cellStyle name="Normal 22 2" xfId="1807" xr:uid="{00000000-0005-0000-0000-0000A0040000}"/>
    <cellStyle name="Normal 23" xfId="676" xr:uid="{00000000-0005-0000-0000-0000A1040000}"/>
    <cellStyle name="Normal 24" xfId="677" xr:uid="{00000000-0005-0000-0000-0000A2040000}"/>
    <cellStyle name="Normal 24 2" xfId="1808" xr:uid="{00000000-0005-0000-0000-0000A3040000}"/>
    <cellStyle name="Normal 25" xfId="678" xr:uid="{00000000-0005-0000-0000-0000A4040000}"/>
    <cellStyle name="Normal 25 2" xfId="1809" xr:uid="{00000000-0005-0000-0000-0000A5040000}"/>
    <cellStyle name="Normal 26" xfId="679" xr:uid="{00000000-0005-0000-0000-0000A6040000}"/>
    <cellStyle name="Normal 26 2" xfId="1810" xr:uid="{00000000-0005-0000-0000-0000A7040000}"/>
    <cellStyle name="Normal 27" xfId="680" xr:uid="{00000000-0005-0000-0000-0000A8040000}"/>
    <cellStyle name="Normal 27 2" xfId="1811" xr:uid="{00000000-0005-0000-0000-0000A9040000}"/>
    <cellStyle name="Normal 28" xfId="681" xr:uid="{00000000-0005-0000-0000-0000AA040000}"/>
    <cellStyle name="Normal 28 2" xfId="682" xr:uid="{00000000-0005-0000-0000-0000AB040000}"/>
    <cellStyle name="Normal 28 2 2" xfId="683" xr:uid="{00000000-0005-0000-0000-0000AC040000}"/>
    <cellStyle name="Normal 28 2 2 2" xfId="1813" xr:uid="{00000000-0005-0000-0000-0000AD040000}"/>
    <cellStyle name="Normal 28 2 3" xfId="1814" xr:uid="{00000000-0005-0000-0000-0000AE040000}"/>
    <cellStyle name="Normal 28 2 4" xfId="1812" xr:uid="{00000000-0005-0000-0000-0000AF040000}"/>
    <cellStyle name="Normal 28 3" xfId="1815" xr:uid="{00000000-0005-0000-0000-0000B0040000}"/>
    <cellStyle name="Normal 29" xfId="684" xr:uid="{00000000-0005-0000-0000-0000B1040000}"/>
    <cellStyle name="Normal 29 2" xfId="1816" xr:uid="{00000000-0005-0000-0000-0000B2040000}"/>
    <cellStyle name="Normal 3" xfId="685" xr:uid="{00000000-0005-0000-0000-0000B3040000}"/>
    <cellStyle name="Normal 3 10" xfId="686" xr:uid="{00000000-0005-0000-0000-0000B4040000}"/>
    <cellStyle name="Normal 3 11" xfId="687" xr:uid="{00000000-0005-0000-0000-0000B5040000}"/>
    <cellStyle name="Normal 3 12" xfId="688" xr:uid="{00000000-0005-0000-0000-0000B6040000}"/>
    <cellStyle name="Normal 3 13" xfId="689" xr:uid="{00000000-0005-0000-0000-0000B7040000}"/>
    <cellStyle name="Normal 3 14" xfId="690" xr:uid="{00000000-0005-0000-0000-0000B8040000}"/>
    <cellStyle name="Normal 3 15" xfId="691" xr:uid="{00000000-0005-0000-0000-0000B9040000}"/>
    <cellStyle name="Normal 3 15 2" xfId="692" xr:uid="{00000000-0005-0000-0000-0000BA040000}"/>
    <cellStyle name="Normal 3 15 2 2" xfId="1818" xr:uid="{00000000-0005-0000-0000-0000BB040000}"/>
    <cellStyle name="Normal 3 15 3" xfId="693" xr:uid="{00000000-0005-0000-0000-0000BC040000}"/>
    <cellStyle name="Normal 3 15 3 2" xfId="1819" xr:uid="{00000000-0005-0000-0000-0000BD040000}"/>
    <cellStyle name="Normal 3 15 4" xfId="1820" xr:uid="{00000000-0005-0000-0000-0000BE040000}"/>
    <cellStyle name="Normal 3 15 5" xfId="1817" xr:uid="{00000000-0005-0000-0000-0000BF040000}"/>
    <cellStyle name="Normal 3 16" xfId="1821" xr:uid="{00000000-0005-0000-0000-0000C0040000}"/>
    <cellStyle name="Normal 3 2" xfId="694" xr:uid="{00000000-0005-0000-0000-0000C1040000}"/>
    <cellStyle name="Normal 3 2 10" xfId="695" xr:uid="{00000000-0005-0000-0000-0000C2040000}"/>
    <cellStyle name="Normal 3 2 10 2" xfId="1823" xr:uid="{00000000-0005-0000-0000-0000C3040000}"/>
    <cellStyle name="Normal 3 2 11" xfId="696" xr:uid="{00000000-0005-0000-0000-0000C4040000}"/>
    <cellStyle name="Normal 3 2 11 2" xfId="1824" xr:uid="{00000000-0005-0000-0000-0000C5040000}"/>
    <cellStyle name="Normal 3 2 12" xfId="1822" xr:uid="{00000000-0005-0000-0000-0000C6040000}"/>
    <cellStyle name="Normal 3 2 2" xfId="697" xr:uid="{00000000-0005-0000-0000-0000C7040000}"/>
    <cellStyle name="Normal 3 2 2 2" xfId="698" xr:uid="{00000000-0005-0000-0000-0000C8040000}"/>
    <cellStyle name="Normal 3 2 2 2 2" xfId="699" xr:uid="{00000000-0005-0000-0000-0000C9040000}"/>
    <cellStyle name="Normal 3 2 2 2 2 2" xfId="700" xr:uid="{00000000-0005-0000-0000-0000CA040000}"/>
    <cellStyle name="Normal 3 2 2 2 2 2 2" xfId="1828" xr:uid="{00000000-0005-0000-0000-0000CB040000}"/>
    <cellStyle name="Normal 3 2 2 2 2 3" xfId="701" xr:uid="{00000000-0005-0000-0000-0000CC040000}"/>
    <cellStyle name="Normal 3 2 2 2 2 3 2" xfId="1829" xr:uid="{00000000-0005-0000-0000-0000CD040000}"/>
    <cellStyle name="Normal 3 2 2 2 2 4" xfId="1830" xr:uid="{00000000-0005-0000-0000-0000CE040000}"/>
    <cellStyle name="Normal 3 2 2 2 2 5" xfId="1827" xr:uid="{00000000-0005-0000-0000-0000CF040000}"/>
    <cellStyle name="Normal 3 2 2 2 3" xfId="702" xr:uid="{00000000-0005-0000-0000-0000D0040000}"/>
    <cellStyle name="Normal 3 2 2 2 3 2" xfId="1831" xr:uid="{00000000-0005-0000-0000-0000D1040000}"/>
    <cellStyle name="Normal 3 2 2 2 4" xfId="703" xr:uid="{00000000-0005-0000-0000-0000D2040000}"/>
    <cellStyle name="Normal 3 2 2 2 4 2" xfId="1832" xr:uid="{00000000-0005-0000-0000-0000D3040000}"/>
    <cellStyle name="Normal 3 2 2 2 5" xfId="1833" xr:uid="{00000000-0005-0000-0000-0000D4040000}"/>
    <cellStyle name="Normal 3 2 2 2 6" xfId="1826" xr:uid="{00000000-0005-0000-0000-0000D5040000}"/>
    <cellStyle name="Normal 3 2 2 2_DGO" xfId="1834" xr:uid="{00000000-0005-0000-0000-0000D6040000}"/>
    <cellStyle name="Normal 3 2 2 3" xfId="704" xr:uid="{00000000-0005-0000-0000-0000D7040000}"/>
    <cellStyle name="Normal 3 2 2 3 2" xfId="705" xr:uid="{00000000-0005-0000-0000-0000D8040000}"/>
    <cellStyle name="Normal 3 2 2 3 2 2" xfId="706" xr:uid="{00000000-0005-0000-0000-0000D9040000}"/>
    <cellStyle name="Normal 3 2 2 3 2 2 2" xfId="1836" xr:uid="{00000000-0005-0000-0000-0000DA040000}"/>
    <cellStyle name="Normal 3 2 2 3 2 3" xfId="707" xr:uid="{00000000-0005-0000-0000-0000DB040000}"/>
    <cellStyle name="Normal 3 2 2 3 2 3 2" xfId="1837" xr:uid="{00000000-0005-0000-0000-0000DC040000}"/>
    <cellStyle name="Normal 3 2 2 3 2 4" xfId="1838" xr:uid="{00000000-0005-0000-0000-0000DD040000}"/>
    <cellStyle name="Normal 3 2 2 3 2 5" xfId="1835" xr:uid="{00000000-0005-0000-0000-0000DE040000}"/>
    <cellStyle name="Normal 3 2 2 3_DGO" xfId="1839" xr:uid="{00000000-0005-0000-0000-0000DF040000}"/>
    <cellStyle name="Normal 3 2 2 4" xfId="708" xr:uid="{00000000-0005-0000-0000-0000E0040000}"/>
    <cellStyle name="Normal 3 2 2 4 2" xfId="709" xr:uid="{00000000-0005-0000-0000-0000E1040000}"/>
    <cellStyle name="Normal 3 2 2 4 2 2" xfId="1841" xr:uid="{00000000-0005-0000-0000-0000E2040000}"/>
    <cellStyle name="Normal 3 2 2 4 3" xfId="710" xr:uid="{00000000-0005-0000-0000-0000E3040000}"/>
    <cellStyle name="Normal 3 2 2 4 3 2" xfId="1842" xr:uid="{00000000-0005-0000-0000-0000E4040000}"/>
    <cellStyle name="Normal 3 2 2 4 4" xfId="1843" xr:uid="{00000000-0005-0000-0000-0000E5040000}"/>
    <cellStyle name="Normal 3 2 2 4 5" xfId="1840" xr:uid="{00000000-0005-0000-0000-0000E6040000}"/>
    <cellStyle name="Normal 3 2 2 5" xfId="711" xr:uid="{00000000-0005-0000-0000-0000E7040000}"/>
    <cellStyle name="Normal 3 2 2 6" xfId="712" xr:uid="{00000000-0005-0000-0000-0000E8040000}"/>
    <cellStyle name="Normal 3 2 2 6 2" xfId="1844" xr:uid="{00000000-0005-0000-0000-0000E9040000}"/>
    <cellStyle name="Normal 3 2 2 7" xfId="713" xr:uid="{00000000-0005-0000-0000-0000EA040000}"/>
    <cellStyle name="Normal 3 2 2 7 2" xfId="1845" xr:uid="{00000000-0005-0000-0000-0000EB040000}"/>
    <cellStyle name="Normal 3 2 2 8" xfId="1825" xr:uid="{00000000-0005-0000-0000-0000EC040000}"/>
    <cellStyle name="Normal 3 2 2_DGO" xfId="1846" xr:uid="{00000000-0005-0000-0000-0000ED040000}"/>
    <cellStyle name="Normal 3 2 3" xfId="714" xr:uid="{00000000-0005-0000-0000-0000EE040000}"/>
    <cellStyle name="Normal 3 2 3 10" xfId="1848" xr:uid="{00000000-0005-0000-0000-0000EF040000}"/>
    <cellStyle name="Normal 3 2 3 11" xfId="1847" xr:uid="{00000000-0005-0000-0000-0000F0040000}"/>
    <cellStyle name="Normal 3 2 3 2" xfId="715" xr:uid="{00000000-0005-0000-0000-0000F1040000}"/>
    <cellStyle name="Normal 3 2 3 2 2" xfId="716" xr:uid="{00000000-0005-0000-0000-0000F2040000}"/>
    <cellStyle name="Normal 3 2 3 2 2 2" xfId="717" xr:uid="{00000000-0005-0000-0000-0000F3040000}"/>
    <cellStyle name="Normal 3 2 3 2 2 2 2" xfId="1851" xr:uid="{00000000-0005-0000-0000-0000F4040000}"/>
    <cellStyle name="Normal 3 2 3 2 2 3" xfId="718" xr:uid="{00000000-0005-0000-0000-0000F5040000}"/>
    <cellStyle name="Normal 3 2 3 2 2 3 2" xfId="1852" xr:uid="{00000000-0005-0000-0000-0000F6040000}"/>
    <cellStyle name="Normal 3 2 3 2 2 4" xfId="1853" xr:uid="{00000000-0005-0000-0000-0000F7040000}"/>
    <cellStyle name="Normal 3 2 3 2 2 5" xfId="1850" xr:uid="{00000000-0005-0000-0000-0000F8040000}"/>
    <cellStyle name="Normal 3 2 3 2 3" xfId="719" xr:uid="{00000000-0005-0000-0000-0000F9040000}"/>
    <cellStyle name="Normal 3 2 3 2 3 2" xfId="720" xr:uid="{00000000-0005-0000-0000-0000FA040000}"/>
    <cellStyle name="Normal 3 2 3 2 3 2 2" xfId="1855" xr:uid="{00000000-0005-0000-0000-0000FB040000}"/>
    <cellStyle name="Normal 3 2 3 2 3 3" xfId="1854" xr:uid="{00000000-0005-0000-0000-0000FC040000}"/>
    <cellStyle name="Normal 3 2 3 2 4" xfId="721" xr:uid="{00000000-0005-0000-0000-0000FD040000}"/>
    <cellStyle name="Normal 3 2 3 2 4 2" xfId="1856" xr:uid="{00000000-0005-0000-0000-0000FE040000}"/>
    <cellStyle name="Normal 3 2 3 2 5" xfId="1857" xr:uid="{00000000-0005-0000-0000-0000FF040000}"/>
    <cellStyle name="Normal 3 2 3 2 6" xfId="1849" xr:uid="{00000000-0005-0000-0000-000000050000}"/>
    <cellStyle name="Normal 3 2 3 2_DGO" xfId="1858" xr:uid="{00000000-0005-0000-0000-000001050000}"/>
    <cellStyle name="Normal 3 2 3 3" xfId="722" xr:uid="{00000000-0005-0000-0000-000002050000}"/>
    <cellStyle name="Normal 3 2 3 3 2" xfId="723" xr:uid="{00000000-0005-0000-0000-000003050000}"/>
    <cellStyle name="Normal 3 2 3 3 2 2" xfId="724" xr:uid="{00000000-0005-0000-0000-000004050000}"/>
    <cellStyle name="Normal 3 2 3 3 2 2 2" xfId="1861" xr:uid="{00000000-0005-0000-0000-000005050000}"/>
    <cellStyle name="Normal 3 2 3 3 2 3" xfId="725" xr:uid="{00000000-0005-0000-0000-000006050000}"/>
    <cellStyle name="Normal 3 2 3 3 2 3 2" xfId="1862" xr:uid="{00000000-0005-0000-0000-000007050000}"/>
    <cellStyle name="Normal 3 2 3 3 2 4" xfId="1863" xr:uid="{00000000-0005-0000-0000-000008050000}"/>
    <cellStyle name="Normal 3 2 3 3 2 5" xfId="1860" xr:uid="{00000000-0005-0000-0000-000009050000}"/>
    <cellStyle name="Normal 3 2 3 3 3" xfId="726" xr:uid="{00000000-0005-0000-0000-00000A050000}"/>
    <cellStyle name="Normal 3 2 3 3 3 2" xfId="1864" xr:uid="{00000000-0005-0000-0000-00000B050000}"/>
    <cellStyle name="Normal 3 2 3 3 4" xfId="727" xr:uid="{00000000-0005-0000-0000-00000C050000}"/>
    <cellStyle name="Normal 3 2 3 3 4 2" xfId="1865" xr:uid="{00000000-0005-0000-0000-00000D050000}"/>
    <cellStyle name="Normal 3 2 3 3 5" xfId="1866" xr:uid="{00000000-0005-0000-0000-00000E050000}"/>
    <cellStyle name="Normal 3 2 3 3 6" xfId="1859" xr:uid="{00000000-0005-0000-0000-00000F050000}"/>
    <cellStyle name="Normal 3 2 3 3_DGO" xfId="1867" xr:uid="{00000000-0005-0000-0000-000010050000}"/>
    <cellStyle name="Normal 3 2 3 4" xfId="728" xr:uid="{00000000-0005-0000-0000-000011050000}"/>
    <cellStyle name="Normal 3 2 3 4 2" xfId="729" xr:uid="{00000000-0005-0000-0000-000012050000}"/>
    <cellStyle name="Normal 3 2 3 4 2 2" xfId="730" xr:uid="{00000000-0005-0000-0000-000013050000}"/>
    <cellStyle name="Normal 3 2 3 4 2 2 2" xfId="1870" xr:uid="{00000000-0005-0000-0000-000014050000}"/>
    <cellStyle name="Normal 3 2 3 4 2 3" xfId="731" xr:uid="{00000000-0005-0000-0000-000015050000}"/>
    <cellStyle name="Normal 3 2 3 4 2 3 2" xfId="1871" xr:uid="{00000000-0005-0000-0000-000016050000}"/>
    <cellStyle name="Normal 3 2 3 4 2 4" xfId="1872" xr:uid="{00000000-0005-0000-0000-000017050000}"/>
    <cellStyle name="Normal 3 2 3 4 2 5" xfId="1869" xr:uid="{00000000-0005-0000-0000-000018050000}"/>
    <cellStyle name="Normal 3 2 3 4 3" xfId="732" xr:uid="{00000000-0005-0000-0000-000019050000}"/>
    <cellStyle name="Normal 3 2 3 4 3 2" xfId="733" xr:uid="{00000000-0005-0000-0000-00001A050000}"/>
    <cellStyle name="Normal 3 2 3 4 3 2 2" xfId="734" xr:uid="{00000000-0005-0000-0000-00001B050000}"/>
    <cellStyle name="Normal 3 2 3 4 3 2 2 2" xfId="1875" xr:uid="{00000000-0005-0000-0000-00001C050000}"/>
    <cellStyle name="Normal 3 2 3 4 3 2 3" xfId="735" xr:uid="{00000000-0005-0000-0000-00001D050000}"/>
    <cellStyle name="Normal 3 2 3 4 3 2 3 2" xfId="1876" xr:uid="{00000000-0005-0000-0000-00001E050000}"/>
    <cellStyle name="Normal 3 2 3 4 3 2 4" xfId="1877" xr:uid="{00000000-0005-0000-0000-00001F050000}"/>
    <cellStyle name="Normal 3 2 3 4 3 2 5" xfId="1874" xr:uid="{00000000-0005-0000-0000-000020050000}"/>
    <cellStyle name="Normal 3 2 3 4 3 3" xfId="736" xr:uid="{00000000-0005-0000-0000-000021050000}"/>
    <cellStyle name="Normal 3 2 3 4 3 3 2" xfId="1878" xr:uid="{00000000-0005-0000-0000-000022050000}"/>
    <cellStyle name="Normal 3 2 3 4 3 4" xfId="737" xr:uid="{00000000-0005-0000-0000-000023050000}"/>
    <cellStyle name="Normal 3 2 3 4 3 4 2" xfId="1879" xr:uid="{00000000-0005-0000-0000-000024050000}"/>
    <cellStyle name="Normal 3 2 3 4 3 5" xfId="1880" xr:uid="{00000000-0005-0000-0000-000025050000}"/>
    <cellStyle name="Normal 3 2 3 4 3 6" xfId="1873" xr:uid="{00000000-0005-0000-0000-000026050000}"/>
    <cellStyle name="Normal 3 2 3 4 3_DGO" xfId="1881" xr:uid="{00000000-0005-0000-0000-000027050000}"/>
    <cellStyle name="Normal 3 2 3 4 4" xfId="738" xr:uid="{00000000-0005-0000-0000-000028050000}"/>
    <cellStyle name="Normal 3 2 3 4 4 2" xfId="1882" xr:uid="{00000000-0005-0000-0000-000029050000}"/>
    <cellStyle name="Normal 3 2 3 4 5" xfId="739" xr:uid="{00000000-0005-0000-0000-00002A050000}"/>
    <cellStyle name="Normal 3 2 3 4 5 2" xfId="1883" xr:uid="{00000000-0005-0000-0000-00002B050000}"/>
    <cellStyle name="Normal 3 2 3 4 6" xfId="1884" xr:uid="{00000000-0005-0000-0000-00002C050000}"/>
    <cellStyle name="Normal 3 2 3 4 7" xfId="1868" xr:uid="{00000000-0005-0000-0000-00002D050000}"/>
    <cellStyle name="Normal 3 2 3 4_DGO" xfId="1885" xr:uid="{00000000-0005-0000-0000-00002E050000}"/>
    <cellStyle name="Normal 3 2 3 5" xfId="740" xr:uid="{00000000-0005-0000-0000-00002F050000}"/>
    <cellStyle name="Normal 3 2 3 5 2" xfId="741" xr:uid="{00000000-0005-0000-0000-000030050000}"/>
    <cellStyle name="Normal 3 2 3 5 2 2" xfId="742" xr:uid="{00000000-0005-0000-0000-000031050000}"/>
    <cellStyle name="Normal 3 2 3 5 2 2 2" xfId="1888" xr:uid="{00000000-0005-0000-0000-000032050000}"/>
    <cellStyle name="Normal 3 2 3 5 2 3" xfId="743" xr:uid="{00000000-0005-0000-0000-000033050000}"/>
    <cellStyle name="Normal 3 2 3 5 2 3 2" xfId="1889" xr:uid="{00000000-0005-0000-0000-000034050000}"/>
    <cellStyle name="Normal 3 2 3 5 2 4" xfId="1890" xr:uid="{00000000-0005-0000-0000-000035050000}"/>
    <cellStyle name="Normal 3 2 3 5 2 5" xfId="1887" xr:uid="{00000000-0005-0000-0000-000036050000}"/>
    <cellStyle name="Normal 3 2 3 5 3" xfId="744" xr:uid="{00000000-0005-0000-0000-000037050000}"/>
    <cellStyle name="Normal 3 2 3 5 3 2" xfId="745" xr:uid="{00000000-0005-0000-0000-000038050000}"/>
    <cellStyle name="Normal 3 2 3 5 3 2 2" xfId="1892" xr:uid="{00000000-0005-0000-0000-000039050000}"/>
    <cellStyle name="Normal 3 2 3 5 3 3" xfId="746" xr:uid="{00000000-0005-0000-0000-00003A050000}"/>
    <cellStyle name="Normal 3 2 3 5 3 3 2" xfId="1893" xr:uid="{00000000-0005-0000-0000-00003B050000}"/>
    <cellStyle name="Normal 3 2 3 5 3 4" xfId="1894" xr:uid="{00000000-0005-0000-0000-00003C050000}"/>
    <cellStyle name="Normal 3 2 3 5 3 5" xfId="1891" xr:uid="{00000000-0005-0000-0000-00003D050000}"/>
    <cellStyle name="Normal 3 2 3 5 4" xfId="747" xr:uid="{00000000-0005-0000-0000-00003E050000}"/>
    <cellStyle name="Normal 3 2 3 5 4 2" xfId="748" xr:uid="{00000000-0005-0000-0000-00003F050000}"/>
    <cellStyle name="Normal 3 2 3 5 4 2 2" xfId="1896" xr:uid="{00000000-0005-0000-0000-000040050000}"/>
    <cellStyle name="Normal 3 2 3 5 4 3" xfId="1895" xr:uid="{00000000-0005-0000-0000-000041050000}"/>
    <cellStyle name="Normal 3 2 3 5 5" xfId="749" xr:uid="{00000000-0005-0000-0000-000042050000}"/>
    <cellStyle name="Normal 3 2 3 5 5 2" xfId="1897" xr:uid="{00000000-0005-0000-0000-000043050000}"/>
    <cellStyle name="Normal 3 2 3 5 6" xfId="1898" xr:uid="{00000000-0005-0000-0000-000044050000}"/>
    <cellStyle name="Normal 3 2 3 5 7" xfId="1886" xr:uid="{00000000-0005-0000-0000-000045050000}"/>
    <cellStyle name="Normal 3 2 3 5_DGO" xfId="1899" xr:uid="{00000000-0005-0000-0000-000046050000}"/>
    <cellStyle name="Normal 3 2 3 6" xfId="750" xr:uid="{00000000-0005-0000-0000-000047050000}"/>
    <cellStyle name="Normal 3 2 3 6 2" xfId="751" xr:uid="{00000000-0005-0000-0000-000048050000}"/>
    <cellStyle name="Normal 3 2 3 6 2 2" xfId="1902" xr:uid="{00000000-0005-0000-0000-000049050000}"/>
    <cellStyle name="Normal 3 2 3 6 2 3" xfId="1901" xr:uid="{00000000-0005-0000-0000-00004A050000}"/>
    <cellStyle name="Normal 3 2 3 6 3" xfId="752" xr:uid="{00000000-0005-0000-0000-00004B050000}"/>
    <cellStyle name="Normal 3 2 3 6 3 2" xfId="1903" xr:uid="{00000000-0005-0000-0000-00004C050000}"/>
    <cellStyle name="Normal 3 2 3 6 4" xfId="1904" xr:uid="{00000000-0005-0000-0000-00004D050000}"/>
    <cellStyle name="Normal 3 2 3 6 5" xfId="1900" xr:uid="{00000000-0005-0000-0000-00004E050000}"/>
    <cellStyle name="Normal 3 2 3 6_DGO" xfId="1905" xr:uid="{00000000-0005-0000-0000-00004F050000}"/>
    <cellStyle name="Normal 3 2 3 7" xfId="753" xr:uid="{00000000-0005-0000-0000-000050050000}"/>
    <cellStyle name="Normal 3 2 3 7 2" xfId="754" xr:uid="{00000000-0005-0000-0000-000051050000}"/>
    <cellStyle name="Normal 3 2 3 7 2 2" xfId="1907" xr:uid="{00000000-0005-0000-0000-000052050000}"/>
    <cellStyle name="Normal 3 2 3 7 3" xfId="755" xr:uid="{00000000-0005-0000-0000-000053050000}"/>
    <cellStyle name="Normal 3 2 3 7 3 2" xfId="1908" xr:uid="{00000000-0005-0000-0000-000054050000}"/>
    <cellStyle name="Normal 3 2 3 7 4" xfId="1909" xr:uid="{00000000-0005-0000-0000-000055050000}"/>
    <cellStyle name="Normal 3 2 3 7 5" xfId="1910" xr:uid="{00000000-0005-0000-0000-000056050000}"/>
    <cellStyle name="Normal 3 2 3 7 5 2" xfId="1911" xr:uid="{00000000-0005-0000-0000-000057050000}"/>
    <cellStyle name="Normal 3 2 3 7 6" xfId="1912" xr:uid="{00000000-0005-0000-0000-000058050000}"/>
    <cellStyle name="Normal 3 2 3 7 7" xfId="1913" xr:uid="{00000000-0005-0000-0000-000059050000}"/>
    <cellStyle name="Normal 3 2 3 7 8" xfId="1914" xr:uid="{00000000-0005-0000-0000-00005A050000}"/>
    <cellStyle name="Normal 3 2 3 7 9" xfId="1906" xr:uid="{00000000-0005-0000-0000-00005B050000}"/>
    <cellStyle name="Normal 3 2 3 8" xfId="756" xr:uid="{00000000-0005-0000-0000-00005C050000}"/>
    <cellStyle name="Normal 3 2 3 8 2" xfId="757" xr:uid="{00000000-0005-0000-0000-00005D050000}"/>
    <cellStyle name="Normal 3 2 3 8 2 2" xfId="1916" xr:uid="{00000000-0005-0000-0000-00005E050000}"/>
    <cellStyle name="Normal 3 2 3 8 3" xfId="1915" xr:uid="{00000000-0005-0000-0000-00005F050000}"/>
    <cellStyle name="Normal 3 2 3 9" xfId="758" xr:uid="{00000000-0005-0000-0000-000060050000}"/>
    <cellStyle name="Normal 3 2 3 9 2" xfId="1917" xr:uid="{00000000-0005-0000-0000-000061050000}"/>
    <cellStyle name="Normal 3 2 3_DGO" xfId="1918" xr:uid="{00000000-0005-0000-0000-000062050000}"/>
    <cellStyle name="Normal 3 2 4" xfId="759" xr:uid="{00000000-0005-0000-0000-000063050000}"/>
    <cellStyle name="Normal 3 2 4 2" xfId="760" xr:uid="{00000000-0005-0000-0000-000064050000}"/>
    <cellStyle name="Normal 3 2 4 2 2" xfId="761" xr:uid="{00000000-0005-0000-0000-000065050000}"/>
    <cellStyle name="Normal 3 2 4 2 2 2" xfId="762" xr:uid="{00000000-0005-0000-0000-000066050000}"/>
    <cellStyle name="Normal 3 2 4 2 2 2 2" xfId="1922" xr:uid="{00000000-0005-0000-0000-000067050000}"/>
    <cellStyle name="Normal 3 2 4 2 2 3" xfId="763" xr:uid="{00000000-0005-0000-0000-000068050000}"/>
    <cellStyle name="Normal 3 2 4 2 2 3 2" xfId="1923" xr:uid="{00000000-0005-0000-0000-000069050000}"/>
    <cellStyle name="Normal 3 2 4 2 2 4" xfId="1924" xr:uid="{00000000-0005-0000-0000-00006A050000}"/>
    <cellStyle name="Normal 3 2 4 2 2 5" xfId="1921" xr:uid="{00000000-0005-0000-0000-00006B050000}"/>
    <cellStyle name="Normal 3 2 4 2 3" xfId="764" xr:uid="{00000000-0005-0000-0000-00006C050000}"/>
    <cellStyle name="Normal 3 2 4 2 3 2" xfId="1925" xr:uid="{00000000-0005-0000-0000-00006D050000}"/>
    <cellStyle name="Normal 3 2 4 2 4" xfId="765" xr:uid="{00000000-0005-0000-0000-00006E050000}"/>
    <cellStyle name="Normal 3 2 4 2 4 2" xfId="1926" xr:uid="{00000000-0005-0000-0000-00006F050000}"/>
    <cellStyle name="Normal 3 2 4 2 5" xfId="1927" xr:uid="{00000000-0005-0000-0000-000070050000}"/>
    <cellStyle name="Normal 3 2 4 2 6" xfId="1920" xr:uid="{00000000-0005-0000-0000-000071050000}"/>
    <cellStyle name="Normal 3 2 4 2_DGO" xfId="1928" xr:uid="{00000000-0005-0000-0000-000072050000}"/>
    <cellStyle name="Normal 3 2 4 3" xfId="766" xr:uid="{00000000-0005-0000-0000-000073050000}"/>
    <cellStyle name="Normal 3 2 4 3 2" xfId="767" xr:uid="{00000000-0005-0000-0000-000074050000}"/>
    <cellStyle name="Normal 3 2 4 3 2 2" xfId="768" xr:uid="{00000000-0005-0000-0000-000075050000}"/>
    <cellStyle name="Normal 3 2 4 3 2 2 2" xfId="1931" xr:uid="{00000000-0005-0000-0000-000076050000}"/>
    <cellStyle name="Normal 3 2 4 3 2 3" xfId="769" xr:uid="{00000000-0005-0000-0000-000077050000}"/>
    <cellStyle name="Normal 3 2 4 3 2 3 2" xfId="1932" xr:uid="{00000000-0005-0000-0000-000078050000}"/>
    <cellStyle name="Normal 3 2 4 3 2 4" xfId="1933" xr:uid="{00000000-0005-0000-0000-000079050000}"/>
    <cellStyle name="Normal 3 2 4 3 2 5" xfId="1930" xr:uid="{00000000-0005-0000-0000-00007A050000}"/>
    <cellStyle name="Normal 3 2 4 3 3" xfId="770" xr:uid="{00000000-0005-0000-0000-00007B050000}"/>
    <cellStyle name="Normal 3 2 4 3 3 2" xfId="1934" xr:uid="{00000000-0005-0000-0000-00007C050000}"/>
    <cellStyle name="Normal 3 2 4 3 4" xfId="771" xr:uid="{00000000-0005-0000-0000-00007D050000}"/>
    <cellStyle name="Normal 3 2 4 3 4 2" xfId="1935" xr:uid="{00000000-0005-0000-0000-00007E050000}"/>
    <cellStyle name="Normal 3 2 4 3 5" xfId="1936" xr:uid="{00000000-0005-0000-0000-00007F050000}"/>
    <cellStyle name="Normal 3 2 4 3 6" xfId="1929" xr:uid="{00000000-0005-0000-0000-000080050000}"/>
    <cellStyle name="Normal 3 2 4 3_DGO" xfId="1937" xr:uid="{00000000-0005-0000-0000-000081050000}"/>
    <cellStyle name="Normal 3 2 4 4" xfId="772" xr:uid="{00000000-0005-0000-0000-000082050000}"/>
    <cellStyle name="Normal 3 2 4 4 2" xfId="773" xr:uid="{00000000-0005-0000-0000-000083050000}"/>
    <cellStyle name="Normal 3 2 4 4 2 2" xfId="1939" xr:uid="{00000000-0005-0000-0000-000084050000}"/>
    <cellStyle name="Normal 3 2 4 4 3" xfId="774" xr:uid="{00000000-0005-0000-0000-000085050000}"/>
    <cellStyle name="Normal 3 2 4 4 3 2" xfId="1940" xr:uid="{00000000-0005-0000-0000-000086050000}"/>
    <cellStyle name="Normal 3 2 4 4 4" xfId="1941" xr:uid="{00000000-0005-0000-0000-000087050000}"/>
    <cellStyle name="Normal 3 2 4 4 5" xfId="1938" xr:uid="{00000000-0005-0000-0000-000088050000}"/>
    <cellStyle name="Normal 3 2 4 5" xfId="775" xr:uid="{00000000-0005-0000-0000-000089050000}"/>
    <cellStyle name="Normal 3 2 4 5 2" xfId="776" xr:uid="{00000000-0005-0000-0000-00008A050000}"/>
    <cellStyle name="Normal 3 2 4 5 2 2" xfId="1943" xr:uid="{00000000-0005-0000-0000-00008B050000}"/>
    <cellStyle name="Normal 3 2 4 5 3" xfId="1942" xr:uid="{00000000-0005-0000-0000-00008C050000}"/>
    <cellStyle name="Normal 3 2 4 6" xfId="777" xr:uid="{00000000-0005-0000-0000-00008D050000}"/>
    <cellStyle name="Normal 3 2 4 6 2" xfId="1944" xr:uid="{00000000-0005-0000-0000-00008E050000}"/>
    <cellStyle name="Normal 3 2 4 7" xfId="1945" xr:uid="{00000000-0005-0000-0000-00008F050000}"/>
    <cellStyle name="Normal 3 2 4 8" xfId="1919" xr:uid="{00000000-0005-0000-0000-000090050000}"/>
    <cellStyle name="Normal 3 2 4_DGO" xfId="1946" xr:uid="{00000000-0005-0000-0000-000091050000}"/>
    <cellStyle name="Normal 3 2 5" xfId="778" xr:uid="{00000000-0005-0000-0000-000092050000}"/>
    <cellStyle name="Normal 3 2 5 2" xfId="779" xr:uid="{00000000-0005-0000-0000-000093050000}"/>
    <cellStyle name="Normal 3 2 5 2 2" xfId="780" xr:uid="{00000000-0005-0000-0000-000094050000}"/>
    <cellStyle name="Normal 3 2 5 2 2 2" xfId="1949" xr:uid="{00000000-0005-0000-0000-000095050000}"/>
    <cellStyle name="Normal 3 2 5 2 3" xfId="781" xr:uid="{00000000-0005-0000-0000-000096050000}"/>
    <cellStyle name="Normal 3 2 5 2 3 2" xfId="1950" xr:uid="{00000000-0005-0000-0000-000097050000}"/>
    <cellStyle name="Normal 3 2 5 2 4" xfId="1951" xr:uid="{00000000-0005-0000-0000-000098050000}"/>
    <cellStyle name="Normal 3 2 5 2 5" xfId="1948" xr:uid="{00000000-0005-0000-0000-000099050000}"/>
    <cellStyle name="Normal 3 2 5 3" xfId="782" xr:uid="{00000000-0005-0000-0000-00009A050000}"/>
    <cellStyle name="Normal 3 2 5 4" xfId="783" xr:uid="{00000000-0005-0000-0000-00009B050000}"/>
    <cellStyle name="Normal 3 2 5 4 2" xfId="784" xr:uid="{00000000-0005-0000-0000-00009C050000}"/>
    <cellStyle name="Normal 3 2 5 4 2 2" xfId="1953" xr:uid="{00000000-0005-0000-0000-00009D050000}"/>
    <cellStyle name="Normal 3 2 5 4 3" xfId="1952" xr:uid="{00000000-0005-0000-0000-00009E050000}"/>
    <cellStyle name="Normal 3 2 5 5" xfId="785" xr:uid="{00000000-0005-0000-0000-00009F050000}"/>
    <cellStyle name="Normal 3 2 5 5 2" xfId="1954" xr:uid="{00000000-0005-0000-0000-0000A0050000}"/>
    <cellStyle name="Normal 3 2 5 6" xfId="1947" xr:uid="{00000000-0005-0000-0000-0000A1050000}"/>
    <cellStyle name="Normal 3 2 5_DGO" xfId="1955" xr:uid="{00000000-0005-0000-0000-0000A2050000}"/>
    <cellStyle name="Normal 3 2 6" xfId="786" xr:uid="{00000000-0005-0000-0000-0000A3050000}"/>
    <cellStyle name="Normal 3 2 6 2" xfId="787" xr:uid="{00000000-0005-0000-0000-0000A4050000}"/>
    <cellStyle name="Normal 3 2 6 2 2" xfId="788" xr:uid="{00000000-0005-0000-0000-0000A5050000}"/>
    <cellStyle name="Normal 3 2 6 2 2 2" xfId="1958" xr:uid="{00000000-0005-0000-0000-0000A6050000}"/>
    <cellStyle name="Normal 3 2 6 2 3" xfId="789" xr:uid="{00000000-0005-0000-0000-0000A7050000}"/>
    <cellStyle name="Normal 3 2 6 2 3 2" xfId="1959" xr:uid="{00000000-0005-0000-0000-0000A8050000}"/>
    <cellStyle name="Normal 3 2 6 2 4" xfId="1960" xr:uid="{00000000-0005-0000-0000-0000A9050000}"/>
    <cellStyle name="Normal 3 2 6 2 5" xfId="1957" xr:uid="{00000000-0005-0000-0000-0000AA050000}"/>
    <cellStyle name="Normal 3 2 6 3" xfId="790" xr:uid="{00000000-0005-0000-0000-0000AB050000}"/>
    <cellStyle name="Normal 3 2 6 3 2" xfId="1961" xr:uid="{00000000-0005-0000-0000-0000AC050000}"/>
    <cellStyle name="Normal 3 2 6 4" xfId="791" xr:uid="{00000000-0005-0000-0000-0000AD050000}"/>
    <cellStyle name="Normal 3 2 6 4 2" xfId="1962" xr:uid="{00000000-0005-0000-0000-0000AE050000}"/>
    <cellStyle name="Normal 3 2 6 5" xfId="1963" xr:uid="{00000000-0005-0000-0000-0000AF050000}"/>
    <cellStyle name="Normal 3 2 6 6" xfId="1956" xr:uid="{00000000-0005-0000-0000-0000B0050000}"/>
    <cellStyle name="Normal 3 2 6_DGO" xfId="1964" xr:uid="{00000000-0005-0000-0000-0000B1050000}"/>
    <cellStyle name="Normal 3 2 7" xfId="792" xr:uid="{00000000-0005-0000-0000-0000B2050000}"/>
    <cellStyle name="Normal 3 2 7 2" xfId="793" xr:uid="{00000000-0005-0000-0000-0000B3050000}"/>
    <cellStyle name="Normal 3 2 7 2 2" xfId="1966" xr:uid="{00000000-0005-0000-0000-0000B4050000}"/>
    <cellStyle name="Normal 3 2 7 3" xfId="794" xr:uid="{00000000-0005-0000-0000-0000B5050000}"/>
    <cellStyle name="Normal 3 2 7 3 2" xfId="1967" xr:uid="{00000000-0005-0000-0000-0000B6050000}"/>
    <cellStyle name="Normal 3 2 7 4" xfId="1968" xr:uid="{00000000-0005-0000-0000-0000B7050000}"/>
    <cellStyle name="Normal 3 2 7 5" xfId="1965" xr:uid="{00000000-0005-0000-0000-0000B8050000}"/>
    <cellStyle name="Normal 3 2 8" xfId="795" xr:uid="{00000000-0005-0000-0000-0000B9050000}"/>
    <cellStyle name="Normal 3 2 8 2" xfId="796" xr:uid="{00000000-0005-0000-0000-0000BA050000}"/>
    <cellStyle name="Normal 3 2 8 2 2" xfId="797" xr:uid="{00000000-0005-0000-0000-0000BB050000}"/>
    <cellStyle name="Normal 3 2 8 2 2 2" xfId="1971" xr:uid="{00000000-0005-0000-0000-0000BC050000}"/>
    <cellStyle name="Normal 3 2 8 2 3" xfId="798" xr:uid="{00000000-0005-0000-0000-0000BD050000}"/>
    <cellStyle name="Normal 3 2 8 2 3 2" xfId="1972" xr:uid="{00000000-0005-0000-0000-0000BE050000}"/>
    <cellStyle name="Normal 3 2 8 2 4" xfId="1973" xr:uid="{00000000-0005-0000-0000-0000BF050000}"/>
    <cellStyle name="Normal 3 2 8 2 5" xfId="1970" xr:uid="{00000000-0005-0000-0000-0000C0050000}"/>
    <cellStyle name="Normal 3 2 8 3" xfId="799" xr:uid="{00000000-0005-0000-0000-0000C1050000}"/>
    <cellStyle name="Normal 3 2 8 3 2" xfId="1974" xr:uid="{00000000-0005-0000-0000-0000C2050000}"/>
    <cellStyle name="Normal 3 2 8 4" xfId="800" xr:uid="{00000000-0005-0000-0000-0000C3050000}"/>
    <cellStyle name="Normal 3 2 8 4 2" xfId="1975" xr:uid="{00000000-0005-0000-0000-0000C4050000}"/>
    <cellStyle name="Normal 3 2 8 5" xfId="1976" xr:uid="{00000000-0005-0000-0000-0000C5050000}"/>
    <cellStyle name="Normal 3 2 8 6" xfId="1969" xr:uid="{00000000-0005-0000-0000-0000C6050000}"/>
    <cellStyle name="Normal 3 2 8_DGO" xfId="1977" xr:uid="{00000000-0005-0000-0000-0000C7050000}"/>
    <cellStyle name="Normal 3 2 9" xfId="801" xr:uid="{00000000-0005-0000-0000-0000C8050000}"/>
    <cellStyle name="Normal 3 2 9 2" xfId="802" xr:uid="{00000000-0005-0000-0000-0000C9050000}"/>
    <cellStyle name="Normal 3 2 9 2 2" xfId="1979" xr:uid="{00000000-0005-0000-0000-0000CA050000}"/>
    <cellStyle name="Normal 3 2 9 3" xfId="803" xr:uid="{00000000-0005-0000-0000-0000CB050000}"/>
    <cellStyle name="Normal 3 2 9 3 2" xfId="1980" xr:uid="{00000000-0005-0000-0000-0000CC050000}"/>
    <cellStyle name="Normal 3 2 9 4" xfId="1981" xr:uid="{00000000-0005-0000-0000-0000CD050000}"/>
    <cellStyle name="Normal 3 2 9 5" xfId="1978" xr:uid="{00000000-0005-0000-0000-0000CE050000}"/>
    <cellStyle name="Normal 3 2_DGO" xfId="1982" xr:uid="{00000000-0005-0000-0000-0000CF050000}"/>
    <cellStyle name="Normal 3 3" xfId="804" xr:uid="{00000000-0005-0000-0000-0000D0050000}"/>
    <cellStyle name="Normal 3 3 2" xfId="805" xr:uid="{00000000-0005-0000-0000-0000D1050000}"/>
    <cellStyle name="Normal 3 4" xfId="806" xr:uid="{00000000-0005-0000-0000-0000D2050000}"/>
    <cellStyle name="Normal 3 5" xfId="807" xr:uid="{00000000-0005-0000-0000-0000D3050000}"/>
    <cellStyle name="Normal 3 6" xfId="808" xr:uid="{00000000-0005-0000-0000-0000D4050000}"/>
    <cellStyle name="Normal 3 6 2" xfId="1983" xr:uid="{00000000-0005-0000-0000-0000D5050000}"/>
    <cellStyle name="Normal 3 7" xfId="809" xr:uid="{00000000-0005-0000-0000-0000D6050000}"/>
    <cellStyle name="Normal 3 8" xfId="810" xr:uid="{00000000-0005-0000-0000-0000D7050000}"/>
    <cellStyle name="Normal 3 9" xfId="811" xr:uid="{00000000-0005-0000-0000-0000D8050000}"/>
    <cellStyle name="Normal 3_Xl0000003" xfId="812" xr:uid="{00000000-0005-0000-0000-0000D9050000}"/>
    <cellStyle name="Normal 30" xfId="813" xr:uid="{00000000-0005-0000-0000-0000DA050000}"/>
    <cellStyle name="Normal 30 2" xfId="1984" xr:uid="{00000000-0005-0000-0000-0000DB050000}"/>
    <cellStyle name="Normal 31" xfId="814" xr:uid="{00000000-0005-0000-0000-0000DC050000}"/>
    <cellStyle name="Normal 31 2" xfId="1985" xr:uid="{00000000-0005-0000-0000-0000DD050000}"/>
    <cellStyle name="Normal 32" xfId="815" xr:uid="{00000000-0005-0000-0000-0000DE050000}"/>
    <cellStyle name="Normal 32 2" xfId="1986" xr:uid="{00000000-0005-0000-0000-0000DF050000}"/>
    <cellStyle name="Normal 33" xfId="816" xr:uid="{00000000-0005-0000-0000-0000E0050000}"/>
    <cellStyle name="Normal 33 2" xfId="1987" xr:uid="{00000000-0005-0000-0000-0000E1050000}"/>
    <cellStyle name="Normal 34" xfId="817" xr:uid="{00000000-0005-0000-0000-0000E2050000}"/>
    <cellStyle name="Normal 34 2" xfId="1988" xr:uid="{00000000-0005-0000-0000-0000E3050000}"/>
    <cellStyle name="Normal 35" xfId="818" xr:uid="{00000000-0005-0000-0000-0000E4050000}"/>
    <cellStyle name="Normal 35 2" xfId="1989" xr:uid="{00000000-0005-0000-0000-0000E5050000}"/>
    <cellStyle name="Normal 36" xfId="819" xr:uid="{00000000-0005-0000-0000-0000E6050000}"/>
    <cellStyle name="Normal 36 2" xfId="1990" xr:uid="{00000000-0005-0000-0000-0000E7050000}"/>
    <cellStyle name="Normal 37" xfId="820" xr:uid="{00000000-0005-0000-0000-0000E8050000}"/>
    <cellStyle name="Normal 37 2" xfId="1991" xr:uid="{00000000-0005-0000-0000-0000E9050000}"/>
    <cellStyle name="Normal 38" xfId="821" xr:uid="{00000000-0005-0000-0000-0000EA050000}"/>
    <cellStyle name="Normal 38 2" xfId="1992" xr:uid="{00000000-0005-0000-0000-0000EB050000}"/>
    <cellStyle name="Normal 39" xfId="822" xr:uid="{00000000-0005-0000-0000-0000EC050000}"/>
    <cellStyle name="Normal 39 2" xfId="1993" xr:uid="{00000000-0005-0000-0000-0000ED050000}"/>
    <cellStyle name="Normal 4" xfId="823" xr:uid="{00000000-0005-0000-0000-0000EE050000}"/>
    <cellStyle name="Normal 4 10" xfId="824" xr:uid="{00000000-0005-0000-0000-0000EF050000}"/>
    <cellStyle name="Normal 4 10 2" xfId="1994" xr:uid="{00000000-0005-0000-0000-0000F0050000}"/>
    <cellStyle name="Normal 4 11" xfId="825" xr:uid="{00000000-0005-0000-0000-0000F1050000}"/>
    <cellStyle name="Normal 4 2" xfId="826" xr:uid="{00000000-0005-0000-0000-0000F2050000}"/>
    <cellStyle name="Normal 4 2 2" xfId="1298" xr:uid="{00000000-0005-0000-0000-0000F3050000}"/>
    <cellStyle name="Normal 4 3" xfId="827" xr:uid="{00000000-0005-0000-0000-0000F4050000}"/>
    <cellStyle name="Normal 4 3 2" xfId="828" xr:uid="{00000000-0005-0000-0000-0000F5050000}"/>
    <cellStyle name="Normal 4 3 2 2" xfId="1996" xr:uid="{00000000-0005-0000-0000-0000F6050000}"/>
    <cellStyle name="Normal 4 3 3" xfId="829" xr:uid="{00000000-0005-0000-0000-0000F7050000}"/>
    <cellStyle name="Normal 4 3 3 2" xfId="1997" xr:uid="{00000000-0005-0000-0000-0000F8050000}"/>
    <cellStyle name="Normal 4 3 4" xfId="1998" xr:uid="{00000000-0005-0000-0000-0000F9050000}"/>
    <cellStyle name="Normal 4 3 5" xfId="1995" xr:uid="{00000000-0005-0000-0000-0000FA050000}"/>
    <cellStyle name="Normal 4 4" xfId="830" xr:uid="{00000000-0005-0000-0000-0000FB050000}"/>
    <cellStyle name="Normal 4 4 2" xfId="1999" xr:uid="{00000000-0005-0000-0000-0000FC050000}"/>
    <cellStyle name="Normal 4 5" xfId="831" xr:uid="{00000000-0005-0000-0000-0000FD050000}"/>
    <cellStyle name="Normal 4 5 2" xfId="2000" xr:uid="{00000000-0005-0000-0000-0000FE050000}"/>
    <cellStyle name="Normal 4 6" xfId="832" xr:uid="{00000000-0005-0000-0000-0000FF050000}"/>
    <cellStyle name="Normal 4 6 2" xfId="2001" xr:uid="{00000000-0005-0000-0000-000000060000}"/>
    <cellStyle name="Normal 4 7" xfId="833" xr:uid="{00000000-0005-0000-0000-000001060000}"/>
    <cellStyle name="Normal 4 7 2" xfId="2002" xr:uid="{00000000-0005-0000-0000-000002060000}"/>
    <cellStyle name="Normal 4 8" xfId="834" xr:uid="{00000000-0005-0000-0000-000003060000}"/>
    <cellStyle name="Normal 4 8 2" xfId="2003" xr:uid="{00000000-0005-0000-0000-000004060000}"/>
    <cellStyle name="Normal 4 9" xfId="835" xr:uid="{00000000-0005-0000-0000-000005060000}"/>
    <cellStyle name="Normal 4 9 2" xfId="2004" xr:uid="{00000000-0005-0000-0000-000006060000}"/>
    <cellStyle name="Normal 40" xfId="836" xr:uid="{00000000-0005-0000-0000-000007060000}"/>
    <cellStyle name="Normal 40 2" xfId="2005" xr:uid="{00000000-0005-0000-0000-000008060000}"/>
    <cellStyle name="Normal 41" xfId="837" xr:uid="{00000000-0005-0000-0000-000009060000}"/>
    <cellStyle name="Normal 41 2" xfId="2006" xr:uid="{00000000-0005-0000-0000-00000A060000}"/>
    <cellStyle name="Normal 42" xfId="838" xr:uid="{00000000-0005-0000-0000-00000B060000}"/>
    <cellStyle name="Normal 42 2" xfId="2007" xr:uid="{00000000-0005-0000-0000-00000C060000}"/>
    <cellStyle name="Normal 43" xfId="839" xr:uid="{00000000-0005-0000-0000-00000D060000}"/>
    <cellStyle name="Normal 43 2" xfId="2008" xr:uid="{00000000-0005-0000-0000-00000E060000}"/>
    <cellStyle name="Normal 44" xfId="840" xr:uid="{00000000-0005-0000-0000-00000F060000}"/>
    <cellStyle name="Normal 44 2" xfId="841" xr:uid="{00000000-0005-0000-0000-000010060000}"/>
    <cellStyle name="Normal 44 2 2" xfId="842" xr:uid="{00000000-0005-0000-0000-000011060000}"/>
    <cellStyle name="Normal 44 2 2 2" xfId="2010" xr:uid="{00000000-0005-0000-0000-000012060000}"/>
    <cellStyle name="Normal 44 2 3" xfId="2011" xr:uid="{00000000-0005-0000-0000-000013060000}"/>
    <cellStyle name="Normal 44 2 4" xfId="2009" xr:uid="{00000000-0005-0000-0000-000014060000}"/>
    <cellStyle name="Normal 44 3" xfId="2012" xr:uid="{00000000-0005-0000-0000-000015060000}"/>
    <cellStyle name="Normal 45" xfId="843" xr:uid="{00000000-0005-0000-0000-000016060000}"/>
    <cellStyle name="Normal 45 2" xfId="2013" xr:uid="{00000000-0005-0000-0000-000017060000}"/>
    <cellStyle name="Normal 46" xfId="844" xr:uid="{00000000-0005-0000-0000-000018060000}"/>
    <cellStyle name="Normal 46 2" xfId="2014" xr:uid="{00000000-0005-0000-0000-000019060000}"/>
    <cellStyle name="Normal 47" xfId="845" xr:uid="{00000000-0005-0000-0000-00001A060000}"/>
    <cellStyle name="Normal 47 2" xfId="2015" xr:uid="{00000000-0005-0000-0000-00001B060000}"/>
    <cellStyle name="Normal 48" xfId="846" xr:uid="{00000000-0005-0000-0000-00001C060000}"/>
    <cellStyle name="Normal 48 2" xfId="2016" xr:uid="{00000000-0005-0000-0000-00001D060000}"/>
    <cellStyle name="Normal 49" xfId="847" xr:uid="{00000000-0005-0000-0000-00001E060000}"/>
    <cellStyle name="Normal 49 2" xfId="2017" xr:uid="{00000000-0005-0000-0000-00001F060000}"/>
    <cellStyle name="Normal 5" xfId="848" xr:uid="{00000000-0005-0000-0000-000020060000}"/>
    <cellStyle name="Normal 5 10" xfId="849" xr:uid="{00000000-0005-0000-0000-000021060000}"/>
    <cellStyle name="Normal 5 10 2" xfId="850" xr:uid="{00000000-0005-0000-0000-000022060000}"/>
    <cellStyle name="Normal 5 10 2 10" xfId="851" xr:uid="{00000000-0005-0000-0000-000023060000}"/>
    <cellStyle name="Normal 5 10 2 10 2" xfId="2018" xr:uid="{00000000-0005-0000-0000-000024060000}"/>
    <cellStyle name="Normal 5 10 2 11" xfId="852" xr:uid="{00000000-0005-0000-0000-000025060000}"/>
    <cellStyle name="Normal 5 10 2 11 2" xfId="2019" xr:uid="{00000000-0005-0000-0000-000026060000}"/>
    <cellStyle name="Normal 5 10 2 12" xfId="853" xr:uid="{00000000-0005-0000-0000-000027060000}"/>
    <cellStyle name="Normal 5 10 2 12 2" xfId="2020" xr:uid="{00000000-0005-0000-0000-000028060000}"/>
    <cellStyle name="Normal 5 10 2 13" xfId="2021" xr:uid="{00000000-0005-0000-0000-000029060000}"/>
    <cellStyle name="Normal 5 10 2 2" xfId="854" xr:uid="{00000000-0005-0000-0000-00002A060000}"/>
    <cellStyle name="Normal 5 10 2 2 2" xfId="2022" xr:uid="{00000000-0005-0000-0000-00002B060000}"/>
    <cellStyle name="Normal 5 10 2 3" xfId="855" xr:uid="{00000000-0005-0000-0000-00002C060000}"/>
    <cellStyle name="Normal 5 10 2 3 2" xfId="2023" xr:uid="{00000000-0005-0000-0000-00002D060000}"/>
    <cellStyle name="Normal 5 10 2 4" xfId="856" xr:uid="{00000000-0005-0000-0000-00002E060000}"/>
    <cellStyle name="Normal 5 10 2 4 2" xfId="2024" xr:uid="{00000000-0005-0000-0000-00002F060000}"/>
    <cellStyle name="Normal 5 10 2 5" xfId="857" xr:uid="{00000000-0005-0000-0000-000030060000}"/>
    <cellStyle name="Normal 5 10 2 5 2" xfId="2025" xr:uid="{00000000-0005-0000-0000-000031060000}"/>
    <cellStyle name="Normal 5 10 2 6" xfId="858" xr:uid="{00000000-0005-0000-0000-000032060000}"/>
    <cellStyle name="Normal 5 10 2 6 2" xfId="2026" xr:uid="{00000000-0005-0000-0000-000033060000}"/>
    <cellStyle name="Normal 5 10 2 7" xfId="859" xr:uid="{00000000-0005-0000-0000-000034060000}"/>
    <cellStyle name="Normal 5 10 2 7 2" xfId="2027" xr:uid="{00000000-0005-0000-0000-000035060000}"/>
    <cellStyle name="Normal 5 10 2 8" xfId="860" xr:uid="{00000000-0005-0000-0000-000036060000}"/>
    <cellStyle name="Normal 5 10 2 8 2" xfId="2028" xr:uid="{00000000-0005-0000-0000-000037060000}"/>
    <cellStyle name="Normal 5 10 2 9" xfId="861" xr:uid="{00000000-0005-0000-0000-000038060000}"/>
    <cellStyle name="Normal 5 10 2 9 2" xfId="2029" xr:uid="{00000000-0005-0000-0000-000039060000}"/>
    <cellStyle name="Normal 5 10 3" xfId="2030" xr:uid="{00000000-0005-0000-0000-00003A060000}"/>
    <cellStyle name="Normal 5 11" xfId="862" xr:uid="{00000000-0005-0000-0000-00003B060000}"/>
    <cellStyle name="Normal 5 2" xfId="863" xr:uid="{00000000-0005-0000-0000-00003C060000}"/>
    <cellStyle name="Normal 5 2 2" xfId="864" xr:uid="{00000000-0005-0000-0000-00003D060000}"/>
    <cellStyle name="Normal 5 3" xfId="865" xr:uid="{00000000-0005-0000-0000-00003E060000}"/>
    <cellStyle name="Normal 5 4" xfId="866" xr:uid="{00000000-0005-0000-0000-00003F060000}"/>
    <cellStyle name="Normal 5 4 2" xfId="867" xr:uid="{00000000-0005-0000-0000-000040060000}"/>
    <cellStyle name="Normal 5 4 2 2" xfId="2032" xr:uid="{00000000-0005-0000-0000-000041060000}"/>
    <cellStyle name="Normal 5 4 3" xfId="868" xr:uid="{00000000-0005-0000-0000-000042060000}"/>
    <cellStyle name="Normal 5 4 3 2" xfId="2033" xr:uid="{00000000-0005-0000-0000-000043060000}"/>
    <cellStyle name="Normal 5 4 4" xfId="2034" xr:uid="{00000000-0005-0000-0000-000044060000}"/>
    <cellStyle name="Normal 5 4 5" xfId="2031" xr:uid="{00000000-0005-0000-0000-000045060000}"/>
    <cellStyle name="Normal 5 5" xfId="869" xr:uid="{00000000-0005-0000-0000-000046060000}"/>
    <cellStyle name="Normal 5 5 2" xfId="870" xr:uid="{00000000-0005-0000-0000-000047060000}"/>
    <cellStyle name="Normal 5 5 2 2" xfId="871" xr:uid="{00000000-0005-0000-0000-000048060000}"/>
    <cellStyle name="Normal 5 5 2 2 2" xfId="2036" xr:uid="{00000000-0005-0000-0000-000049060000}"/>
    <cellStyle name="Normal 5 5 2 3" xfId="872" xr:uid="{00000000-0005-0000-0000-00004A060000}"/>
    <cellStyle name="Normal 5 5 2 3 2" xfId="2037" xr:uid="{00000000-0005-0000-0000-00004B060000}"/>
    <cellStyle name="Normal 5 5 2 4" xfId="2038" xr:uid="{00000000-0005-0000-0000-00004C060000}"/>
    <cellStyle name="Normal 5 5 2 5" xfId="2035" xr:uid="{00000000-0005-0000-0000-00004D060000}"/>
    <cellStyle name="Normal 5 5 3" xfId="2039" xr:uid="{00000000-0005-0000-0000-00004E060000}"/>
    <cellStyle name="Normal 5 6" xfId="873" xr:uid="{00000000-0005-0000-0000-00004F060000}"/>
    <cellStyle name="Normal 5 6 2" xfId="2040" xr:uid="{00000000-0005-0000-0000-000050060000}"/>
    <cellStyle name="Normal 5 7" xfId="874" xr:uid="{00000000-0005-0000-0000-000051060000}"/>
    <cellStyle name="Normal 5 7 2" xfId="2041" xr:uid="{00000000-0005-0000-0000-000052060000}"/>
    <cellStyle name="Normal 5 8" xfId="875" xr:uid="{00000000-0005-0000-0000-000053060000}"/>
    <cellStyle name="Normal 5 8 2" xfId="2042" xr:uid="{00000000-0005-0000-0000-000054060000}"/>
    <cellStyle name="Normal 5 9" xfId="876" xr:uid="{00000000-0005-0000-0000-000055060000}"/>
    <cellStyle name="Normal 5 9 2" xfId="2043" xr:uid="{00000000-0005-0000-0000-000056060000}"/>
    <cellStyle name="Normal 50" xfId="877" xr:uid="{00000000-0005-0000-0000-000057060000}"/>
    <cellStyle name="Normal 50 2" xfId="2044" xr:uid="{00000000-0005-0000-0000-000058060000}"/>
    <cellStyle name="Normal 51" xfId="878" xr:uid="{00000000-0005-0000-0000-000059060000}"/>
    <cellStyle name="Normal 51 2" xfId="2045" xr:uid="{00000000-0005-0000-0000-00005A060000}"/>
    <cellStyle name="Normal 52" xfId="879" xr:uid="{00000000-0005-0000-0000-00005B060000}"/>
    <cellStyle name="Normal 52 2" xfId="2046" xr:uid="{00000000-0005-0000-0000-00005C060000}"/>
    <cellStyle name="Normal 53" xfId="880" xr:uid="{00000000-0005-0000-0000-00005D060000}"/>
    <cellStyle name="Normal 53 2" xfId="2047" xr:uid="{00000000-0005-0000-0000-00005E060000}"/>
    <cellStyle name="Normal 54" xfId="881" xr:uid="{00000000-0005-0000-0000-00005F060000}"/>
    <cellStyle name="Normal 54 2" xfId="882" xr:uid="{00000000-0005-0000-0000-000060060000}"/>
    <cellStyle name="Normal 54 2 2" xfId="2049" xr:uid="{00000000-0005-0000-0000-000061060000}"/>
    <cellStyle name="Normal 54 3" xfId="883" xr:uid="{00000000-0005-0000-0000-000062060000}"/>
    <cellStyle name="Normal 54 3 2" xfId="2050" xr:uid="{00000000-0005-0000-0000-000063060000}"/>
    <cellStyle name="Normal 54 4" xfId="2051" xr:uid="{00000000-0005-0000-0000-000064060000}"/>
    <cellStyle name="Normal 54 5" xfId="2048" xr:uid="{00000000-0005-0000-0000-000065060000}"/>
    <cellStyle name="Normal 55" xfId="884" xr:uid="{00000000-0005-0000-0000-000066060000}"/>
    <cellStyle name="Normal 55 2" xfId="2052" xr:uid="{00000000-0005-0000-0000-000067060000}"/>
    <cellStyle name="Normal 56" xfId="885" xr:uid="{00000000-0005-0000-0000-000068060000}"/>
    <cellStyle name="Normal 57" xfId="886" xr:uid="{00000000-0005-0000-0000-000069060000}"/>
    <cellStyle name="Normal 57 2" xfId="887" xr:uid="{00000000-0005-0000-0000-00006A060000}"/>
    <cellStyle name="Normal 57 2 2" xfId="2054" xr:uid="{00000000-0005-0000-0000-00006B060000}"/>
    <cellStyle name="Normal 57 3" xfId="888" xr:uid="{00000000-0005-0000-0000-00006C060000}"/>
    <cellStyle name="Normal 57 3 2" xfId="2055" xr:uid="{00000000-0005-0000-0000-00006D060000}"/>
    <cellStyle name="Normal 57 4" xfId="2056" xr:uid="{00000000-0005-0000-0000-00006E060000}"/>
    <cellStyle name="Normal 57 5" xfId="2053" xr:uid="{00000000-0005-0000-0000-00006F060000}"/>
    <cellStyle name="Normal 58" xfId="889" xr:uid="{00000000-0005-0000-0000-000070060000}"/>
    <cellStyle name="Normal 58 2" xfId="2057" xr:uid="{00000000-0005-0000-0000-000071060000}"/>
    <cellStyle name="Normal 59" xfId="890" xr:uid="{00000000-0005-0000-0000-000072060000}"/>
    <cellStyle name="Normal 59 2" xfId="2058" xr:uid="{00000000-0005-0000-0000-000073060000}"/>
    <cellStyle name="Normal 6" xfId="891" xr:uid="{00000000-0005-0000-0000-000074060000}"/>
    <cellStyle name="Normal 6 10" xfId="892" xr:uid="{00000000-0005-0000-0000-000075060000}"/>
    <cellStyle name="Normal 6 10 2" xfId="2060" xr:uid="{00000000-0005-0000-0000-000076060000}"/>
    <cellStyle name="Normal 6 11" xfId="893" xr:uid="{00000000-0005-0000-0000-000077060000}"/>
    <cellStyle name="Normal 6 11 2" xfId="2061" xr:uid="{00000000-0005-0000-0000-000078060000}"/>
    <cellStyle name="Normal 6 12" xfId="894" xr:uid="{00000000-0005-0000-0000-000079060000}"/>
    <cellStyle name="Normal 6 12 2" xfId="2062" xr:uid="{00000000-0005-0000-0000-00007A060000}"/>
    <cellStyle name="Normal 6 13" xfId="895" xr:uid="{00000000-0005-0000-0000-00007B060000}"/>
    <cellStyle name="Normal 6 13 2" xfId="2063" xr:uid="{00000000-0005-0000-0000-00007C060000}"/>
    <cellStyle name="Normal 6 14" xfId="896" xr:uid="{00000000-0005-0000-0000-00007D060000}"/>
    <cellStyle name="Normal 6 14 2" xfId="2064" xr:uid="{00000000-0005-0000-0000-00007E060000}"/>
    <cellStyle name="Normal 6 15" xfId="2059" xr:uid="{00000000-0005-0000-0000-00007F060000}"/>
    <cellStyle name="Normal 6 2" xfId="897" xr:uid="{00000000-0005-0000-0000-000080060000}"/>
    <cellStyle name="Normal 6 2 2" xfId="898" xr:uid="{00000000-0005-0000-0000-000081060000}"/>
    <cellStyle name="Normal 6 2 2 2" xfId="899" xr:uid="{00000000-0005-0000-0000-000082060000}"/>
    <cellStyle name="Normal 6 2 2 2 2" xfId="900" xr:uid="{00000000-0005-0000-0000-000083060000}"/>
    <cellStyle name="Normal 6 2 2 2 2 2" xfId="2068" xr:uid="{00000000-0005-0000-0000-000084060000}"/>
    <cellStyle name="Normal 6 2 2 2 3" xfId="901" xr:uid="{00000000-0005-0000-0000-000085060000}"/>
    <cellStyle name="Normal 6 2 2 2 3 2" xfId="2069" xr:uid="{00000000-0005-0000-0000-000086060000}"/>
    <cellStyle name="Normal 6 2 2 2 4" xfId="2070" xr:uid="{00000000-0005-0000-0000-000087060000}"/>
    <cellStyle name="Normal 6 2 2 2 5" xfId="2067" xr:uid="{00000000-0005-0000-0000-000088060000}"/>
    <cellStyle name="Normal 6 2 2 3" xfId="902" xr:uid="{00000000-0005-0000-0000-000089060000}"/>
    <cellStyle name="Normal 6 2 2 3 2" xfId="2071" xr:uid="{00000000-0005-0000-0000-00008A060000}"/>
    <cellStyle name="Normal 6 2 2 4" xfId="903" xr:uid="{00000000-0005-0000-0000-00008B060000}"/>
    <cellStyle name="Normal 6 2 2 4 2" xfId="2072" xr:uid="{00000000-0005-0000-0000-00008C060000}"/>
    <cellStyle name="Normal 6 2 2 5" xfId="2073" xr:uid="{00000000-0005-0000-0000-00008D060000}"/>
    <cellStyle name="Normal 6 2 2 6" xfId="2066" xr:uid="{00000000-0005-0000-0000-00008E060000}"/>
    <cellStyle name="Normal 6 2 2_DGO" xfId="2074" xr:uid="{00000000-0005-0000-0000-00008F060000}"/>
    <cellStyle name="Normal 6 2 3" xfId="904" xr:uid="{00000000-0005-0000-0000-000090060000}"/>
    <cellStyle name="Normal 6 2 3 2" xfId="905" xr:uid="{00000000-0005-0000-0000-000091060000}"/>
    <cellStyle name="Normal 6 2 3 2 2" xfId="906" xr:uid="{00000000-0005-0000-0000-000092060000}"/>
    <cellStyle name="Normal 6 2 3 2 2 2" xfId="2076" xr:uid="{00000000-0005-0000-0000-000093060000}"/>
    <cellStyle name="Normal 6 2 3 2 3" xfId="907" xr:uid="{00000000-0005-0000-0000-000094060000}"/>
    <cellStyle name="Normal 6 2 3 2 3 2" xfId="2077" xr:uid="{00000000-0005-0000-0000-000095060000}"/>
    <cellStyle name="Normal 6 2 3 2 4" xfId="2078" xr:uid="{00000000-0005-0000-0000-000096060000}"/>
    <cellStyle name="Normal 6 2 3 2 5" xfId="2075" xr:uid="{00000000-0005-0000-0000-000097060000}"/>
    <cellStyle name="Normal 6 2 3_DGO" xfId="2079" xr:uid="{00000000-0005-0000-0000-000098060000}"/>
    <cellStyle name="Normal 6 2 4" xfId="908" xr:uid="{00000000-0005-0000-0000-000099060000}"/>
    <cellStyle name="Normal 6 2 4 2" xfId="909" xr:uid="{00000000-0005-0000-0000-00009A060000}"/>
    <cellStyle name="Normal 6 2 4 2 2" xfId="2081" xr:uid="{00000000-0005-0000-0000-00009B060000}"/>
    <cellStyle name="Normal 6 2 4 3" xfId="910" xr:uid="{00000000-0005-0000-0000-00009C060000}"/>
    <cellStyle name="Normal 6 2 4 3 2" xfId="2082" xr:uid="{00000000-0005-0000-0000-00009D060000}"/>
    <cellStyle name="Normal 6 2 4 4" xfId="2083" xr:uid="{00000000-0005-0000-0000-00009E060000}"/>
    <cellStyle name="Normal 6 2 4 5" xfId="2080" xr:uid="{00000000-0005-0000-0000-00009F060000}"/>
    <cellStyle name="Normal 6 2 5" xfId="911" xr:uid="{00000000-0005-0000-0000-0000A0060000}"/>
    <cellStyle name="Normal 6 2 6" xfId="912" xr:uid="{00000000-0005-0000-0000-0000A1060000}"/>
    <cellStyle name="Normal 6 2 6 2" xfId="2084" xr:uid="{00000000-0005-0000-0000-0000A2060000}"/>
    <cellStyle name="Normal 6 2 7" xfId="913" xr:uid="{00000000-0005-0000-0000-0000A3060000}"/>
    <cellStyle name="Normal 6 2 7 2" xfId="2085" xr:uid="{00000000-0005-0000-0000-0000A4060000}"/>
    <cellStyle name="Normal 6 2 8" xfId="2065" xr:uid="{00000000-0005-0000-0000-0000A5060000}"/>
    <cellStyle name="Normal 6 2_DGO" xfId="2086" xr:uid="{00000000-0005-0000-0000-0000A6060000}"/>
    <cellStyle name="Normal 6 3" xfId="914" xr:uid="{00000000-0005-0000-0000-0000A7060000}"/>
    <cellStyle name="Normal 6 3 2" xfId="915" xr:uid="{00000000-0005-0000-0000-0000A8060000}"/>
    <cellStyle name="Normal 6 3 2 2" xfId="2088" xr:uid="{00000000-0005-0000-0000-0000A9060000}"/>
    <cellStyle name="Normal 6 3 3" xfId="916" xr:uid="{00000000-0005-0000-0000-0000AA060000}"/>
    <cellStyle name="Normal 6 3 3 2" xfId="2089" xr:uid="{00000000-0005-0000-0000-0000AB060000}"/>
    <cellStyle name="Normal 6 3 4" xfId="917" xr:uid="{00000000-0005-0000-0000-0000AC060000}"/>
    <cellStyle name="Normal 6 3 4 2" xfId="2090" xr:uid="{00000000-0005-0000-0000-0000AD060000}"/>
    <cellStyle name="Normal 6 3 5" xfId="2091" xr:uid="{00000000-0005-0000-0000-0000AE060000}"/>
    <cellStyle name="Normal 6 3 6" xfId="2087" xr:uid="{00000000-0005-0000-0000-0000AF060000}"/>
    <cellStyle name="Normal 6 3_DGO" xfId="2092" xr:uid="{00000000-0005-0000-0000-0000B0060000}"/>
    <cellStyle name="Normal 6 4" xfId="918" xr:uid="{00000000-0005-0000-0000-0000B1060000}"/>
    <cellStyle name="Normal 6 4 2" xfId="919" xr:uid="{00000000-0005-0000-0000-0000B2060000}"/>
    <cellStyle name="Normal 6 4 2 2" xfId="920" xr:uid="{00000000-0005-0000-0000-0000B3060000}"/>
    <cellStyle name="Normal 6 4 2 2 2" xfId="2094" xr:uid="{00000000-0005-0000-0000-0000B4060000}"/>
    <cellStyle name="Normal 6 4 2 3" xfId="921" xr:uid="{00000000-0005-0000-0000-0000B5060000}"/>
    <cellStyle name="Normal 6 4 2 3 2" xfId="2095" xr:uid="{00000000-0005-0000-0000-0000B6060000}"/>
    <cellStyle name="Normal 6 4 2 4" xfId="2096" xr:uid="{00000000-0005-0000-0000-0000B7060000}"/>
    <cellStyle name="Normal 6 4 2 5" xfId="2093" xr:uid="{00000000-0005-0000-0000-0000B8060000}"/>
    <cellStyle name="Normal 6 4_DGO" xfId="2097" xr:uid="{00000000-0005-0000-0000-0000B9060000}"/>
    <cellStyle name="Normal 6 5" xfId="922" xr:uid="{00000000-0005-0000-0000-0000BA060000}"/>
    <cellStyle name="Normal 6 5 2" xfId="923" xr:uid="{00000000-0005-0000-0000-0000BB060000}"/>
    <cellStyle name="Normal 6 5 2 2" xfId="2099" xr:uid="{00000000-0005-0000-0000-0000BC060000}"/>
    <cellStyle name="Normal 6 5 3" xfId="924" xr:uid="{00000000-0005-0000-0000-0000BD060000}"/>
    <cellStyle name="Normal 6 5 3 2" xfId="2100" xr:uid="{00000000-0005-0000-0000-0000BE060000}"/>
    <cellStyle name="Normal 6 5 4" xfId="2101" xr:uid="{00000000-0005-0000-0000-0000BF060000}"/>
    <cellStyle name="Normal 6 5 5" xfId="2098" xr:uid="{00000000-0005-0000-0000-0000C0060000}"/>
    <cellStyle name="Normal 6 6" xfId="925" xr:uid="{00000000-0005-0000-0000-0000C1060000}"/>
    <cellStyle name="Normal 6 7" xfId="926" xr:uid="{00000000-0005-0000-0000-0000C2060000}"/>
    <cellStyle name="Normal 6 7 2" xfId="2102" xr:uid="{00000000-0005-0000-0000-0000C3060000}"/>
    <cellStyle name="Normal 6 8" xfId="927" xr:uid="{00000000-0005-0000-0000-0000C4060000}"/>
    <cellStyle name="Normal 6 8 2" xfId="2103" xr:uid="{00000000-0005-0000-0000-0000C5060000}"/>
    <cellStyle name="Normal 6 9" xfId="928" xr:uid="{00000000-0005-0000-0000-0000C6060000}"/>
    <cellStyle name="Normal 6 9 2" xfId="2104" xr:uid="{00000000-0005-0000-0000-0000C7060000}"/>
    <cellStyle name="Normal 6_DGO" xfId="2105" xr:uid="{00000000-0005-0000-0000-0000C8060000}"/>
    <cellStyle name="Normal 60" xfId="929" xr:uid="{00000000-0005-0000-0000-0000C9060000}"/>
    <cellStyle name="Normal 60 2" xfId="930" xr:uid="{00000000-0005-0000-0000-0000CA060000}"/>
    <cellStyle name="Normal 60_Cópia de INE_DGO_TC_NV" xfId="2106" xr:uid="{00000000-0005-0000-0000-0000CB060000}"/>
    <cellStyle name="Normal 61" xfId="931" xr:uid="{00000000-0005-0000-0000-0000CC060000}"/>
    <cellStyle name="Normal 61 2" xfId="2107" xr:uid="{00000000-0005-0000-0000-0000CD060000}"/>
    <cellStyle name="Normal 62" xfId="932" xr:uid="{00000000-0005-0000-0000-0000CE060000}"/>
    <cellStyle name="Normal 62 2" xfId="2108" xr:uid="{00000000-0005-0000-0000-0000CF060000}"/>
    <cellStyle name="Normal 62 3" xfId="2109" xr:uid="{00000000-0005-0000-0000-0000D0060000}"/>
    <cellStyle name="Normal 63" xfId="933" xr:uid="{00000000-0005-0000-0000-0000D1060000}"/>
    <cellStyle name="Normal 63 2" xfId="2110" xr:uid="{00000000-0005-0000-0000-0000D2060000}"/>
    <cellStyle name="Normal 64" xfId="934" xr:uid="{00000000-0005-0000-0000-0000D3060000}"/>
    <cellStyle name="Normal 64 2" xfId="2111" xr:uid="{00000000-0005-0000-0000-0000D4060000}"/>
    <cellStyle name="Normal 65" xfId="935" xr:uid="{00000000-0005-0000-0000-0000D5060000}"/>
    <cellStyle name="Normal 65 2" xfId="2112" xr:uid="{00000000-0005-0000-0000-0000D6060000}"/>
    <cellStyle name="Normal 66" xfId="1297" xr:uid="{00000000-0005-0000-0000-0000D7060000}"/>
    <cellStyle name="Normal 66 2" xfId="2113" xr:uid="{00000000-0005-0000-0000-0000D8060000}"/>
    <cellStyle name="Normal 67" xfId="2114" xr:uid="{00000000-0005-0000-0000-0000D9060000}"/>
    <cellStyle name="Normal 68" xfId="2115" xr:uid="{00000000-0005-0000-0000-0000DA060000}"/>
    <cellStyle name="Normal 69" xfId="2116" xr:uid="{00000000-0005-0000-0000-0000DB060000}"/>
    <cellStyle name="Normal 69 2" xfId="2117" xr:uid="{00000000-0005-0000-0000-0000DC060000}"/>
    <cellStyle name="Normal 7" xfId="936" xr:uid="{00000000-0005-0000-0000-0000DD060000}"/>
    <cellStyle name="Normal 7 2" xfId="937" xr:uid="{00000000-0005-0000-0000-0000DE060000}"/>
    <cellStyle name="Normal 7 2 2" xfId="938" xr:uid="{00000000-0005-0000-0000-0000DF060000}"/>
    <cellStyle name="Normal 7 2 2 2" xfId="939" xr:uid="{00000000-0005-0000-0000-0000E0060000}"/>
    <cellStyle name="Normal 7 2 2 2 2" xfId="940" xr:uid="{00000000-0005-0000-0000-0000E1060000}"/>
    <cellStyle name="Normal 7 2 2 2 2 2" xfId="2120" xr:uid="{00000000-0005-0000-0000-0000E2060000}"/>
    <cellStyle name="Normal 7 2 2 2 3" xfId="941" xr:uid="{00000000-0005-0000-0000-0000E3060000}"/>
    <cellStyle name="Normal 7 2 2 2 3 2" xfId="942" xr:uid="{00000000-0005-0000-0000-0000E4060000}"/>
    <cellStyle name="Normal 7 2 2 2 3 2 2" xfId="2123" xr:uid="{00000000-0005-0000-0000-0000E5060000}"/>
    <cellStyle name="Normal 7 2 2 2 3 2 3" xfId="2124" xr:uid="{00000000-0005-0000-0000-0000E6060000}"/>
    <cellStyle name="Normal 7 2 2 2 3 2 3 2" xfId="2125" xr:uid="{00000000-0005-0000-0000-0000E7060000}"/>
    <cellStyle name="Normal 7 2 2 2 3 2 4" xfId="2126" xr:uid="{00000000-0005-0000-0000-0000E8060000}"/>
    <cellStyle name="Normal 7 2 2 2 3 2 5" xfId="2127" xr:uid="{00000000-0005-0000-0000-0000E9060000}"/>
    <cellStyle name="Normal 7 2 2 2 3 2 5 2" xfId="2128" xr:uid="{00000000-0005-0000-0000-0000EA060000}"/>
    <cellStyle name="Normal 7 2 2 2 3 2 5 2 2" xfId="2129" xr:uid="{00000000-0005-0000-0000-0000EB060000}"/>
    <cellStyle name="Normal 7 2 2 2 3 2 5 2 3" xfId="2130" xr:uid="{00000000-0005-0000-0000-0000EC060000}"/>
    <cellStyle name="Normal 7 2 2 2 3 2 5 2 4" xfId="2131" xr:uid="{00000000-0005-0000-0000-0000ED060000}"/>
    <cellStyle name="Normal 7 2 2 2 3 2 5 2 4 2" xfId="2132" xr:uid="{00000000-0005-0000-0000-0000EE060000}"/>
    <cellStyle name="Normal 7 2 2 2 3 2 5 2 4 2 2" xfId="2133" xr:uid="{00000000-0005-0000-0000-0000EF060000}"/>
    <cellStyle name="Normal 7 2 2 2 3 2 5 2 4 2 2 2" xfId="2134" xr:uid="{00000000-0005-0000-0000-0000F0060000}"/>
    <cellStyle name="Normal 7 2 2 2 3 2 5 2 4 2 2 2 2" xfId="2135" xr:uid="{00000000-0005-0000-0000-0000F1060000}"/>
    <cellStyle name="Normal 7 2 2 2 3 2 5 2 4 2 2 2 2 2" xfId="2136" xr:uid="{00000000-0005-0000-0000-0000F2060000}"/>
    <cellStyle name="Normal 7 2 2 2 3 2 5 2 4 2 2 2 2 2 2" xfId="2137" xr:uid="{00000000-0005-0000-0000-0000F3060000}"/>
    <cellStyle name="Normal 7 2 2 2 3 2 5 2 4 2 2 2 2 2 3" xfId="2138" xr:uid="{00000000-0005-0000-0000-0000F4060000}"/>
    <cellStyle name="Normal 7 2 2 2 3 2 5 2 4 2 2 2 2 2 4" xfId="2139" xr:uid="{00000000-0005-0000-0000-0000F5060000}"/>
    <cellStyle name="Normal 7 2 2 2 3 2 5 2 4 3" xfId="2140" xr:uid="{00000000-0005-0000-0000-0000F6060000}"/>
    <cellStyle name="Normal 7 2 2 2 3 2 5 2 4 3 2" xfId="2141" xr:uid="{00000000-0005-0000-0000-0000F7060000}"/>
    <cellStyle name="Normal 7 2 2 2 3 2 5 2 4 3 3" xfId="2142" xr:uid="{00000000-0005-0000-0000-0000F8060000}"/>
    <cellStyle name="Normal 7 2 2 2 3 2 5 2 4 3 4" xfId="2143" xr:uid="{00000000-0005-0000-0000-0000F9060000}"/>
    <cellStyle name="Normal 7 2 2 2 3 2 5 2 4 3 5" xfId="2144" xr:uid="{00000000-0005-0000-0000-0000FA060000}"/>
    <cellStyle name="Normal 7 2 2 2 3 2 5 2 4 3 5 2" xfId="2145" xr:uid="{00000000-0005-0000-0000-0000FB060000}"/>
    <cellStyle name="Normal 7 2 2 2 3 2 5 2 4 3 5 3" xfId="2146" xr:uid="{00000000-0005-0000-0000-0000FC060000}"/>
    <cellStyle name="Normal 7 2 2 2 3 2 5 2 4 3 5 4" xfId="2147" xr:uid="{00000000-0005-0000-0000-0000FD060000}"/>
    <cellStyle name="Normal 7 2 2 2 3 2 5 2 4 3 5 4 2" xfId="2148" xr:uid="{00000000-0005-0000-0000-0000FE060000}"/>
    <cellStyle name="Normal 7 2 2 2 3 2 5 3" xfId="2149" xr:uid="{00000000-0005-0000-0000-0000FF060000}"/>
    <cellStyle name="Normal 7 2 2 2 3 2 6" xfId="2122" xr:uid="{00000000-0005-0000-0000-000000070000}"/>
    <cellStyle name="Normal 7 2 2 2 3 3" xfId="2121" xr:uid="{00000000-0005-0000-0000-000001070000}"/>
    <cellStyle name="Normal 7 2 2 2 4" xfId="2150" xr:uid="{00000000-0005-0000-0000-000002070000}"/>
    <cellStyle name="Normal 7 2 2 2 5" xfId="2119" xr:uid="{00000000-0005-0000-0000-000003070000}"/>
    <cellStyle name="Normal 7 2 2 3" xfId="943" xr:uid="{00000000-0005-0000-0000-000004070000}"/>
    <cellStyle name="Normal 7 2 2 3 2" xfId="944" xr:uid="{00000000-0005-0000-0000-000005070000}"/>
    <cellStyle name="Normal 7 2 2 3 2 2" xfId="2153" xr:uid="{00000000-0005-0000-0000-000006070000}"/>
    <cellStyle name="Normal 7 2 2 3 2 3" xfId="2154" xr:uid="{00000000-0005-0000-0000-000007070000}"/>
    <cellStyle name="Normal 7 2 2 3 2 3 2" xfId="2155" xr:uid="{00000000-0005-0000-0000-000008070000}"/>
    <cellStyle name="Normal 7 2 2 3 2 4" xfId="2156" xr:uid="{00000000-0005-0000-0000-000009070000}"/>
    <cellStyle name="Normal 7 2 2 3 2 5" xfId="2157" xr:uid="{00000000-0005-0000-0000-00000A070000}"/>
    <cellStyle name="Normal 7 2 2 3 2 5 2" xfId="2158" xr:uid="{00000000-0005-0000-0000-00000B070000}"/>
    <cellStyle name="Normal 7 2 2 3 2 5 2 2" xfId="2159" xr:uid="{00000000-0005-0000-0000-00000C070000}"/>
    <cellStyle name="Normal 7 2 2 3 2 5 2 3" xfId="2160" xr:uid="{00000000-0005-0000-0000-00000D070000}"/>
    <cellStyle name="Normal 7 2 2 3 2 5 2 3 2" xfId="2161" xr:uid="{00000000-0005-0000-0000-00000E070000}"/>
    <cellStyle name="Normal 7 2 2 3 2 5 2 3 2 2" xfId="2162" xr:uid="{00000000-0005-0000-0000-00000F070000}"/>
    <cellStyle name="Normal 7 2 2 3 2 5 2 3 2 2 2" xfId="2163" xr:uid="{00000000-0005-0000-0000-000010070000}"/>
    <cellStyle name="Normal 7 2 2 3 2 5 2 3 2 2 2 2" xfId="2164" xr:uid="{00000000-0005-0000-0000-000011070000}"/>
    <cellStyle name="Normal 7 2 2 3 2 5 2 3 2 2 2 2 2" xfId="2165" xr:uid="{00000000-0005-0000-0000-000012070000}"/>
    <cellStyle name="Normal 7 2 2 3 2 5 2 3 2 2 2 2 2 2" xfId="2166" xr:uid="{00000000-0005-0000-0000-000013070000}"/>
    <cellStyle name="Normal 7 2 2 3 2 5 2 3 2 2 2 2 2 3" xfId="2167" xr:uid="{00000000-0005-0000-0000-000014070000}"/>
    <cellStyle name="Normal 7 2 2 3 2 5 2 3 2 2 2 2 2 4" xfId="2168" xr:uid="{00000000-0005-0000-0000-000015070000}"/>
    <cellStyle name="Normal 7 2 2 3 2 5 3" xfId="2169" xr:uid="{00000000-0005-0000-0000-000016070000}"/>
    <cellStyle name="Normal 7 2 2 3 2 6" xfId="2170" xr:uid="{00000000-0005-0000-0000-000017070000}"/>
    <cellStyle name="Normal 7 2 2 3 2 6 2" xfId="2171" xr:uid="{00000000-0005-0000-0000-000018070000}"/>
    <cellStyle name="Normal 7 2 2 3 2 6 3" xfId="2172" xr:uid="{00000000-0005-0000-0000-000019070000}"/>
    <cellStyle name="Normal 7 2 2 3 2 6 3 2" xfId="2173" xr:uid="{00000000-0005-0000-0000-00001A070000}"/>
    <cellStyle name="Normal 7 2 2 3 2 6 3 2 2" xfId="2174" xr:uid="{00000000-0005-0000-0000-00001B070000}"/>
    <cellStyle name="Normal 7 2 2 3 2 6 3 2 3" xfId="2175" xr:uid="{00000000-0005-0000-0000-00001C070000}"/>
    <cellStyle name="Normal 7 2 2 3 2 6 3 2 3 2" xfId="2176" xr:uid="{00000000-0005-0000-0000-00001D070000}"/>
    <cellStyle name="Normal 7 2 2 3 2 6 3 2 3 2 2" xfId="2177" xr:uid="{00000000-0005-0000-0000-00001E070000}"/>
    <cellStyle name="Normal 7 2 2 3 2 6 3 2 3 2 2 2" xfId="2178" xr:uid="{00000000-0005-0000-0000-00001F070000}"/>
    <cellStyle name="Normal 7 2 2 3 2 6 3 2 3 2 2 3" xfId="2179" xr:uid="{00000000-0005-0000-0000-000020070000}"/>
    <cellStyle name="Normal 7 2 2 3 2 6 3 2 3 2 2 4" xfId="2180" xr:uid="{00000000-0005-0000-0000-000021070000}"/>
    <cellStyle name="Normal 7 2 2 3 2 7" xfId="2181" xr:uid="{00000000-0005-0000-0000-000022070000}"/>
    <cellStyle name="Normal 7 2 2 3 2 8" xfId="2182" xr:uid="{00000000-0005-0000-0000-000023070000}"/>
    <cellStyle name="Normal 7 2 2 3 2 8 2" xfId="2183" xr:uid="{00000000-0005-0000-0000-000024070000}"/>
    <cellStyle name="Normal 7 2 2 3 2 8 2 2" xfId="2184" xr:uid="{00000000-0005-0000-0000-000025070000}"/>
    <cellStyle name="Normal 7 2 2 3 2 8 2 3" xfId="2185" xr:uid="{00000000-0005-0000-0000-000026070000}"/>
    <cellStyle name="Normal 7 2 2 3 2 8 2 3 2" xfId="2186" xr:uid="{00000000-0005-0000-0000-000027070000}"/>
    <cellStyle name="Normal 7 2 2 3 2 8 2 3 2 2" xfId="2187" xr:uid="{00000000-0005-0000-0000-000028070000}"/>
    <cellStyle name="Normal 7 2 2 3 2 8 2 3 2 2 2" xfId="2188" xr:uid="{00000000-0005-0000-0000-000029070000}"/>
    <cellStyle name="Normal 7 2 2 3 2 8 2 3 2 2 3" xfId="2189" xr:uid="{00000000-0005-0000-0000-00002A070000}"/>
    <cellStyle name="Normal 7 2 2 3 2 8 2 3 2 2 4" xfId="2190" xr:uid="{00000000-0005-0000-0000-00002B070000}"/>
    <cellStyle name="Normal 7 2 2 3 2 8 2 4" xfId="2191" xr:uid="{00000000-0005-0000-0000-00002C070000}"/>
    <cellStyle name="Normal 7 2 2 3 2 8 2 4 2" xfId="2192" xr:uid="{00000000-0005-0000-0000-00002D070000}"/>
    <cellStyle name="Normal 7 2 2 3 2 8 2 4 2 2" xfId="2193" xr:uid="{00000000-0005-0000-0000-00002E070000}"/>
    <cellStyle name="Normal 7 2 2 3 2 8 2 4 2 3" xfId="2194" xr:uid="{00000000-0005-0000-0000-00002F070000}"/>
    <cellStyle name="Normal 7 2 2 3 2 8 2 4 2 4" xfId="2195" xr:uid="{00000000-0005-0000-0000-000030070000}"/>
    <cellStyle name="Normal 7 2 2 3 2 9" xfId="2152" xr:uid="{00000000-0005-0000-0000-000031070000}"/>
    <cellStyle name="Normal 7 2 2 3 3" xfId="2151" xr:uid="{00000000-0005-0000-0000-000032070000}"/>
    <cellStyle name="Normal 7 2 2 4" xfId="945" xr:uid="{00000000-0005-0000-0000-000033070000}"/>
    <cellStyle name="Normal 7 2 2 4 2" xfId="2196" xr:uid="{00000000-0005-0000-0000-000034070000}"/>
    <cellStyle name="Normal 7 2 2 5" xfId="2197" xr:uid="{00000000-0005-0000-0000-000035070000}"/>
    <cellStyle name="Normal 7 2 2 6" xfId="2118" xr:uid="{00000000-0005-0000-0000-000036070000}"/>
    <cellStyle name="Normal 7 2 2_DGO" xfId="2198" xr:uid="{00000000-0005-0000-0000-000037070000}"/>
    <cellStyle name="Normal 7 2 4" xfId="946" xr:uid="{00000000-0005-0000-0000-000038070000}"/>
    <cellStyle name="Normal 7 3" xfId="947" xr:uid="{00000000-0005-0000-0000-000039070000}"/>
    <cellStyle name="Normal 7 3 2" xfId="948" xr:uid="{00000000-0005-0000-0000-00003A070000}"/>
    <cellStyle name="Normal 7 3 2 2" xfId="949" xr:uid="{00000000-0005-0000-0000-00003B070000}"/>
    <cellStyle name="Normal 7 3 2 2 2" xfId="2200" xr:uid="{00000000-0005-0000-0000-00003C070000}"/>
    <cellStyle name="Normal 7 3 2 3" xfId="950" xr:uid="{00000000-0005-0000-0000-00003D070000}"/>
    <cellStyle name="Normal 7 3 2 3 2" xfId="2201" xr:uid="{00000000-0005-0000-0000-00003E070000}"/>
    <cellStyle name="Normal 7 3 2 4" xfId="2202" xr:uid="{00000000-0005-0000-0000-00003F070000}"/>
    <cellStyle name="Normal 7 3 2 5" xfId="2199" xr:uid="{00000000-0005-0000-0000-000040070000}"/>
    <cellStyle name="Normal 7 3 3" xfId="951" xr:uid="{00000000-0005-0000-0000-000041070000}"/>
    <cellStyle name="Normal 7 3 4" xfId="952" xr:uid="{00000000-0005-0000-0000-000042070000}"/>
    <cellStyle name="Normal 7 3 5" xfId="2203" xr:uid="{00000000-0005-0000-0000-000043070000}"/>
    <cellStyle name="Normal 7 3_DGO" xfId="2204" xr:uid="{00000000-0005-0000-0000-000044070000}"/>
    <cellStyle name="Normal 7 4" xfId="953" xr:uid="{00000000-0005-0000-0000-000045070000}"/>
    <cellStyle name="Normal 7 4 2" xfId="954" xr:uid="{00000000-0005-0000-0000-000046070000}"/>
    <cellStyle name="Normal 7 4 2 2" xfId="2206" xr:uid="{00000000-0005-0000-0000-000047070000}"/>
    <cellStyle name="Normal 7 4 3" xfId="955" xr:uid="{00000000-0005-0000-0000-000048070000}"/>
    <cellStyle name="Normal 7 4 3 2" xfId="2207" xr:uid="{00000000-0005-0000-0000-000049070000}"/>
    <cellStyle name="Normal 7 4 4" xfId="2208" xr:uid="{00000000-0005-0000-0000-00004A070000}"/>
    <cellStyle name="Normal 7 4 5" xfId="2205" xr:uid="{00000000-0005-0000-0000-00004B070000}"/>
    <cellStyle name="Normal 7_Livro1" xfId="2209" xr:uid="{00000000-0005-0000-0000-00004C070000}"/>
    <cellStyle name="Normal 8" xfId="956" xr:uid="{00000000-0005-0000-0000-00004D070000}"/>
    <cellStyle name="Normal 8 2" xfId="957" xr:uid="{00000000-0005-0000-0000-00004E070000}"/>
    <cellStyle name="Normal 8 2 2" xfId="958" xr:uid="{00000000-0005-0000-0000-00004F070000}"/>
    <cellStyle name="Normal 8 2 2 2" xfId="959" xr:uid="{00000000-0005-0000-0000-000050070000}"/>
    <cellStyle name="Normal 8 2 2 2 2" xfId="2213" xr:uid="{00000000-0005-0000-0000-000051070000}"/>
    <cellStyle name="Normal 8 2 2 3" xfId="960" xr:uid="{00000000-0005-0000-0000-000052070000}"/>
    <cellStyle name="Normal 8 2 2 3 2" xfId="2214" xr:uid="{00000000-0005-0000-0000-000053070000}"/>
    <cellStyle name="Normal 8 2 2 4" xfId="2215" xr:uid="{00000000-0005-0000-0000-000054070000}"/>
    <cellStyle name="Normal 8 2 2 5" xfId="2212" xr:uid="{00000000-0005-0000-0000-000055070000}"/>
    <cellStyle name="Normal 8 2 3" xfId="961" xr:uid="{00000000-0005-0000-0000-000056070000}"/>
    <cellStyle name="Normal 8 2 3 2" xfId="2216" xr:uid="{00000000-0005-0000-0000-000057070000}"/>
    <cellStyle name="Normal 8 2 4" xfId="962" xr:uid="{00000000-0005-0000-0000-000058070000}"/>
    <cellStyle name="Normal 8 2 4 2" xfId="2217" xr:uid="{00000000-0005-0000-0000-000059070000}"/>
    <cellStyle name="Normal 8 2 5" xfId="2218" xr:uid="{00000000-0005-0000-0000-00005A070000}"/>
    <cellStyle name="Normal 8 2 6" xfId="2211" xr:uid="{00000000-0005-0000-0000-00005B070000}"/>
    <cellStyle name="Normal 8 2_DGO" xfId="2219" xr:uid="{00000000-0005-0000-0000-00005C070000}"/>
    <cellStyle name="Normal 8 3" xfId="963" xr:uid="{00000000-0005-0000-0000-00005D070000}"/>
    <cellStyle name="Normal 8 3 2" xfId="964" xr:uid="{00000000-0005-0000-0000-00005E070000}"/>
    <cellStyle name="Normal 8 3 2 2" xfId="2221" xr:uid="{00000000-0005-0000-0000-00005F070000}"/>
    <cellStyle name="Normal 8 3 3" xfId="965" xr:uid="{00000000-0005-0000-0000-000060070000}"/>
    <cellStyle name="Normal 8 3 3 2" xfId="2222" xr:uid="{00000000-0005-0000-0000-000061070000}"/>
    <cellStyle name="Normal 8 3 4" xfId="2223" xr:uid="{00000000-0005-0000-0000-000062070000}"/>
    <cellStyle name="Normal 8 3 5" xfId="2220" xr:uid="{00000000-0005-0000-0000-000063070000}"/>
    <cellStyle name="Normal 8 4" xfId="966" xr:uid="{00000000-0005-0000-0000-000064070000}"/>
    <cellStyle name="Normal 8 4 2" xfId="2224" xr:uid="{00000000-0005-0000-0000-000065070000}"/>
    <cellStyle name="Normal 8 5" xfId="967" xr:uid="{00000000-0005-0000-0000-000066070000}"/>
    <cellStyle name="Normal 8 5 2" xfId="2225" xr:uid="{00000000-0005-0000-0000-000067070000}"/>
    <cellStyle name="Normal 8 6" xfId="968" xr:uid="{00000000-0005-0000-0000-000068070000}"/>
    <cellStyle name="Normal 8 6 2" xfId="2226" xr:uid="{00000000-0005-0000-0000-000069070000}"/>
    <cellStyle name="Normal 8 7" xfId="2227" xr:uid="{00000000-0005-0000-0000-00006A070000}"/>
    <cellStyle name="Normal 8 8" xfId="2210" xr:uid="{00000000-0005-0000-0000-00006B070000}"/>
    <cellStyle name="Normal 8_DGO" xfId="2228" xr:uid="{00000000-0005-0000-0000-00006C070000}"/>
    <cellStyle name="Normal 9" xfId="969" xr:uid="{00000000-0005-0000-0000-00006D070000}"/>
    <cellStyle name="Normal 9 2" xfId="970" xr:uid="{00000000-0005-0000-0000-00006E070000}"/>
    <cellStyle name="Normal 9 3" xfId="971" xr:uid="{00000000-0005-0000-0000-00006F070000}"/>
    <cellStyle name="Normal Bold" xfId="972" xr:uid="{00000000-0005-0000-0000-000070070000}"/>
    <cellStyle name="Normalny_koszt" xfId="973" xr:uid="{00000000-0005-0000-0000-000071070000}"/>
    <cellStyle name="Nota 10" xfId="974" xr:uid="{00000000-0005-0000-0000-000072070000}"/>
    <cellStyle name="Nota 10 2" xfId="975" xr:uid="{00000000-0005-0000-0000-000073070000}"/>
    <cellStyle name="Nota 10 2 2" xfId="2230" xr:uid="{00000000-0005-0000-0000-000074070000}"/>
    <cellStyle name="Nota 10 3" xfId="976" xr:uid="{00000000-0005-0000-0000-000075070000}"/>
    <cellStyle name="Nota 10 3 2" xfId="2231" xr:uid="{00000000-0005-0000-0000-000076070000}"/>
    <cellStyle name="Nota 10 4" xfId="2232" xr:uid="{00000000-0005-0000-0000-000077070000}"/>
    <cellStyle name="Nota 10 5" xfId="2229" xr:uid="{00000000-0005-0000-0000-000078070000}"/>
    <cellStyle name="Nota 11" xfId="977" xr:uid="{00000000-0005-0000-0000-000079070000}"/>
    <cellStyle name="Nota 11 2" xfId="978" xr:uid="{00000000-0005-0000-0000-00007A070000}"/>
    <cellStyle name="Nota 11 2 2" xfId="2234" xr:uid="{00000000-0005-0000-0000-00007B070000}"/>
    <cellStyle name="Nota 11 3" xfId="979" xr:uid="{00000000-0005-0000-0000-00007C070000}"/>
    <cellStyle name="Nota 11 3 2" xfId="2235" xr:uid="{00000000-0005-0000-0000-00007D070000}"/>
    <cellStyle name="Nota 11 4" xfId="2236" xr:uid="{00000000-0005-0000-0000-00007E070000}"/>
    <cellStyle name="Nota 11 5" xfId="2233" xr:uid="{00000000-0005-0000-0000-00007F070000}"/>
    <cellStyle name="Nota 12" xfId="980" xr:uid="{00000000-0005-0000-0000-000080070000}"/>
    <cellStyle name="Nota 12 2" xfId="2237" xr:uid="{00000000-0005-0000-0000-000081070000}"/>
    <cellStyle name="Nota 2" xfId="981" xr:uid="{00000000-0005-0000-0000-000082070000}"/>
    <cellStyle name="Nota 2 10" xfId="982" xr:uid="{00000000-0005-0000-0000-000083070000}"/>
    <cellStyle name="Nota 2 10 2" xfId="2238" xr:uid="{00000000-0005-0000-0000-000084070000}"/>
    <cellStyle name="Nota 2 11" xfId="983" xr:uid="{00000000-0005-0000-0000-000085070000}"/>
    <cellStyle name="Nota 2 11 2" xfId="2239" xr:uid="{00000000-0005-0000-0000-000086070000}"/>
    <cellStyle name="Nota 2 12" xfId="984" xr:uid="{00000000-0005-0000-0000-000087070000}"/>
    <cellStyle name="Nota 2 13" xfId="985" xr:uid="{00000000-0005-0000-0000-000088070000}"/>
    <cellStyle name="Nota 2 2" xfId="986" xr:uid="{00000000-0005-0000-0000-000089070000}"/>
    <cellStyle name="Nota 2 2 2" xfId="2240" xr:uid="{00000000-0005-0000-0000-00008A070000}"/>
    <cellStyle name="Nota 2 3" xfId="987" xr:uid="{00000000-0005-0000-0000-00008B070000}"/>
    <cellStyle name="Nota 2 3 2" xfId="2241" xr:uid="{00000000-0005-0000-0000-00008C070000}"/>
    <cellStyle name="Nota 2 4" xfId="988" xr:uid="{00000000-0005-0000-0000-00008D070000}"/>
    <cellStyle name="Nota 2 4 2" xfId="2242" xr:uid="{00000000-0005-0000-0000-00008E070000}"/>
    <cellStyle name="Nota 2 5" xfId="989" xr:uid="{00000000-0005-0000-0000-00008F070000}"/>
    <cellStyle name="Nota 2 5 2" xfId="2243" xr:uid="{00000000-0005-0000-0000-000090070000}"/>
    <cellStyle name="Nota 2 6" xfId="990" xr:uid="{00000000-0005-0000-0000-000091070000}"/>
    <cellStyle name="Nota 2 6 2" xfId="2244" xr:uid="{00000000-0005-0000-0000-000092070000}"/>
    <cellStyle name="Nota 2 7" xfId="991" xr:uid="{00000000-0005-0000-0000-000093070000}"/>
    <cellStyle name="Nota 2 7 2" xfId="2245" xr:uid="{00000000-0005-0000-0000-000094070000}"/>
    <cellStyle name="Nota 2 8" xfId="992" xr:uid="{00000000-0005-0000-0000-000095070000}"/>
    <cellStyle name="Nota 2 8 2" xfId="2246" xr:uid="{00000000-0005-0000-0000-000096070000}"/>
    <cellStyle name="Nota 2 9" xfId="993" xr:uid="{00000000-0005-0000-0000-000097070000}"/>
    <cellStyle name="Nota 2 9 2" xfId="2247" xr:uid="{00000000-0005-0000-0000-000098070000}"/>
    <cellStyle name="Nota 2_INE_DGO_TC" xfId="2248" xr:uid="{00000000-0005-0000-0000-000099070000}"/>
    <cellStyle name="Nota 3" xfId="994" xr:uid="{00000000-0005-0000-0000-00009A070000}"/>
    <cellStyle name="Nota 4" xfId="995" xr:uid="{00000000-0005-0000-0000-00009B070000}"/>
    <cellStyle name="Nota 5" xfId="996" xr:uid="{00000000-0005-0000-0000-00009C070000}"/>
    <cellStyle name="Nota 5 2" xfId="997" xr:uid="{00000000-0005-0000-0000-00009D070000}"/>
    <cellStyle name="Nota 5 2 2" xfId="2250" xr:uid="{00000000-0005-0000-0000-00009E070000}"/>
    <cellStyle name="Nota 5 3" xfId="998" xr:uid="{00000000-0005-0000-0000-00009F070000}"/>
    <cellStyle name="Nota 5 3 2" xfId="2251" xr:uid="{00000000-0005-0000-0000-0000A0070000}"/>
    <cellStyle name="Nota 5 4" xfId="2252" xr:uid="{00000000-0005-0000-0000-0000A1070000}"/>
    <cellStyle name="Nota 5 5" xfId="2249" xr:uid="{00000000-0005-0000-0000-0000A2070000}"/>
    <cellStyle name="Nota 6" xfId="999" xr:uid="{00000000-0005-0000-0000-0000A3070000}"/>
    <cellStyle name="Nota 6 2" xfId="1000" xr:uid="{00000000-0005-0000-0000-0000A4070000}"/>
    <cellStyle name="Nota 6 2 2" xfId="2254" xr:uid="{00000000-0005-0000-0000-0000A5070000}"/>
    <cellStyle name="Nota 6 3" xfId="1001" xr:uid="{00000000-0005-0000-0000-0000A6070000}"/>
    <cellStyle name="Nota 6 3 2" xfId="2255" xr:uid="{00000000-0005-0000-0000-0000A7070000}"/>
    <cellStyle name="Nota 6 4" xfId="2256" xr:uid="{00000000-0005-0000-0000-0000A8070000}"/>
    <cellStyle name="Nota 6 5" xfId="2253" xr:uid="{00000000-0005-0000-0000-0000A9070000}"/>
    <cellStyle name="Nota 7" xfId="1002" xr:uid="{00000000-0005-0000-0000-0000AA070000}"/>
    <cellStyle name="Nota 7 2" xfId="1003" xr:uid="{00000000-0005-0000-0000-0000AB070000}"/>
    <cellStyle name="Nota 7 2 2" xfId="2258" xr:uid="{00000000-0005-0000-0000-0000AC070000}"/>
    <cellStyle name="Nota 7 3" xfId="1004" xr:uid="{00000000-0005-0000-0000-0000AD070000}"/>
    <cellStyle name="Nota 7 3 2" xfId="2259" xr:uid="{00000000-0005-0000-0000-0000AE070000}"/>
    <cellStyle name="Nota 7 4" xfId="2260" xr:uid="{00000000-0005-0000-0000-0000AF070000}"/>
    <cellStyle name="Nota 7 5" xfId="2257" xr:uid="{00000000-0005-0000-0000-0000B0070000}"/>
    <cellStyle name="Nota 8" xfId="1005" xr:uid="{00000000-0005-0000-0000-0000B1070000}"/>
    <cellStyle name="Nota 8 2" xfId="1006" xr:uid="{00000000-0005-0000-0000-0000B2070000}"/>
    <cellStyle name="Nota 8 2 2" xfId="2262" xr:uid="{00000000-0005-0000-0000-0000B3070000}"/>
    <cellStyle name="Nota 8 3" xfId="1007" xr:uid="{00000000-0005-0000-0000-0000B4070000}"/>
    <cellStyle name="Nota 8 3 2" xfId="2263" xr:uid="{00000000-0005-0000-0000-0000B5070000}"/>
    <cellStyle name="Nota 8 4" xfId="2264" xr:uid="{00000000-0005-0000-0000-0000B6070000}"/>
    <cellStyle name="Nota 8 5" xfId="2261" xr:uid="{00000000-0005-0000-0000-0000B7070000}"/>
    <cellStyle name="Nota 9" xfId="1008" xr:uid="{00000000-0005-0000-0000-0000B8070000}"/>
    <cellStyle name="Nota 9 2" xfId="1009" xr:uid="{00000000-0005-0000-0000-0000B9070000}"/>
    <cellStyle name="Nota 9 2 2" xfId="2266" xr:uid="{00000000-0005-0000-0000-0000BA070000}"/>
    <cellStyle name="Nota 9 3" xfId="1010" xr:uid="{00000000-0005-0000-0000-0000BB070000}"/>
    <cellStyle name="Nota 9 3 2" xfId="2267" xr:uid="{00000000-0005-0000-0000-0000BC070000}"/>
    <cellStyle name="Nota 9 4" xfId="2268" xr:uid="{00000000-0005-0000-0000-0000BD070000}"/>
    <cellStyle name="Nota 9 5" xfId="2265" xr:uid="{00000000-0005-0000-0000-0000BE070000}"/>
    <cellStyle name="Note" xfId="1011" xr:uid="{00000000-0005-0000-0000-0000BF070000}"/>
    <cellStyle name="Note 2" xfId="1012" xr:uid="{00000000-0005-0000-0000-0000C0070000}"/>
    <cellStyle name="Note 2 2" xfId="1013" xr:uid="{00000000-0005-0000-0000-0000C1070000}"/>
    <cellStyle name="Note 2 3" xfId="1014" xr:uid="{00000000-0005-0000-0000-0000C2070000}"/>
    <cellStyle name="Note 3" xfId="1015" xr:uid="{00000000-0005-0000-0000-0000C3070000}"/>
    <cellStyle name="Note 3 2" xfId="2269" xr:uid="{00000000-0005-0000-0000-0000C4070000}"/>
    <cellStyle name="Note 4" xfId="1016" xr:uid="{00000000-0005-0000-0000-0000C5070000}"/>
    <cellStyle name="Note 4 2" xfId="2270" xr:uid="{00000000-0005-0000-0000-0000C6070000}"/>
    <cellStyle name="Note 5" xfId="1017" xr:uid="{00000000-0005-0000-0000-0000C7070000}"/>
    <cellStyle name="Note 6" xfId="1018" xr:uid="{00000000-0005-0000-0000-0000C8070000}"/>
    <cellStyle name="Note_DGO" xfId="2271" xr:uid="{00000000-0005-0000-0000-0000C9070000}"/>
    <cellStyle name="num s dec" xfId="1019" xr:uid="{00000000-0005-0000-0000-0000CA070000}"/>
    <cellStyle name="num s dec 2" xfId="2272" xr:uid="{00000000-0005-0000-0000-0000CB070000}"/>
    <cellStyle name="NUMLINHA" xfId="2273" xr:uid="{00000000-0005-0000-0000-0000CC070000}"/>
    <cellStyle name="NUMLINHA 2" xfId="2274" xr:uid="{00000000-0005-0000-0000-0000CD070000}"/>
    <cellStyle name="Opis" xfId="1020" xr:uid="{00000000-0005-0000-0000-0000CE070000}"/>
    <cellStyle name="Output" xfId="1021" xr:uid="{00000000-0005-0000-0000-0000CF070000}"/>
    <cellStyle name="Output 2" xfId="1022" xr:uid="{00000000-0005-0000-0000-0000D0070000}"/>
    <cellStyle name="Output 2 2" xfId="1023" xr:uid="{00000000-0005-0000-0000-0000D1070000}"/>
    <cellStyle name="Output 2 3" xfId="1024" xr:uid="{00000000-0005-0000-0000-0000D2070000}"/>
    <cellStyle name="Output 3" xfId="1025" xr:uid="{00000000-0005-0000-0000-0000D3070000}"/>
    <cellStyle name="Output 4" xfId="1026" xr:uid="{00000000-0005-0000-0000-0000D4070000}"/>
    <cellStyle name="Output 5" xfId="1027" xr:uid="{00000000-0005-0000-0000-0000D5070000}"/>
    <cellStyle name="Output 6" xfId="1028" xr:uid="{00000000-0005-0000-0000-0000D6070000}"/>
    <cellStyle name="Output_efeito da reposicao de subsidios em 2013 (2)" xfId="2275" xr:uid="{00000000-0005-0000-0000-0000D7070000}"/>
    <cellStyle name="pequeno" xfId="1029" xr:uid="{00000000-0005-0000-0000-0000D8070000}"/>
    <cellStyle name="pequeno 2" xfId="2276" xr:uid="{00000000-0005-0000-0000-0000D9070000}"/>
    <cellStyle name="PERCENT" xfId="1030" xr:uid="{00000000-0005-0000-0000-0000DA070000}"/>
    <cellStyle name="Percent [0]" xfId="2277" xr:uid="{00000000-0005-0000-0000-0000DB070000}"/>
    <cellStyle name="Percent [0] 2" xfId="2278" xr:uid="{00000000-0005-0000-0000-0000DC070000}"/>
    <cellStyle name="Percent [00]" xfId="2279" xr:uid="{00000000-0005-0000-0000-0000DD070000}"/>
    <cellStyle name="Percent [00] 2" xfId="2280" xr:uid="{00000000-0005-0000-0000-0000DE070000}"/>
    <cellStyle name="Percent [2]" xfId="1031" xr:uid="{00000000-0005-0000-0000-0000DF070000}"/>
    <cellStyle name="Percent [2] 2" xfId="2281" xr:uid="{00000000-0005-0000-0000-0000E0070000}"/>
    <cellStyle name="Percent 2" xfId="1032" xr:uid="{00000000-0005-0000-0000-0000E1070000}"/>
    <cellStyle name="Percent 2 10" xfId="1033" xr:uid="{00000000-0005-0000-0000-0000E2070000}"/>
    <cellStyle name="Percent 2 10 2" xfId="2283" xr:uid="{00000000-0005-0000-0000-0000E3070000}"/>
    <cellStyle name="Percent 2 11" xfId="1034" xr:uid="{00000000-0005-0000-0000-0000E4070000}"/>
    <cellStyle name="Percent 2 11 2" xfId="2284" xr:uid="{00000000-0005-0000-0000-0000E5070000}"/>
    <cellStyle name="Percent 2 12" xfId="1035" xr:uid="{00000000-0005-0000-0000-0000E6070000}"/>
    <cellStyle name="Percent 2 12 2" xfId="2285" xr:uid="{00000000-0005-0000-0000-0000E7070000}"/>
    <cellStyle name="Percent 2 13" xfId="1036" xr:uid="{00000000-0005-0000-0000-0000E8070000}"/>
    <cellStyle name="Percent 2 13 2" xfId="2286" xr:uid="{00000000-0005-0000-0000-0000E9070000}"/>
    <cellStyle name="Percent 2 14" xfId="1037" xr:uid="{00000000-0005-0000-0000-0000EA070000}"/>
    <cellStyle name="Percent 2 14 2" xfId="2287" xr:uid="{00000000-0005-0000-0000-0000EB070000}"/>
    <cellStyle name="Percent 2 15" xfId="1038" xr:uid="{00000000-0005-0000-0000-0000EC070000}"/>
    <cellStyle name="Percent 2 15 2" xfId="2288" xr:uid="{00000000-0005-0000-0000-0000ED070000}"/>
    <cellStyle name="Percent 2 16" xfId="1039" xr:uid="{00000000-0005-0000-0000-0000EE070000}"/>
    <cellStyle name="Percent 2 16 2" xfId="2289" xr:uid="{00000000-0005-0000-0000-0000EF070000}"/>
    <cellStyle name="Percent 2 17" xfId="1040" xr:uid="{00000000-0005-0000-0000-0000F0070000}"/>
    <cellStyle name="Percent 2 17 2" xfId="2290" xr:uid="{00000000-0005-0000-0000-0000F1070000}"/>
    <cellStyle name="Percent 2 18" xfId="1041" xr:uid="{00000000-0005-0000-0000-0000F2070000}"/>
    <cellStyle name="Percent 2 18 2" xfId="2291" xr:uid="{00000000-0005-0000-0000-0000F3070000}"/>
    <cellStyle name="Percent 2 19" xfId="1042" xr:uid="{00000000-0005-0000-0000-0000F4070000}"/>
    <cellStyle name="Percent 2 19 2" xfId="2292" xr:uid="{00000000-0005-0000-0000-0000F5070000}"/>
    <cellStyle name="Percent 2 2" xfId="1043" xr:uid="{00000000-0005-0000-0000-0000F6070000}"/>
    <cellStyle name="Percent 2 2 2" xfId="1044" xr:uid="{00000000-0005-0000-0000-0000F7070000}"/>
    <cellStyle name="Percent 2 20" xfId="1045" xr:uid="{00000000-0005-0000-0000-0000F8070000}"/>
    <cellStyle name="Percent 2 20 2" xfId="2293" xr:uid="{00000000-0005-0000-0000-0000F9070000}"/>
    <cellStyle name="Percent 2 21" xfId="2282" xr:uid="{00000000-0005-0000-0000-0000FA070000}"/>
    <cellStyle name="Percent 2 3" xfId="1046" xr:uid="{00000000-0005-0000-0000-0000FB070000}"/>
    <cellStyle name="Percent 2 3 2" xfId="1047" xr:uid="{00000000-0005-0000-0000-0000FC070000}"/>
    <cellStyle name="Percent 2 3 2 2" xfId="1048" xr:uid="{00000000-0005-0000-0000-0000FD070000}"/>
    <cellStyle name="Percent 2 3 2 2 2" xfId="2296" xr:uid="{00000000-0005-0000-0000-0000FE070000}"/>
    <cellStyle name="Percent 2 3 2 3" xfId="1049" xr:uid="{00000000-0005-0000-0000-0000FF070000}"/>
    <cellStyle name="Percent 2 3 2 3 2" xfId="2297" xr:uid="{00000000-0005-0000-0000-000000080000}"/>
    <cellStyle name="Percent 2 3 2 4" xfId="2298" xr:uid="{00000000-0005-0000-0000-000001080000}"/>
    <cellStyle name="Percent 2 3 2 5" xfId="2295" xr:uid="{00000000-0005-0000-0000-000002080000}"/>
    <cellStyle name="Percent 2 3 3" xfId="1050" xr:uid="{00000000-0005-0000-0000-000003080000}"/>
    <cellStyle name="Percent 2 3 3 2" xfId="2299" xr:uid="{00000000-0005-0000-0000-000004080000}"/>
    <cellStyle name="Percent 2 3 4" xfId="1051" xr:uid="{00000000-0005-0000-0000-000005080000}"/>
    <cellStyle name="Percent 2 3 4 2" xfId="2300" xr:uid="{00000000-0005-0000-0000-000006080000}"/>
    <cellStyle name="Percent 2 3 5" xfId="2301" xr:uid="{00000000-0005-0000-0000-000007080000}"/>
    <cellStyle name="Percent 2 3 6" xfId="2294" xr:uid="{00000000-0005-0000-0000-000008080000}"/>
    <cellStyle name="Percent 2 4" xfId="1052" xr:uid="{00000000-0005-0000-0000-000009080000}"/>
    <cellStyle name="Percent 2 4 2" xfId="1053" xr:uid="{00000000-0005-0000-0000-00000A080000}"/>
    <cellStyle name="Percent 2 4 2 2" xfId="2303" xr:uid="{00000000-0005-0000-0000-00000B080000}"/>
    <cellStyle name="Percent 2 4 3" xfId="1054" xr:uid="{00000000-0005-0000-0000-00000C080000}"/>
    <cellStyle name="Percent 2 4 3 2" xfId="2304" xr:uid="{00000000-0005-0000-0000-00000D080000}"/>
    <cellStyle name="Percent 2 4 4" xfId="2305" xr:uid="{00000000-0005-0000-0000-00000E080000}"/>
    <cellStyle name="Percent 2 4 5" xfId="2302" xr:uid="{00000000-0005-0000-0000-00000F080000}"/>
    <cellStyle name="Percent 2 5" xfId="1055" xr:uid="{00000000-0005-0000-0000-000010080000}"/>
    <cellStyle name="Percent 2 5 2" xfId="1056" xr:uid="{00000000-0005-0000-0000-000011080000}"/>
    <cellStyle name="Percent 2 5 2 2" xfId="2307" xr:uid="{00000000-0005-0000-0000-000012080000}"/>
    <cellStyle name="Percent 2 5 3" xfId="1057" xr:uid="{00000000-0005-0000-0000-000013080000}"/>
    <cellStyle name="Percent 2 5 3 2" xfId="2308" xr:uid="{00000000-0005-0000-0000-000014080000}"/>
    <cellStyle name="Percent 2 5 4" xfId="2309" xr:uid="{00000000-0005-0000-0000-000015080000}"/>
    <cellStyle name="Percent 2 5 5" xfId="2306" xr:uid="{00000000-0005-0000-0000-000016080000}"/>
    <cellStyle name="Percent 2 6" xfId="1058" xr:uid="{00000000-0005-0000-0000-000017080000}"/>
    <cellStyle name="Percent 2 6 2" xfId="1059" xr:uid="{00000000-0005-0000-0000-000018080000}"/>
    <cellStyle name="Percent 2 6 2 2" xfId="2311" xr:uid="{00000000-0005-0000-0000-000019080000}"/>
    <cellStyle name="Percent 2 6 3" xfId="1060" xr:uid="{00000000-0005-0000-0000-00001A080000}"/>
    <cellStyle name="Percent 2 6 3 2" xfId="2312" xr:uid="{00000000-0005-0000-0000-00001B080000}"/>
    <cellStyle name="Percent 2 6 4" xfId="2313" xr:uid="{00000000-0005-0000-0000-00001C080000}"/>
    <cellStyle name="Percent 2 6 5" xfId="2310" xr:uid="{00000000-0005-0000-0000-00001D080000}"/>
    <cellStyle name="Percent 2 7" xfId="1061" xr:uid="{00000000-0005-0000-0000-00001E080000}"/>
    <cellStyle name="Percent 2 7 2" xfId="1062" xr:uid="{00000000-0005-0000-0000-00001F080000}"/>
    <cellStyle name="Percent 2 7 2 2" xfId="1063" xr:uid="{00000000-0005-0000-0000-000020080000}"/>
    <cellStyle name="Percent 2 7 2 2 2" xfId="2315" xr:uid="{00000000-0005-0000-0000-000021080000}"/>
    <cellStyle name="Percent 2 7 2 3" xfId="1064" xr:uid="{00000000-0005-0000-0000-000022080000}"/>
    <cellStyle name="Percent 2 7 2 3 2" xfId="2316" xr:uid="{00000000-0005-0000-0000-000023080000}"/>
    <cellStyle name="Percent 2 7 2 4" xfId="1065" xr:uid="{00000000-0005-0000-0000-000024080000}"/>
    <cellStyle name="Percent 2 7 2 4 2" xfId="2317" xr:uid="{00000000-0005-0000-0000-000025080000}"/>
    <cellStyle name="Percent 2 7 3" xfId="1066" xr:uid="{00000000-0005-0000-0000-000026080000}"/>
    <cellStyle name="Percent 2 7 4" xfId="1067" xr:uid="{00000000-0005-0000-0000-000027080000}"/>
    <cellStyle name="Percent 2 7 5" xfId="1068" xr:uid="{00000000-0005-0000-0000-000028080000}"/>
    <cellStyle name="Percent 2 7 5 2" xfId="2318" xr:uid="{00000000-0005-0000-0000-000029080000}"/>
    <cellStyle name="Percent 2 7 6" xfId="1069" xr:uid="{00000000-0005-0000-0000-00002A080000}"/>
    <cellStyle name="Percent 2 7 6 2" xfId="2319" xr:uid="{00000000-0005-0000-0000-00002B080000}"/>
    <cellStyle name="Percent 2 7 7" xfId="2314" xr:uid="{00000000-0005-0000-0000-00002C080000}"/>
    <cellStyle name="Percent 2 8" xfId="1070" xr:uid="{00000000-0005-0000-0000-00002D080000}"/>
    <cellStyle name="Percent 2 8 2" xfId="1071" xr:uid="{00000000-0005-0000-0000-00002E080000}"/>
    <cellStyle name="Percent 2 8 2 2" xfId="2321" xr:uid="{00000000-0005-0000-0000-00002F080000}"/>
    <cellStyle name="Percent 2 8 3" xfId="1072" xr:uid="{00000000-0005-0000-0000-000030080000}"/>
    <cellStyle name="Percent 2 8 3 2" xfId="2322" xr:uid="{00000000-0005-0000-0000-000031080000}"/>
    <cellStyle name="Percent 2 8 4" xfId="2323" xr:uid="{00000000-0005-0000-0000-000032080000}"/>
    <cellStyle name="Percent 2 8 5" xfId="2320" xr:uid="{00000000-0005-0000-0000-000033080000}"/>
    <cellStyle name="Percent 2 9" xfId="1073" xr:uid="{00000000-0005-0000-0000-000034080000}"/>
    <cellStyle name="Percent 2 9 2" xfId="2324" xr:uid="{00000000-0005-0000-0000-000035080000}"/>
    <cellStyle name="Percent 3" xfId="1074" xr:uid="{00000000-0005-0000-0000-000036080000}"/>
    <cellStyle name="Percent 3 2" xfId="1075" xr:uid="{00000000-0005-0000-0000-000037080000}"/>
    <cellStyle name="Percent 3 3" xfId="2325" xr:uid="{00000000-0005-0000-0000-000038080000}"/>
    <cellStyle name="Percent 4" xfId="1076" xr:uid="{00000000-0005-0000-0000-000039080000}"/>
    <cellStyle name="Percent 5" xfId="1077" xr:uid="{00000000-0005-0000-0000-00003A080000}"/>
    <cellStyle name="Percent 5 2" xfId="2326" xr:uid="{00000000-0005-0000-0000-00003B080000}"/>
    <cellStyle name="Percent 6" xfId="1078" xr:uid="{00000000-0005-0000-0000-00003C080000}"/>
    <cellStyle name="Percent 6 2" xfId="2327" xr:uid="{00000000-0005-0000-0000-00003D080000}"/>
    <cellStyle name="Percent 7" xfId="1079" xr:uid="{00000000-0005-0000-0000-00003E080000}"/>
    <cellStyle name="Percent 7 2" xfId="1080" xr:uid="{00000000-0005-0000-0000-00003F080000}"/>
    <cellStyle name="Percent 7 2 2" xfId="2329" xr:uid="{00000000-0005-0000-0000-000040080000}"/>
    <cellStyle name="Percent 7 3" xfId="1081" xr:uid="{00000000-0005-0000-0000-000041080000}"/>
    <cellStyle name="Percent 7 3 2" xfId="2330" xr:uid="{00000000-0005-0000-0000-000042080000}"/>
    <cellStyle name="Percent 7 4" xfId="2331" xr:uid="{00000000-0005-0000-0000-000043080000}"/>
    <cellStyle name="Percent 7 5" xfId="2328" xr:uid="{00000000-0005-0000-0000-000044080000}"/>
    <cellStyle name="Percent 8" xfId="1082" xr:uid="{00000000-0005-0000-0000-000045080000}"/>
    <cellStyle name="Percent 8 2" xfId="1083" xr:uid="{00000000-0005-0000-0000-000046080000}"/>
    <cellStyle name="Percent 8 2 2" xfId="2333" xr:uid="{00000000-0005-0000-0000-000047080000}"/>
    <cellStyle name="Percent 8 3" xfId="1084" xr:uid="{00000000-0005-0000-0000-000048080000}"/>
    <cellStyle name="Percent 8 3 2" xfId="2334" xr:uid="{00000000-0005-0000-0000-000049080000}"/>
    <cellStyle name="Percent 8 4" xfId="2335" xr:uid="{00000000-0005-0000-0000-00004A080000}"/>
    <cellStyle name="Percent 8 5" xfId="2332" xr:uid="{00000000-0005-0000-0000-00004B080000}"/>
    <cellStyle name="PERCENT 9" xfId="2336" xr:uid="{00000000-0005-0000-0000-00004C080000}"/>
    <cellStyle name="Percentagem" xfId="1085" builtinId="5"/>
    <cellStyle name="Percentagem 10" xfId="1086" xr:uid="{00000000-0005-0000-0000-00004E080000}"/>
    <cellStyle name="Percentagem 10 2" xfId="1087" xr:uid="{00000000-0005-0000-0000-00004F080000}"/>
    <cellStyle name="Percentagem 10 2 2" xfId="2338" xr:uid="{00000000-0005-0000-0000-000050080000}"/>
    <cellStyle name="Percentagem 10 3" xfId="1088" xr:uid="{00000000-0005-0000-0000-000051080000}"/>
    <cellStyle name="Percentagem 10 3 2" xfId="2339" xr:uid="{00000000-0005-0000-0000-000052080000}"/>
    <cellStyle name="Percentagem 10 4" xfId="2340" xr:uid="{00000000-0005-0000-0000-000053080000}"/>
    <cellStyle name="Percentagem 10 5" xfId="2337" xr:uid="{00000000-0005-0000-0000-000054080000}"/>
    <cellStyle name="Percentagem 11" xfId="1089" xr:uid="{00000000-0005-0000-0000-000055080000}"/>
    <cellStyle name="Percentagem 11 2" xfId="1090" xr:uid="{00000000-0005-0000-0000-000056080000}"/>
    <cellStyle name="Percentagem 11 2 2" xfId="1091" xr:uid="{00000000-0005-0000-0000-000057080000}"/>
    <cellStyle name="Percentagem 11 2 2 2" xfId="2343" xr:uid="{00000000-0005-0000-0000-000058080000}"/>
    <cellStyle name="Percentagem 11 2 3" xfId="1092" xr:uid="{00000000-0005-0000-0000-000059080000}"/>
    <cellStyle name="Percentagem 11 2 3 2" xfId="2344" xr:uid="{00000000-0005-0000-0000-00005A080000}"/>
    <cellStyle name="Percentagem 11 2 4" xfId="2345" xr:uid="{00000000-0005-0000-0000-00005B080000}"/>
    <cellStyle name="Percentagem 11 2 5" xfId="2342" xr:uid="{00000000-0005-0000-0000-00005C080000}"/>
    <cellStyle name="Percentagem 11 3" xfId="1093" xr:uid="{00000000-0005-0000-0000-00005D080000}"/>
    <cellStyle name="Percentagem 11 3 2" xfId="2346" xr:uid="{00000000-0005-0000-0000-00005E080000}"/>
    <cellStyle name="Percentagem 11 4" xfId="1094" xr:uid="{00000000-0005-0000-0000-00005F080000}"/>
    <cellStyle name="Percentagem 11 4 2" xfId="2347" xr:uid="{00000000-0005-0000-0000-000060080000}"/>
    <cellStyle name="Percentagem 11 5" xfId="2348" xr:uid="{00000000-0005-0000-0000-000061080000}"/>
    <cellStyle name="Percentagem 11 6" xfId="2341" xr:uid="{00000000-0005-0000-0000-000062080000}"/>
    <cellStyle name="Percentagem 12" xfId="2349" xr:uid="{00000000-0005-0000-0000-000063080000}"/>
    <cellStyle name="Percentagem 13" xfId="1095" xr:uid="{00000000-0005-0000-0000-000064080000}"/>
    <cellStyle name="Percentagem 13 2" xfId="2350" xr:uid="{00000000-0005-0000-0000-000065080000}"/>
    <cellStyle name="Percentagem 14" xfId="2351" xr:uid="{00000000-0005-0000-0000-000066080000}"/>
    <cellStyle name="Percentagem 14 2" xfId="2352" xr:uid="{00000000-0005-0000-0000-000067080000}"/>
    <cellStyle name="Percentagem 14 2 2" xfId="2353" xr:uid="{00000000-0005-0000-0000-000068080000}"/>
    <cellStyle name="Percentagem 14 3" xfId="2354" xr:uid="{00000000-0005-0000-0000-000069080000}"/>
    <cellStyle name="Percentagem 2" xfId="1096" xr:uid="{00000000-0005-0000-0000-00006A080000}"/>
    <cellStyle name="Percentagem 2 10" xfId="1097" xr:uid="{00000000-0005-0000-0000-00006B080000}"/>
    <cellStyle name="Percentagem 2 11" xfId="1098" xr:uid="{00000000-0005-0000-0000-00006C080000}"/>
    <cellStyle name="Percentagem 2 12" xfId="1099" xr:uid="{00000000-0005-0000-0000-00006D080000}"/>
    <cellStyle name="Percentagem 2 12 2" xfId="2355" xr:uid="{00000000-0005-0000-0000-00006E080000}"/>
    <cellStyle name="Percentagem 2 2" xfId="1100" xr:uid="{00000000-0005-0000-0000-00006F080000}"/>
    <cellStyle name="Percentagem 2 2 2" xfId="1101" xr:uid="{00000000-0005-0000-0000-000070080000}"/>
    <cellStyle name="Percentagem 2 2 2 2" xfId="2357" xr:uid="{00000000-0005-0000-0000-000071080000}"/>
    <cellStyle name="Percentagem 2 2 3" xfId="1102" xr:uid="{00000000-0005-0000-0000-000072080000}"/>
    <cellStyle name="Percentagem 2 2 3 2" xfId="1103" xr:uid="{00000000-0005-0000-0000-000073080000}"/>
    <cellStyle name="Percentagem 2 2 3 3" xfId="2358" xr:uid="{00000000-0005-0000-0000-000074080000}"/>
    <cellStyle name="Percentagem 2 2 4" xfId="1104" xr:uid="{00000000-0005-0000-0000-000075080000}"/>
    <cellStyle name="Percentagem 2 2 4 2" xfId="2359" xr:uid="{00000000-0005-0000-0000-000076080000}"/>
    <cellStyle name="Percentagem 2 2 5" xfId="2360" xr:uid="{00000000-0005-0000-0000-000077080000}"/>
    <cellStyle name="Percentagem 2 2 6" xfId="2356" xr:uid="{00000000-0005-0000-0000-000078080000}"/>
    <cellStyle name="Percentagem 2 3" xfId="1105" xr:uid="{00000000-0005-0000-0000-000079080000}"/>
    <cellStyle name="Percentagem 2 4" xfId="1106" xr:uid="{00000000-0005-0000-0000-00007A080000}"/>
    <cellStyle name="Percentagem 2 5" xfId="1107" xr:uid="{00000000-0005-0000-0000-00007B080000}"/>
    <cellStyle name="Percentagem 2 6" xfId="1108" xr:uid="{00000000-0005-0000-0000-00007C080000}"/>
    <cellStyle name="Percentagem 2 7" xfId="1109" xr:uid="{00000000-0005-0000-0000-00007D080000}"/>
    <cellStyle name="Percentagem 2 8" xfId="1110" xr:uid="{00000000-0005-0000-0000-00007E080000}"/>
    <cellStyle name="Percentagem 2 9" xfId="1111" xr:uid="{00000000-0005-0000-0000-00007F080000}"/>
    <cellStyle name="Percentagem 3" xfId="1112" xr:uid="{00000000-0005-0000-0000-000080080000}"/>
    <cellStyle name="Percentagem 3 2" xfId="1113" xr:uid="{00000000-0005-0000-0000-000081080000}"/>
    <cellStyle name="Percentagem 4" xfId="1114" xr:uid="{00000000-0005-0000-0000-000082080000}"/>
    <cellStyle name="Percentagem 4 10" xfId="1115" xr:uid="{00000000-0005-0000-0000-000083080000}"/>
    <cellStyle name="Percentagem 4 10 2" xfId="2361" xr:uid="{00000000-0005-0000-0000-000084080000}"/>
    <cellStyle name="Percentagem 4 2" xfId="1116" xr:uid="{00000000-0005-0000-0000-000085080000}"/>
    <cellStyle name="Percentagem 4 2 2" xfId="1117" xr:uid="{00000000-0005-0000-0000-000086080000}"/>
    <cellStyle name="Percentagem 4 2 2 2" xfId="1118" xr:uid="{00000000-0005-0000-0000-000087080000}"/>
    <cellStyle name="Percentagem 4 2 2 2 2" xfId="2363" xr:uid="{00000000-0005-0000-0000-000088080000}"/>
    <cellStyle name="Percentagem 4 2 2 3" xfId="2364" xr:uid="{00000000-0005-0000-0000-000089080000}"/>
    <cellStyle name="Percentagem 4 2 2 4" xfId="2362" xr:uid="{00000000-0005-0000-0000-00008A080000}"/>
    <cellStyle name="Percentagem 4 2 3" xfId="2365" xr:uid="{00000000-0005-0000-0000-00008B080000}"/>
    <cellStyle name="Percentagem 4 3" xfId="1119" xr:uid="{00000000-0005-0000-0000-00008C080000}"/>
    <cellStyle name="Percentagem 4 3 2" xfId="2366" xr:uid="{00000000-0005-0000-0000-00008D080000}"/>
    <cellStyle name="Percentagem 4 4" xfId="1120" xr:uid="{00000000-0005-0000-0000-00008E080000}"/>
    <cellStyle name="Percentagem 4 4 2" xfId="2367" xr:uid="{00000000-0005-0000-0000-00008F080000}"/>
    <cellStyle name="Percentagem 4 5" xfId="1121" xr:uid="{00000000-0005-0000-0000-000090080000}"/>
    <cellStyle name="Percentagem 4 5 2" xfId="2368" xr:uid="{00000000-0005-0000-0000-000091080000}"/>
    <cellStyle name="Percentagem 4 6" xfId="1122" xr:uid="{00000000-0005-0000-0000-000092080000}"/>
    <cellStyle name="Percentagem 4 6 2" xfId="2369" xr:uid="{00000000-0005-0000-0000-000093080000}"/>
    <cellStyle name="Percentagem 4 7" xfId="1123" xr:uid="{00000000-0005-0000-0000-000094080000}"/>
    <cellStyle name="Percentagem 4 7 2" xfId="2370" xr:uid="{00000000-0005-0000-0000-000095080000}"/>
    <cellStyle name="Percentagem 4 8" xfId="1124" xr:uid="{00000000-0005-0000-0000-000096080000}"/>
    <cellStyle name="Percentagem 4 8 2" xfId="2371" xr:uid="{00000000-0005-0000-0000-000097080000}"/>
    <cellStyle name="Percentagem 4 9" xfId="1125" xr:uid="{00000000-0005-0000-0000-000098080000}"/>
    <cellStyle name="Percentagem 4 9 2" xfId="2372" xr:uid="{00000000-0005-0000-0000-000099080000}"/>
    <cellStyle name="Percentagem 5" xfId="1126" xr:uid="{00000000-0005-0000-0000-00009A080000}"/>
    <cellStyle name="Percentagem 5 10" xfId="1127" xr:uid="{00000000-0005-0000-0000-00009B080000}"/>
    <cellStyle name="Percentagem 5 10 2" xfId="2373" xr:uid="{00000000-0005-0000-0000-00009C080000}"/>
    <cellStyle name="Percentagem 5 11" xfId="1128" xr:uid="{00000000-0005-0000-0000-00009D080000}"/>
    <cellStyle name="Percentagem 5 11 2" xfId="2374" xr:uid="{00000000-0005-0000-0000-00009E080000}"/>
    <cellStyle name="Percentagem 5 12" xfId="1129" xr:uid="{00000000-0005-0000-0000-00009F080000}"/>
    <cellStyle name="Percentagem 5 12 2" xfId="2375" xr:uid="{00000000-0005-0000-0000-0000A0080000}"/>
    <cellStyle name="Percentagem 5 13" xfId="2376" xr:uid="{00000000-0005-0000-0000-0000A1080000}"/>
    <cellStyle name="Percentagem 5 2" xfId="1130" xr:uid="{00000000-0005-0000-0000-0000A2080000}"/>
    <cellStyle name="Percentagem 5 2 2" xfId="1131" xr:uid="{00000000-0005-0000-0000-0000A3080000}"/>
    <cellStyle name="Percentagem 5 2 2 2" xfId="2378" xr:uid="{00000000-0005-0000-0000-0000A4080000}"/>
    <cellStyle name="Percentagem 5 2 3" xfId="1132" xr:uid="{00000000-0005-0000-0000-0000A5080000}"/>
    <cellStyle name="Percentagem 5 2 3 2" xfId="2379" xr:uid="{00000000-0005-0000-0000-0000A6080000}"/>
    <cellStyle name="Percentagem 5 2 4" xfId="2380" xr:uid="{00000000-0005-0000-0000-0000A7080000}"/>
    <cellStyle name="Percentagem 5 2 5" xfId="2377" xr:uid="{00000000-0005-0000-0000-0000A8080000}"/>
    <cellStyle name="Percentagem 5 3" xfId="1133" xr:uid="{00000000-0005-0000-0000-0000A9080000}"/>
    <cellStyle name="Percentagem 5 3 2" xfId="2381" xr:uid="{00000000-0005-0000-0000-0000AA080000}"/>
    <cellStyle name="Percentagem 5 4" xfId="1134" xr:uid="{00000000-0005-0000-0000-0000AB080000}"/>
    <cellStyle name="Percentagem 5 4 2" xfId="2382" xr:uid="{00000000-0005-0000-0000-0000AC080000}"/>
    <cellStyle name="Percentagem 5 5" xfId="1135" xr:uid="{00000000-0005-0000-0000-0000AD080000}"/>
    <cellStyle name="Percentagem 5 5 2" xfId="2383" xr:uid="{00000000-0005-0000-0000-0000AE080000}"/>
    <cellStyle name="Percentagem 5 6" xfId="1136" xr:uid="{00000000-0005-0000-0000-0000AF080000}"/>
    <cellStyle name="Percentagem 5 6 2" xfId="2384" xr:uid="{00000000-0005-0000-0000-0000B0080000}"/>
    <cellStyle name="Percentagem 5 7" xfId="1137" xr:uid="{00000000-0005-0000-0000-0000B1080000}"/>
    <cellStyle name="Percentagem 5 7 2" xfId="2385" xr:uid="{00000000-0005-0000-0000-0000B2080000}"/>
    <cellStyle name="Percentagem 5 8" xfId="1138" xr:uid="{00000000-0005-0000-0000-0000B3080000}"/>
    <cellStyle name="Percentagem 5 8 2" xfId="2386" xr:uid="{00000000-0005-0000-0000-0000B4080000}"/>
    <cellStyle name="Percentagem 5 9" xfId="1139" xr:uid="{00000000-0005-0000-0000-0000B5080000}"/>
    <cellStyle name="Percentagem 5 9 2" xfId="2387" xr:uid="{00000000-0005-0000-0000-0000B6080000}"/>
    <cellStyle name="Percentagem 6" xfId="1140" xr:uid="{00000000-0005-0000-0000-0000B7080000}"/>
    <cellStyle name="Percentagem 6 2" xfId="1141" xr:uid="{00000000-0005-0000-0000-0000B8080000}"/>
    <cellStyle name="Percentagem 6 3" xfId="1142" xr:uid="{00000000-0005-0000-0000-0000B9080000}"/>
    <cellStyle name="Percentagem 6 3 2" xfId="1143" xr:uid="{00000000-0005-0000-0000-0000BA080000}"/>
    <cellStyle name="Percentagem 6 3 2 2" xfId="2390" xr:uid="{00000000-0005-0000-0000-0000BB080000}"/>
    <cellStyle name="Percentagem 6 3 3" xfId="2389" xr:uid="{00000000-0005-0000-0000-0000BC080000}"/>
    <cellStyle name="Percentagem 6 4" xfId="1144" xr:uid="{00000000-0005-0000-0000-0000BD080000}"/>
    <cellStyle name="Percentagem 6 4 2" xfId="2391" xr:uid="{00000000-0005-0000-0000-0000BE080000}"/>
    <cellStyle name="Percentagem 6 5" xfId="2392" xr:uid="{00000000-0005-0000-0000-0000BF080000}"/>
    <cellStyle name="Percentagem 6 6" xfId="2388" xr:uid="{00000000-0005-0000-0000-0000C0080000}"/>
    <cellStyle name="Percentagem 7" xfId="1145" xr:uid="{00000000-0005-0000-0000-0000C1080000}"/>
    <cellStyle name="Percentagem 7 2" xfId="1146" xr:uid="{00000000-0005-0000-0000-0000C2080000}"/>
    <cellStyle name="Percentagem 7 2 2" xfId="2394" xr:uid="{00000000-0005-0000-0000-0000C3080000}"/>
    <cellStyle name="Percentagem 7 3" xfId="1147" xr:uid="{00000000-0005-0000-0000-0000C4080000}"/>
    <cellStyle name="Percentagem 7 3 2" xfId="2395" xr:uid="{00000000-0005-0000-0000-0000C5080000}"/>
    <cellStyle name="Percentagem 7 4" xfId="2396" xr:uid="{00000000-0005-0000-0000-0000C6080000}"/>
    <cellStyle name="Percentagem 7 5" xfId="2393" xr:uid="{00000000-0005-0000-0000-0000C7080000}"/>
    <cellStyle name="Percentagem 8" xfId="1148" xr:uid="{00000000-0005-0000-0000-0000C8080000}"/>
    <cellStyle name="Percentagem 8 2" xfId="1149" xr:uid="{00000000-0005-0000-0000-0000C9080000}"/>
    <cellStyle name="Percentagem 8 2 2" xfId="2398" xr:uid="{00000000-0005-0000-0000-0000CA080000}"/>
    <cellStyle name="Percentagem 8 3" xfId="1150" xr:uid="{00000000-0005-0000-0000-0000CB080000}"/>
    <cellStyle name="Percentagem 8 3 2" xfId="2399" xr:uid="{00000000-0005-0000-0000-0000CC080000}"/>
    <cellStyle name="Percentagem 8 4" xfId="2400" xr:uid="{00000000-0005-0000-0000-0000CD080000}"/>
    <cellStyle name="Percentagem 8 5" xfId="2397" xr:uid="{00000000-0005-0000-0000-0000CE080000}"/>
    <cellStyle name="Percentagem 9" xfId="1151" xr:uid="{00000000-0005-0000-0000-0000CF080000}"/>
    <cellStyle name="Percentagem 9 2" xfId="1152" xr:uid="{00000000-0005-0000-0000-0000D0080000}"/>
    <cellStyle name="Percentagem 9 2 2" xfId="1153" xr:uid="{00000000-0005-0000-0000-0000D1080000}"/>
    <cellStyle name="Percentagem 9 2 2 2" xfId="2403" xr:uid="{00000000-0005-0000-0000-0000D2080000}"/>
    <cellStyle name="Percentagem 9 2 3" xfId="1154" xr:uid="{00000000-0005-0000-0000-0000D3080000}"/>
    <cellStyle name="Percentagem 9 2 3 2" xfId="2404" xr:uid="{00000000-0005-0000-0000-0000D4080000}"/>
    <cellStyle name="Percentagem 9 2 4" xfId="2405" xr:uid="{00000000-0005-0000-0000-0000D5080000}"/>
    <cellStyle name="Percentagem 9 2 5" xfId="2402" xr:uid="{00000000-0005-0000-0000-0000D6080000}"/>
    <cellStyle name="Percentagem 9 3" xfId="1155" xr:uid="{00000000-0005-0000-0000-0000D7080000}"/>
    <cellStyle name="Percentagem 9 3 2" xfId="2406" xr:uid="{00000000-0005-0000-0000-0000D8080000}"/>
    <cellStyle name="Percentagem 9 4" xfId="1156" xr:uid="{00000000-0005-0000-0000-0000D9080000}"/>
    <cellStyle name="Percentagem 9 4 2" xfId="2407" xr:uid="{00000000-0005-0000-0000-0000DA080000}"/>
    <cellStyle name="Percentagem 9 5" xfId="2408" xr:uid="{00000000-0005-0000-0000-0000DB080000}"/>
    <cellStyle name="Percentagem 9 6" xfId="2401" xr:uid="{00000000-0005-0000-0000-0000DC080000}"/>
    <cellStyle name="PercentSales" xfId="1157" xr:uid="{00000000-0005-0000-0000-0000DD080000}"/>
    <cellStyle name="PercentSales 2" xfId="2409" xr:uid="{00000000-0005-0000-0000-0000DE080000}"/>
    <cellStyle name="PrePop Currency (0)" xfId="2410" xr:uid="{00000000-0005-0000-0000-0000DF080000}"/>
    <cellStyle name="PrePop Currency (2)" xfId="2411" xr:uid="{00000000-0005-0000-0000-0000E0080000}"/>
    <cellStyle name="PrePop Units (0)" xfId="2412" xr:uid="{00000000-0005-0000-0000-0000E1080000}"/>
    <cellStyle name="PrePop Units (1)" xfId="2413" xr:uid="{00000000-0005-0000-0000-0000E2080000}"/>
    <cellStyle name="PrePop Units (2)" xfId="2414" xr:uid="{00000000-0005-0000-0000-0000E3080000}"/>
    <cellStyle name="Ratio" xfId="1158" xr:uid="{00000000-0005-0000-0000-0000E4080000}"/>
    <cellStyle name="Red font" xfId="1159" xr:uid="{00000000-0005-0000-0000-0000E5080000}"/>
    <cellStyle name="RInfo" xfId="1160" xr:uid="{00000000-0005-0000-0000-0000E6080000}"/>
    <cellStyle name="Saída 2" xfId="1161" xr:uid="{00000000-0005-0000-0000-0000E7080000}"/>
    <cellStyle name="Saída 2 2" xfId="1162" xr:uid="{00000000-0005-0000-0000-0000E8080000}"/>
    <cellStyle name="Saída 2 3" xfId="1163" xr:uid="{00000000-0005-0000-0000-0000E9080000}"/>
    <cellStyle name="Saída 2 4" xfId="1164" xr:uid="{00000000-0005-0000-0000-0000EA080000}"/>
    <cellStyle name="Saída 2 5" xfId="1165" xr:uid="{00000000-0005-0000-0000-0000EB080000}"/>
    <cellStyle name="Saída 2 6" xfId="1166" xr:uid="{00000000-0005-0000-0000-0000EC080000}"/>
    <cellStyle name="Saída 3" xfId="1167" xr:uid="{00000000-0005-0000-0000-0000ED080000}"/>
    <cellStyle name="Saída 4" xfId="1168" xr:uid="{00000000-0005-0000-0000-0000EE080000}"/>
    <cellStyle name="Sheet Title" xfId="1169" xr:uid="{00000000-0005-0000-0000-0000EF080000}"/>
    <cellStyle name="sombreado" xfId="1170" xr:uid="{00000000-0005-0000-0000-0000F0080000}"/>
    <cellStyle name="sombreado 2" xfId="2415" xr:uid="{00000000-0005-0000-0000-0000F1080000}"/>
    <cellStyle name="Standard_WBBasis" xfId="1171" xr:uid="{00000000-0005-0000-0000-0000F2080000}"/>
    <cellStyle name="Style 1" xfId="1172" xr:uid="{00000000-0005-0000-0000-0000F3080000}"/>
    <cellStyle name="Style 1 2" xfId="1173" xr:uid="{00000000-0005-0000-0000-0000F4080000}"/>
    <cellStyle name="Style 1 2 2" xfId="1174" xr:uid="{00000000-0005-0000-0000-0000F5080000}"/>
    <cellStyle name="Style 1 2 2 2" xfId="2416" xr:uid="{00000000-0005-0000-0000-0000F6080000}"/>
    <cellStyle name="Style 1 2 3" xfId="1175" xr:uid="{00000000-0005-0000-0000-0000F7080000}"/>
    <cellStyle name="Style 1 2 3 2" xfId="2417" xr:uid="{00000000-0005-0000-0000-0000F8080000}"/>
    <cellStyle name="Style 1 2 4" xfId="1176" xr:uid="{00000000-0005-0000-0000-0000F9080000}"/>
    <cellStyle name="Style 1 2 4 2" xfId="2418" xr:uid="{00000000-0005-0000-0000-0000FA080000}"/>
    <cellStyle name="Style 1 2 5" xfId="2419" xr:uid="{00000000-0005-0000-0000-0000FB080000}"/>
    <cellStyle name="Style 1 3" xfId="1177" xr:uid="{00000000-0005-0000-0000-0000FC080000}"/>
    <cellStyle name="Style 1 3 2" xfId="2420" xr:uid="{00000000-0005-0000-0000-0000FD080000}"/>
    <cellStyle name="Style 1 4" xfId="1178" xr:uid="{00000000-0005-0000-0000-0000FE080000}"/>
    <cellStyle name="Style 1 4 2" xfId="2421" xr:uid="{00000000-0005-0000-0000-0000FF080000}"/>
    <cellStyle name="Style 1 5" xfId="2422" xr:uid="{00000000-0005-0000-0000-000000090000}"/>
    <cellStyle name="Text Indent A" xfId="2423" xr:uid="{00000000-0005-0000-0000-000001090000}"/>
    <cellStyle name="Text Indent B" xfId="2424" xr:uid="{00000000-0005-0000-0000-000002090000}"/>
    <cellStyle name="Text Indent C" xfId="2425" xr:uid="{00000000-0005-0000-0000-000003090000}"/>
    <cellStyle name="Texto de Aviso 10" xfId="1179" xr:uid="{00000000-0005-0000-0000-000004090000}"/>
    <cellStyle name="Texto de Aviso 10 2" xfId="2426" xr:uid="{00000000-0005-0000-0000-000005090000}"/>
    <cellStyle name="Texto de Aviso 11" xfId="1180" xr:uid="{00000000-0005-0000-0000-000006090000}"/>
    <cellStyle name="Texto de Aviso 11 2" xfId="2427" xr:uid="{00000000-0005-0000-0000-000007090000}"/>
    <cellStyle name="Texto de Aviso 2" xfId="1181" xr:uid="{00000000-0005-0000-0000-000008090000}"/>
    <cellStyle name="Texto de Aviso 2 10" xfId="1182" xr:uid="{00000000-0005-0000-0000-000009090000}"/>
    <cellStyle name="Texto de Aviso 2 11" xfId="1183" xr:uid="{00000000-0005-0000-0000-00000A090000}"/>
    <cellStyle name="Texto de Aviso 2 2" xfId="1184" xr:uid="{00000000-0005-0000-0000-00000B090000}"/>
    <cellStyle name="Texto de Aviso 2 3" xfId="1185" xr:uid="{00000000-0005-0000-0000-00000C090000}"/>
    <cellStyle name="Texto de Aviso 2 4" xfId="1186" xr:uid="{00000000-0005-0000-0000-00000D090000}"/>
    <cellStyle name="Texto de Aviso 2 5" xfId="1187" xr:uid="{00000000-0005-0000-0000-00000E090000}"/>
    <cellStyle name="Texto de Aviso 2 6" xfId="1188" xr:uid="{00000000-0005-0000-0000-00000F090000}"/>
    <cellStyle name="Texto de Aviso 2 7" xfId="1189" xr:uid="{00000000-0005-0000-0000-000010090000}"/>
    <cellStyle name="Texto de Aviso 2 8" xfId="1190" xr:uid="{00000000-0005-0000-0000-000011090000}"/>
    <cellStyle name="Texto de Aviso 2 9" xfId="1191" xr:uid="{00000000-0005-0000-0000-000012090000}"/>
    <cellStyle name="Texto de Aviso 2_DGO" xfId="2428" xr:uid="{00000000-0005-0000-0000-000013090000}"/>
    <cellStyle name="Texto de Aviso 3" xfId="1192" xr:uid="{00000000-0005-0000-0000-000014090000}"/>
    <cellStyle name="Texto de Aviso 4" xfId="1193" xr:uid="{00000000-0005-0000-0000-000015090000}"/>
    <cellStyle name="Texto de Aviso 5" xfId="1194" xr:uid="{00000000-0005-0000-0000-000016090000}"/>
    <cellStyle name="Texto de Aviso 5 2" xfId="2429" xr:uid="{00000000-0005-0000-0000-000017090000}"/>
    <cellStyle name="Texto de Aviso 6" xfId="1195" xr:uid="{00000000-0005-0000-0000-000018090000}"/>
    <cellStyle name="Texto de Aviso 6 2" xfId="2430" xr:uid="{00000000-0005-0000-0000-000019090000}"/>
    <cellStyle name="Texto de Aviso 7" xfId="1196" xr:uid="{00000000-0005-0000-0000-00001A090000}"/>
    <cellStyle name="Texto de Aviso 7 2" xfId="2431" xr:uid="{00000000-0005-0000-0000-00001B090000}"/>
    <cellStyle name="Texto de Aviso 8" xfId="1197" xr:uid="{00000000-0005-0000-0000-00001C090000}"/>
    <cellStyle name="Texto de Aviso 8 2" xfId="2432" xr:uid="{00000000-0005-0000-0000-00001D090000}"/>
    <cellStyle name="Texto de Aviso 9" xfId="1198" xr:uid="{00000000-0005-0000-0000-00001E090000}"/>
    <cellStyle name="Texto de Aviso 9 2" xfId="2433" xr:uid="{00000000-0005-0000-0000-00001F090000}"/>
    <cellStyle name="Texto Explicativo 2" xfId="1199" xr:uid="{00000000-0005-0000-0000-000020090000}"/>
    <cellStyle name="Texto Explicativo 3" xfId="1200" xr:uid="{00000000-0005-0000-0000-000021090000}"/>
    <cellStyle name="Texto Explicativo 4" xfId="1201" xr:uid="{00000000-0005-0000-0000-000022090000}"/>
    <cellStyle name="Title" xfId="1202" xr:uid="{00000000-0005-0000-0000-000023090000}"/>
    <cellStyle name="Title 1" xfId="1203" xr:uid="{00000000-0005-0000-0000-000024090000}"/>
    <cellStyle name="Title 3" xfId="1204" xr:uid="{00000000-0005-0000-0000-000025090000}"/>
    <cellStyle name="Title 4" xfId="1205" xr:uid="{00000000-0005-0000-0000-000026090000}"/>
    <cellStyle name="Title_Saldos" xfId="2434" xr:uid="{00000000-0005-0000-0000-000027090000}"/>
    <cellStyle name="Titulo" xfId="1206" xr:uid="{00000000-0005-0000-0000-000028090000}"/>
    <cellStyle name="Título 1" xfId="2435" xr:uid="{00000000-0005-0000-0000-000029090000}"/>
    <cellStyle name="Título 2" xfId="1207" xr:uid="{00000000-0005-0000-0000-00002A090000}"/>
    <cellStyle name="Título 3" xfId="1208" xr:uid="{00000000-0005-0000-0000-00002B090000}"/>
    <cellStyle name="Título 4" xfId="1209" xr:uid="{00000000-0005-0000-0000-00002C090000}"/>
    <cellStyle name="Total 10" xfId="1210" xr:uid="{00000000-0005-0000-0000-00002D090000}"/>
    <cellStyle name="Total 11" xfId="1211" xr:uid="{00000000-0005-0000-0000-00002E090000}"/>
    <cellStyle name="Total 12" xfId="1212" xr:uid="{00000000-0005-0000-0000-00002F090000}"/>
    <cellStyle name="Total 13" xfId="1213" xr:uid="{00000000-0005-0000-0000-000030090000}"/>
    <cellStyle name="Total 14" xfId="1214" xr:uid="{00000000-0005-0000-0000-000031090000}"/>
    <cellStyle name="Total 15" xfId="1215" xr:uid="{00000000-0005-0000-0000-000032090000}"/>
    <cellStyle name="Total 16" xfId="1216" xr:uid="{00000000-0005-0000-0000-000033090000}"/>
    <cellStyle name="Total 17" xfId="1217" xr:uid="{00000000-0005-0000-0000-000034090000}"/>
    <cellStyle name="Total 18" xfId="1218" xr:uid="{00000000-0005-0000-0000-000035090000}"/>
    <cellStyle name="Total 2" xfId="1219" xr:uid="{00000000-0005-0000-0000-000036090000}"/>
    <cellStyle name="Total 2 10" xfId="1220" xr:uid="{00000000-0005-0000-0000-000037090000}"/>
    <cellStyle name="Total 2 11" xfId="1221" xr:uid="{00000000-0005-0000-0000-000038090000}"/>
    <cellStyle name="Total 2 12" xfId="1222" xr:uid="{00000000-0005-0000-0000-000039090000}"/>
    <cellStyle name="Total 2 13" xfId="1223" xr:uid="{00000000-0005-0000-0000-00003A090000}"/>
    <cellStyle name="Total 2 2" xfId="1224" xr:uid="{00000000-0005-0000-0000-00003B090000}"/>
    <cellStyle name="Total 2 2 2" xfId="1225" xr:uid="{00000000-0005-0000-0000-00003C090000}"/>
    <cellStyle name="Total 2 2 3" xfId="1226" xr:uid="{00000000-0005-0000-0000-00003D090000}"/>
    <cellStyle name="Total 2 3" xfId="1227" xr:uid="{00000000-0005-0000-0000-00003E090000}"/>
    <cellStyle name="Total 2 4" xfId="1228" xr:uid="{00000000-0005-0000-0000-00003F090000}"/>
    <cellStyle name="Total 2 5" xfId="1229" xr:uid="{00000000-0005-0000-0000-000040090000}"/>
    <cellStyle name="Total 2 6" xfId="1230" xr:uid="{00000000-0005-0000-0000-000041090000}"/>
    <cellStyle name="Total 2 7" xfId="1231" xr:uid="{00000000-0005-0000-0000-000042090000}"/>
    <cellStyle name="Total 2 8" xfId="1232" xr:uid="{00000000-0005-0000-0000-000043090000}"/>
    <cellStyle name="Total 2 9" xfId="1233" xr:uid="{00000000-0005-0000-0000-000044090000}"/>
    <cellStyle name="Total 2_DGO" xfId="2436" xr:uid="{00000000-0005-0000-0000-000045090000}"/>
    <cellStyle name="Total 3" xfId="1234" xr:uid="{00000000-0005-0000-0000-000046090000}"/>
    <cellStyle name="Total 4" xfId="1235" xr:uid="{00000000-0005-0000-0000-000047090000}"/>
    <cellStyle name="Total 5" xfId="1236" xr:uid="{00000000-0005-0000-0000-000048090000}"/>
    <cellStyle name="Total 6" xfId="1237" xr:uid="{00000000-0005-0000-0000-000049090000}"/>
    <cellStyle name="Total 7" xfId="1238" xr:uid="{00000000-0005-0000-0000-00004A090000}"/>
    <cellStyle name="Total 8" xfId="1239" xr:uid="{00000000-0005-0000-0000-00004B090000}"/>
    <cellStyle name="Total 9" xfId="1240" xr:uid="{00000000-0005-0000-0000-00004C090000}"/>
    <cellStyle name="Verificar Célula 2" xfId="1241" xr:uid="{00000000-0005-0000-0000-00004D090000}"/>
    <cellStyle name="Verificar Célula 3" xfId="1242" xr:uid="{00000000-0005-0000-0000-00004E090000}"/>
    <cellStyle name="Verificar Célula 4" xfId="1243" xr:uid="{00000000-0005-0000-0000-00004F090000}"/>
    <cellStyle name="Vírgula" xfId="1244" builtinId="3"/>
    <cellStyle name="Vírgula 10" xfId="1245" xr:uid="{00000000-0005-0000-0000-000051090000}"/>
    <cellStyle name="Vírgula 10 2" xfId="2438" xr:uid="{00000000-0005-0000-0000-000052090000}"/>
    <cellStyle name="Vírgula 11" xfId="1246" xr:uid="{00000000-0005-0000-0000-000053090000}"/>
    <cellStyle name="Vírgula 11 2" xfId="2439" xr:uid="{00000000-0005-0000-0000-000054090000}"/>
    <cellStyle name="Vírgula 12" xfId="1247" xr:uid="{00000000-0005-0000-0000-000055090000}"/>
    <cellStyle name="Vírgula 12 2" xfId="1248" xr:uid="{00000000-0005-0000-0000-000056090000}"/>
    <cellStyle name="Vírgula 12 2 2" xfId="2441" xr:uid="{00000000-0005-0000-0000-000057090000}"/>
    <cellStyle name="Vírgula 12 3" xfId="1249" xr:uid="{00000000-0005-0000-0000-000058090000}"/>
    <cellStyle name="Vírgula 12 3 2" xfId="2442" xr:uid="{00000000-0005-0000-0000-000059090000}"/>
    <cellStyle name="Vírgula 12 4" xfId="2443" xr:uid="{00000000-0005-0000-0000-00005A090000}"/>
    <cellStyle name="Vírgula 12 5" xfId="2440" xr:uid="{00000000-0005-0000-0000-00005B090000}"/>
    <cellStyle name="Vírgula 13" xfId="1250" xr:uid="{00000000-0005-0000-0000-00005C090000}"/>
    <cellStyle name="Vírgula 13 2" xfId="2445" xr:uid="{00000000-0005-0000-0000-00005D090000}"/>
    <cellStyle name="Vírgula 13 3" xfId="2444" xr:uid="{00000000-0005-0000-0000-00005E090000}"/>
    <cellStyle name="Vírgula 14" xfId="2446" xr:uid="{00000000-0005-0000-0000-00005F090000}"/>
    <cellStyle name="Vírgula 14 2" xfId="2447" xr:uid="{00000000-0005-0000-0000-000060090000}"/>
    <cellStyle name="Vírgula 14 3" xfId="2448" xr:uid="{00000000-0005-0000-0000-000061090000}"/>
    <cellStyle name="Vírgula 15" xfId="2437" xr:uid="{00000000-0005-0000-0000-000062090000}"/>
    <cellStyle name="Vírgula 2" xfId="1251" xr:uid="{00000000-0005-0000-0000-000063090000}"/>
    <cellStyle name="Vírgula 2 10" xfId="1252" xr:uid="{00000000-0005-0000-0000-000064090000}"/>
    <cellStyle name="Vírgula 2 10 2" xfId="2449" xr:uid="{00000000-0005-0000-0000-000065090000}"/>
    <cellStyle name="Vírgula 2 11" xfId="1253" xr:uid="{00000000-0005-0000-0000-000066090000}"/>
    <cellStyle name="Vírgula 2 11 2" xfId="2450" xr:uid="{00000000-0005-0000-0000-000067090000}"/>
    <cellStyle name="Vírgula 2 12" xfId="1254" xr:uid="{00000000-0005-0000-0000-000068090000}"/>
    <cellStyle name="Vírgula 2 12 2" xfId="2451" xr:uid="{00000000-0005-0000-0000-000069090000}"/>
    <cellStyle name="Vírgula 2 13" xfId="2452" xr:uid="{00000000-0005-0000-0000-00006A090000}"/>
    <cellStyle name="Vírgula 2 2" xfId="1255" xr:uid="{00000000-0005-0000-0000-00006B090000}"/>
    <cellStyle name="Vírgula 2 2 2" xfId="1256" xr:uid="{00000000-0005-0000-0000-00006C090000}"/>
    <cellStyle name="Vírgula 2 2 3" xfId="1257" xr:uid="{00000000-0005-0000-0000-00006D090000}"/>
    <cellStyle name="Vírgula 2 2 3 2" xfId="2454" xr:uid="{00000000-0005-0000-0000-00006E090000}"/>
    <cellStyle name="Vírgula 2 2 4" xfId="1258" xr:uid="{00000000-0005-0000-0000-00006F090000}"/>
    <cellStyle name="Vírgula 2 2 4 2" xfId="2455" xr:uid="{00000000-0005-0000-0000-000070090000}"/>
    <cellStyle name="Vírgula 2 2 5" xfId="1259" xr:uid="{00000000-0005-0000-0000-000071090000}"/>
    <cellStyle name="Vírgula 2 2 5 2" xfId="2456" xr:uid="{00000000-0005-0000-0000-000072090000}"/>
    <cellStyle name="Vírgula 2 2 6" xfId="1260" xr:uid="{00000000-0005-0000-0000-000073090000}"/>
    <cellStyle name="Vírgula 2 2 6 2" xfId="2457" xr:uid="{00000000-0005-0000-0000-000074090000}"/>
    <cellStyle name="Vírgula 2 2 7" xfId="1261" xr:uid="{00000000-0005-0000-0000-000075090000}"/>
    <cellStyle name="Vírgula 2 2 7 2" xfId="2458" xr:uid="{00000000-0005-0000-0000-000076090000}"/>
    <cellStyle name="Vírgula 2 2 8" xfId="1262" xr:uid="{00000000-0005-0000-0000-000077090000}"/>
    <cellStyle name="Vírgula 2 2 8 2" xfId="2459" xr:uid="{00000000-0005-0000-0000-000078090000}"/>
    <cellStyle name="Vírgula 2 2 9" xfId="2453" xr:uid="{00000000-0005-0000-0000-000079090000}"/>
    <cellStyle name="Vírgula 2 3" xfId="1263" xr:uid="{00000000-0005-0000-0000-00007A090000}"/>
    <cellStyle name="Vírgula 2 3 2" xfId="1264" xr:uid="{00000000-0005-0000-0000-00007B090000}"/>
    <cellStyle name="Vírgula 2 4" xfId="1265" xr:uid="{00000000-0005-0000-0000-00007C090000}"/>
    <cellStyle name="Vírgula 2 4 2" xfId="1266" xr:uid="{00000000-0005-0000-0000-00007D090000}"/>
    <cellStyle name="Vírgula 2 4 2 2" xfId="1267" xr:uid="{00000000-0005-0000-0000-00007E090000}"/>
    <cellStyle name="Vírgula 2 4 2 2 2" xfId="2461" xr:uid="{00000000-0005-0000-0000-00007F090000}"/>
    <cellStyle name="Vírgula 2 4 2 3" xfId="2462" xr:uid="{00000000-0005-0000-0000-000080090000}"/>
    <cellStyle name="Vírgula 2 4 2 4" xfId="2460" xr:uid="{00000000-0005-0000-0000-000081090000}"/>
    <cellStyle name="Vírgula 2 4 3" xfId="2463" xr:uid="{00000000-0005-0000-0000-000082090000}"/>
    <cellStyle name="Vírgula 2 5" xfId="1268" xr:uid="{00000000-0005-0000-0000-000083090000}"/>
    <cellStyle name="Vírgula 2 5 2" xfId="2464" xr:uid="{00000000-0005-0000-0000-000084090000}"/>
    <cellStyle name="Vírgula 2 6" xfId="1269" xr:uid="{00000000-0005-0000-0000-000085090000}"/>
    <cellStyle name="Vírgula 2 6 2" xfId="2465" xr:uid="{00000000-0005-0000-0000-000086090000}"/>
    <cellStyle name="Vírgula 2 7" xfId="1270" xr:uid="{00000000-0005-0000-0000-000087090000}"/>
    <cellStyle name="Vírgula 2 7 2" xfId="2466" xr:uid="{00000000-0005-0000-0000-000088090000}"/>
    <cellStyle name="Vírgula 2 8" xfId="1271" xr:uid="{00000000-0005-0000-0000-000089090000}"/>
    <cellStyle name="Vírgula 2 8 2" xfId="2467" xr:uid="{00000000-0005-0000-0000-00008A090000}"/>
    <cellStyle name="Vírgula 2 9" xfId="1272" xr:uid="{00000000-0005-0000-0000-00008B090000}"/>
    <cellStyle name="Vírgula 2 9 2" xfId="2468" xr:uid="{00000000-0005-0000-0000-00008C090000}"/>
    <cellStyle name="Vírgula 3" xfId="1273" xr:uid="{00000000-0005-0000-0000-00008D090000}"/>
    <cellStyle name="Vírgula 3 2" xfId="1274" xr:uid="{00000000-0005-0000-0000-00008E090000}"/>
    <cellStyle name="Vírgula 3 2 2" xfId="1275" xr:uid="{00000000-0005-0000-0000-00008F090000}"/>
    <cellStyle name="Vírgula 3 2 2 2" xfId="1276" xr:uid="{00000000-0005-0000-0000-000090090000}"/>
    <cellStyle name="Vírgula 3 2 3" xfId="2470" xr:uid="{00000000-0005-0000-0000-000091090000}"/>
    <cellStyle name="Vírgula 3 3" xfId="1277" xr:uid="{00000000-0005-0000-0000-000092090000}"/>
    <cellStyle name="Vírgula 3 3 2" xfId="2471" xr:uid="{00000000-0005-0000-0000-000093090000}"/>
    <cellStyle name="Vírgula 3 4" xfId="1278" xr:uid="{00000000-0005-0000-0000-000094090000}"/>
    <cellStyle name="Vírgula 3 4 2" xfId="2472" xr:uid="{00000000-0005-0000-0000-000095090000}"/>
    <cellStyle name="Vírgula 3 5" xfId="2469" xr:uid="{00000000-0005-0000-0000-000096090000}"/>
    <cellStyle name="Vírgula 4" xfId="1279" xr:uid="{00000000-0005-0000-0000-000097090000}"/>
    <cellStyle name="Vírgula 4 2" xfId="1280" xr:uid="{00000000-0005-0000-0000-000098090000}"/>
    <cellStyle name="Vírgula 4 2 2" xfId="2474" xr:uid="{00000000-0005-0000-0000-000099090000}"/>
    <cellStyle name="Vírgula 4 3" xfId="1281" xr:uid="{00000000-0005-0000-0000-00009A090000}"/>
    <cellStyle name="Vírgula 4 3 2" xfId="2475" xr:uid="{00000000-0005-0000-0000-00009B090000}"/>
    <cellStyle name="Vírgula 4 4" xfId="2473" xr:uid="{00000000-0005-0000-0000-00009C090000}"/>
    <cellStyle name="Vírgula 5" xfId="1282" xr:uid="{00000000-0005-0000-0000-00009D090000}"/>
    <cellStyle name="Vírgula 5 2" xfId="1283" xr:uid="{00000000-0005-0000-0000-00009E090000}"/>
    <cellStyle name="Vírgula 5 2 2" xfId="2477" xr:uid="{00000000-0005-0000-0000-00009F090000}"/>
    <cellStyle name="Vírgula 5 3" xfId="2478" xr:uid="{00000000-0005-0000-0000-0000A0090000}"/>
    <cellStyle name="Vírgula 5 4" xfId="2476" xr:uid="{00000000-0005-0000-0000-0000A1090000}"/>
    <cellStyle name="Vírgula 6" xfId="1284" xr:uid="{00000000-0005-0000-0000-0000A2090000}"/>
    <cellStyle name="Vírgula 6 2" xfId="1285" xr:uid="{00000000-0005-0000-0000-0000A3090000}"/>
    <cellStyle name="Vírgula 6 2 2" xfId="2480" xr:uid="{00000000-0005-0000-0000-0000A4090000}"/>
    <cellStyle name="Vírgula 6 3" xfId="1286" xr:uid="{00000000-0005-0000-0000-0000A5090000}"/>
    <cellStyle name="Vírgula 6 3 2" xfId="2481" xr:uid="{00000000-0005-0000-0000-0000A6090000}"/>
    <cellStyle name="Vírgula 6 4" xfId="1287" xr:uid="{00000000-0005-0000-0000-0000A7090000}"/>
    <cellStyle name="Vírgula 6 4 2" xfId="1288" xr:uid="{00000000-0005-0000-0000-0000A8090000}"/>
    <cellStyle name="Vírgula 6 4 2 2" xfId="2483" xr:uid="{00000000-0005-0000-0000-0000A9090000}"/>
    <cellStyle name="Vírgula 6 4 3" xfId="2484" xr:uid="{00000000-0005-0000-0000-0000AA090000}"/>
    <cellStyle name="Vírgula 6 4 4" xfId="2482" xr:uid="{00000000-0005-0000-0000-0000AB090000}"/>
    <cellStyle name="Vírgula 6 5" xfId="1289" xr:uid="{00000000-0005-0000-0000-0000AC090000}"/>
    <cellStyle name="Vírgula 6 5 2" xfId="2485" xr:uid="{00000000-0005-0000-0000-0000AD090000}"/>
    <cellStyle name="Vírgula 6 6" xfId="1290" xr:uid="{00000000-0005-0000-0000-0000AE090000}"/>
    <cellStyle name="Vírgula 6 6 2" xfId="2486" xr:uid="{00000000-0005-0000-0000-0000AF090000}"/>
    <cellStyle name="Vírgula 6 7" xfId="2479" xr:uid="{00000000-0005-0000-0000-0000B0090000}"/>
    <cellStyle name="Vírgula 7" xfId="1291" xr:uid="{00000000-0005-0000-0000-0000B1090000}"/>
    <cellStyle name="Vírgula 7 2" xfId="2487" xr:uid="{00000000-0005-0000-0000-0000B2090000}"/>
    <cellStyle name="Vírgula 8" xfId="1292" xr:uid="{00000000-0005-0000-0000-0000B3090000}"/>
    <cellStyle name="Vírgula 8 2" xfId="1293" xr:uid="{00000000-0005-0000-0000-0000B4090000}"/>
    <cellStyle name="Vírgula 8 2 2" xfId="2489" xr:uid="{00000000-0005-0000-0000-0000B5090000}"/>
    <cellStyle name="Vírgula 8 3" xfId="2488" xr:uid="{00000000-0005-0000-0000-0000B6090000}"/>
    <cellStyle name="Vírgula 9" xfId="1294" xr:uid="{00000000-0005-0000-0000-0000B7090000}"/>
    <cellStyle name="Vírgula 9 2" xfId="1295" xr:uid="{00000000-0005-0000-0000-0000B8090000}"/>
    <cellStyle name="Vírgula 9 2 2" xfId="2490" xr:uid="{00000000-0005-0000-0000-0000B9090000}"/>
    <cellStyle name="Vírgula 9 3" xfId="2491" xr:uid="{00000000-0005-0000-0000-0000BA090000}"/>
    <cellStyle name="Warning Text" xfId="1296" xr:uid="{00000000-0005-0000-0000-0000BB090000}"/>
  </cellStyles>
  <dxfs count="0"/>
  <tableStyles count="0" defaultTableStyle="TableStyleMedium2" defaultPivotStyle="PivotStyleLight16"/>
  <colors>
    <mruColors>
      <color rgb="FF2A4B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19"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Drop" dropLines="5" dropStyle="combo" dx="16" fmlaLink="$Z$1" fmlaRange="$Y$1:$Y$2" sel="2"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_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0</xdr:rowOff>
    </xdr:from>
    <xdr:to>
      <xdr:col>11</xdr:col>
      <xdr:colOff>688125</xdr:colOff>
      <xdr:row>53</xdr:row>
      <xdr:rowOff>245243</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75" y="0"/>
          <a:ext cx="7377850" cy="10341743"/>
        </a:xfrm>
        <a:prstGeom prst="rect">
          <a:avLst/>
        </a:prstGeom>
      </xdr:spPr>
    </xdr:pic>
    <xdr:clientData/>
  </xdr:twoCellAnchor>
  <xdr:twoCellAnchor>
    <xdr:from>
      <xdr:col>8</xdr:col>
      <xdr:colOff>349250</xdr:colOff>
      <xdr:row>15</xdr:row>
      <xdr:rowOff>31750</xdr:rowOff>
    </xdr:from>
    <xdr:to>
      <xdr:col>11</xdr:col>
      <xdr:colOff>460374</xdr:colOff>
      <xdr:row>16</xdr:row>
      <xdr:rowOff>127000</xdr:rowOff>
    </xdr:to>
    <xdr:sp macro="" textlink="">
      <xdr:nvSpPr>
        <xdr:cNvPr id="3" name="CaixaDeTexto 2">
          <a:extLst>
            <a:ext uri="{FF2B5EF4-FFF2-40B4-BE49-F238E27FC236}">
              <a16:creationId xmlns:a16="http://schemas.microsoft.com/office/drawing/2014/main" id="{00000000-0008-0000-0000-000003000000}"/>
            </a:ext>
          </a:extLst>
        </xdr:cNvPr>
        <xdr:cNvSpPr txBox="1"/>
      </xdr:nvSpPr>
      <xdr:spPr>
        <a:xfrm>
          <a:off x="5175250" y="2889250"/>
          <a:ext cx="1920874"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May 2019</a:t>
          </a:r>
        </a:p>
      </xdr:txBody>
    </xdr:sp>
    <xdr:clientData/>
  </xdr:twoCellAnchor>
  <xdr:twoCellAnchor>
    <xdr:from>
      <xdr:col>1</xdr:col>
      <xdr:colOff>365125</xdr:colOff>
      <xdr:row>5</xdr:row>
      <xdr:rowOff>15875</xdr:rowOff>
    </xdr:from>
    <xdr:to>
      <xdr:col>9</xdr:col>
      <xdr:colOff>63500</xdr:colOff>
      <xdr:row>13</xdr:row>
      <xdr:rowOff>158750</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974725" y="968375"/>
          <a:ext cx="4575175" cy="1666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pt-PT" sz="3200" b="1" i="1">
              <a:solidFill>
                <a:srgbClr val="002060"/>
              </a:solidFill>
              <a:effectLst/>
              <a:latin typeface="+mn-lt"/>
              <a:ea typeface="+mn-ea"/>
              <a:cs typeface="+mn-cs"/>
            </a:rPr>
            <a:t>Complementary </a:t>
          </a:r>
          <a:endParaRPr lang="pt-PT" sz="3200" b="1" i="1">
            <a:solidFill>
              <a:srgbClr val="002060"/>
            </a:solidFill>
            <a:effectLst/>
          </a:endParaRPr>
        </a:p>
        <a:p>
          <a:pPr eaLnBrk="1" fontAlgn="auto" latinLnBrk="0" hangingPunct="1"/>
          <a:r>
            <a:rPr lang="pt-PT" sz="3200" b="1" i="1">
              <a:solidFill>
                <a:srgbClr val="002060"/>
              </a:solidFill>
              <a:effectLst/>
              <a:latin typeface="+mn-lt"/>
              <a:ea typeface="+mn-ea"/>
              <a:cs typeface="+mn-cs"/>
            </a:rPr>
            <a:t>Statistics Information</a:t>
          </a:r>
          <a:endParaRPr lang="pt-PT" sz="3200" b="1" i="1">
            <a:solidFill>
              <a:srgbClr val="002060"/>
            </a:solidFill>
            <a:effectLst/>
          </a:endParaRPr>
        </a:p>
        <a:p>
          <a:pPr marL="0" marR="0" indent="0" algn="l" defTabSz="914400" eaLnBrk="1" fontAlgn="auto" latinLnBrk="0" hangingPunct="1">
            <a:lnSpc>
              <a:spcPct val="100000"/>
            </a:lnSpc>
            <a:spcBef>
              <a:spcPts val="600"/>
            </a:spcBef>
            <a:spcAft>
              <a:spcPts val="0"/>
            </a:spcAft>
            <a:buClrTx/>
            <a:buSzTx/>
            <a:buFontTx/>
            <a:buNone/>
            <a:tabLst/>
            <a:defRPr/>
          </a:pPr>
          <a:r>
            <a:rPr lang="pt-PT" sz="2400" b="0" i="1" spc="20" baseline="0">
              <a:solidFill>
                <a:srgbClr val="002060"/>
              </a:solidFill>
              <a:effectLst/>
              <a:latin typeface="+mn-lt"/>
              <a:ea typeface="+mn-ea"/>
              <a:cs typeface="+mn-cs"/>
            </a:rPr>
            <a:t>Budget Outturn</a:t>
          </a:r>
        </a:p>
        <a:p>
          <a:pPr algn="l" eaLnBrk="1" fontAlgn="auto" latinLnBrk="0" hangingPunct="1"/>
          <a:endParaRPr lang="pt-PT" sz="3200" b="1">
            <a:solidFill>
              <a:srgbClr val="00206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2800350</xdr:colOff>
          <xdr:row>0</xdr:row>
          <xdr:rowOff>285750</xdr:rowOff>
        </xdr:from>
        <xdr:to>
          <xdr:col>2</xdr:col>
          <xdr:colOff>5410200</xdr:colOff>
          <xdr:row>1</xdr:row>
          <xdr:rowOff>28575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13</xdr:col>
      <xdr:colOff>0</xdr:colOff>
      <xdr:row>1</xdr:row>
      <xdr:rowOff>0</xdr:rowOff>
    </xdr:from>
    <xdr:to>
      <xdr:col>13</xdr:col>
      <xdr:colOff>304800</xdr:colOff>
      <xdr:row>1</xdr:row>
      <xdr:rowOff>295275</xdr:rowOff>
    </xdr:to>
    <xdr:pic>
      <xdr:nvPicPr>
        <xdr:cNvPr id="5340" name="Imagem 1" descr="flecha054.gif">
          <a:hlinkClick xmlns:r="http://schemas.openxmlformats.org/officeDocument/2006/relationships" r:id="rId1"/>
          <a:extLst>
            <a:ext uri="{FF2B5EF4-FFF2-40B4-BE49-F238E27FC236}">
              <a16:creationId xmlns:a16="http://schemas.microsoft.com/office/drawing/2014/main" id="{00000000-0008-0000-0300-0000DC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53500" y="14287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0</xdr:colOff>
      <xdr:row>4</xdr:row>
      <xdr:rowOff>0</xdr:rowOff>
    </xdr:from>
    <xdr:to>
      <xdr:col>21</xdr:col>
      <xdr:colOff>304800</xdr:colOff>
      <xdr:row>5</xdr:row>
      <xdr:rowOff>104775</xdr:rowOff>
    </xdr:to>
    <xdr:pic>
      <xdr:nvPicPr>
        <xdr:cNvPr id="2" name="Imagem 2" descr="flecha054.gif">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82650" y="7334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26</xdr:col>
      <xdr:colOff>0</xdr:colOff>
      <xdr:row>4</xdr:row>
      <xdr:rowOff>0</xdr:rowOff>
    </xdr:from>
    <xdr:to>
      <xdr:col>26</xdr:col>
      <xdr:colOff>304800</xdr:colOff>
      <xdr:row>5</xdr:row>
      <xdr:rowOff>104775</xdr:rowOff>
    </xdr:to>
    <xdr:pic>
      <xdr:nvPicPr>
        <xdr:cNvPr id="6364" name="Imagem 2" descr="flecha054.gif">
          <a:hlinkClick xmlns:r="http://schemas.openxmlformats.org/officeDocument/2006/relationships" r:id="rId1"/>
          <a:extLst>
            <a:ext uri="{FF2B5EF4-FFF2-40B4-BE49-F238E27FC236}">
              <a16:creationId xmlns:a16="http://schemas.microsoft.com/office/drawing/2014/main" id="{00000000-0008-0000-0500-0000DC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554450" y="7334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0</xdr:colOff>
      <xdr:row>0</xdr:row>
      <xdr:rowOff>19050</xdr:rowOff>
    </xdr:from>
    <xdr:to>
      <xdr:col>9</xdr:col>
      <xdr:colOff>304800</xdr:colOff>
      <xdr:row>0</xdr:row>
      <xdr:rowOff>323850</xdr:rowOff>
    </xdr:to>
    <xdr:pic>
      <xdr:nvPicPr>
        <xdr:cNvPr id="7607" name="Imagem 1" descr="flecha054.gif">
          <a:hlinkClick xmlns:r="http://schemas.openxmlformats.org/officeDocument/2006/relationships" r:id="rId1"/>
          <a:extLst>
            <a:ext uri="{FF2B5EF4-FFF2-40B4-BE49-F238E27FC236}">
              <a16:creationId xmlns:a16="http://schemas.microsoft.com/office/drawing/2014/main" id="{00000000-0008-0000-0600-0000B71D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53475" y="19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60</xdr:col>
      <xdr:colOff>0</xdr:colOff>
      <xdr:row>1</xdr:row>
      <xdr:rowOff>0</xdr:rowOff>
    </xdr:from>
    <xdr:to>
      <xdr:col>60</xdr:col>
      <xdr:colOff>304800</xdr:colOff>
      <xdr:row>2</xdr:row>
      <xdr:rowOff>57150</xdr:rowOff>
    </xdr:to>
    <xdr:pic>
      <xdr:nvPicPr>
        <xdr:cNvPr id="7608" name="Imagem 2" descr="flecha054.gif">
          <a:hlinkClick xmlns:r="http://schemas.openxmlformats.org/officeDocument/2006/relationships" r:id="rId1"/>
          <a:extLst>
            <a:ext uri="{FF2B5EF4-FFF2-40B4-BE49-F238E27FC236}">
              <a16:creationId xmlns:a16="http://schemas.microsoft.com/office/drawing/2014/main" id="{00000000-0008-0000-0600-0000B81D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72025" y="571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26</xdr:col>
      <xdr:colOff>0</xdr:colOff>
      <xdr:row>1</xdr:row>
      <xdr:rowOff>0</xdr:rowOff>
    </xdr:from>
    <xdr:to>
      <xdr:col>26</xdr:col>
      <xdr:colOff>304800</xdr:colOff>
      <xdr:row>2</xdr:row>
      <xdr:rowOff>66675</xdr:rowOff>
    </xdr:to>
    <xdr:pic>
      <xdr:nvPicPr>
        <xdr:cNvPr id="8416" name="Imagem 2" descr="flecha054.gif">
          <a:hlinkClick xmlns:r="http://schemas.openxmlformats.org/officeDocument/2006/relationships" r:id="rId1"/>
          <a:extLst>
            <a:ext uri="{FF2B5EF4-FFF2-40B4-BE49-F238E27FC236}">
              <a16:creationId xmlns:a16="http://schemas.microsoft.com/office/drawing/2014/main" id="{00000000-0008-0000-0700-0000E0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459200" y="1619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0</xdr:colOff>
      <xdr:row>0</xdr:row>
      <xdr:rowOff>19050</xdr:rowOff>
    </xdr:from>
    <xdr:to>
      <xdr:col>9</xdr:col>
      <xdr:colOff>304800</xdr:colOff>
      <xdr:row>0</xdr:row>
      <xdr:rowOff>323850</xdr:rowOff>
    </xdr:to>
    <xdr:pic>
      <xdr:nvPicPr>
        <xdr:cNvPr id="9655" name="Imagem 1" descr="flecha054.gif">
          <a:hlinkClick xmlns:r="http://schemas.openxmlformats.org/officeDocument/2006/relationships" r:id="rId1"/>
          <a:extLst>
            <a:ext uri="{FF2B5EF4-FFF2-40B4-BE49-F238E27FC236}">
              <a16:creationId xmlns:a16="http://schemas.microsoft.com/office/drawing/2014/main" id="{00000000-0008-0000-0800-0000B725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77275" y="19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60</xdr:col>
      <xdr:colOff>0</xdr:colOff>
      <xdr:row>2</xdr:row>
      <xdr:rowOff>0</xdr:rowOff>
    </xdr:from>
    <xdr:to>
      <xdr:col>60</xdr:col>
      <xdr:colOff>304800</xdr:colOff>
      <xdr:row>3</xdr:row>
      <xdr:rowOff>133350</xdr:rowOff>
    </xdr:to>
    <xdr:pic>
      <xdr:nvPicPr>
        <xdr:cNvPr id="9656" name="Imagem 2" descr="flecha054.gif">
          <a:hlinkClick xmlns:r="http://schemas.openxmlformats.org/officeDocument/2006/relationships" r:id="rId1"/>
          <a:extLst>
            <a:ext uri="{FF2B5EF4-FFF2-40B4-BE49-F238E27FC236}">
              <a16:creationId xmlns:a16="http://schemas.microsoft.com/office/drawing/2014/main" id="{00000000-0008-0000-0800-0000B825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795825" y="76200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2400300</xdr:colOff>
      <xdr:row>0</xdr:row>
      <xdr:rowOff>104775</xdr:rowOff>
    </xdr:from>
    <xdr:to>
      <xdr:col>3</xdr:col>
      <xdr:colOff>1371600</xdr:colOff>
      <xdr:row>2</xdr:row>
      <xdr:rowOff>104775</xdr:rowOff>
    </xdr:to>
    <xdr:pic>
      <xdr:nvPicPr>
        <xdr:cNvPr id="11342" name="Imagem 2">
          <a:extLst>
            <a:ext uri="{FF2B5EF4-FFF2-40B4-BE49-F238E27FC236}">
              <a16:creationId xmlns:a16="http://schemas.microsoft.com/office/drawing/2014/main" id="{00000000-0008-0000-0900-00004E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0809"/>
        <a:stretch>
          <a:fillRect/>
        </a:stretch>
      </xdr:blipFill>
      <xdr:spPr bwMode="auto">
        <a:xfrm>
          <a:off x="7362825" y="104775"/>
          <a:ext cx="20193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4"/>
  <sheetViews>
    <sheetView tabSelected="1" view="pageBreakPreview" zoomScale="70" zoomScaleNormal="100" zoomScaleSheetLayoutView="70" zoomScalePageLayoutView="50" workbookViewId="0"/>
  </sheetViews>
  <sheetFormatPr defaultRowHeight="15"/>
  <cols>
    <col min="1" max="10" width="9.140625" style="329"/>
    <col min="11" max="11" width="9.140625" style="329" customWidth="1"/>
    <col min="12" max="12" width="10.7109375" style="329" customWidth="1"/>
    <col min="13" max="16384" width="9.140625" style="329"/>
  </cols>
  <sheetData>
    <row r="54" ht="20.25" customHeight="1"/>
  </sheetData>
  <printOptions horizontalCentered="1"/>
  <pageMargins left="7.874015748031496E-2" right="0" top="0.39370078740157483" bottom="0" header="0" footer="0"/>
  <pageSetup paperSize="9" scale="90"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pageSetUpPr fitToPage="1"/>
  </sheetPr>
  <dimension ref="B1:Z23"/>
  <sheetViews>
    <sheetView showGridLines="0" zoomScaleNormal="100" workbookViewId="0">
      <selection activeCell="C18" sqref="C18:C21"/>
    </sheetView>
  </sheetViews>
  <sheetFormatPr defaultRowHeight="12.75"/>
  <cols>
    <col min="1" max="1" width="1.42578125" style="129" customWidth="1"/>
    <col min="2" max="2" width="4.85546875" style="129" customWidth="1"/>
    <col min="3" max="3" width="103.5703125" style="129" customWidth="1"/>
    <col min="4" max="4" width="1" style="129" customWidth="1"/>
    <col min="5" max="5" width="20.5703125" style="129" customWidth="1"/>
    <col min="6" max="6" width="20.5703125" style="128" customWidth="1"/>
    <col min="7" max="7" width="20.5703125" style="129" customWidth="1"/>
    <col min="8" max="21" width="9.140625" style="129"/>
    <col min="22" max="26" width="9.140625" style="129" customWidth="1"/>
    <col min="27" max="16384" width="9.140625" style="129"/>
  </cols>
  <sheetData>
    <row r="1" spans="2:26" s="2" customFormat="1" ht="39.75" customHeight="1">
      <c r="B1" s="377" t="s">
        <v>10</v>
      </c>
      <c r="C1" s="377"/>
      <c r="D1" s="3"/>
      <c r="E1" s="3"/>
      <c r="F1" s="128"/>
      <c r="I1" s="4"/>
      <c r="J1" s="4"/>
      <c r="X1" s="10">
        <v>1</v>
      </c>
      <c r="Y1" s="2" t="s">
        <v>0</v>
      </c>
      <c r="Z1" s="10">
        <v>2</v>
      </c>
    </row>
    <row r="2" spans="2:26" s="2" customFormat="1" ht="15" customHeight="1">
      <c r="B2" s="1"/>
      <c r="C2" s="1"/>
      <c r="D2" s="3"/>
      <c r="E2" s="3"/>
      <c r="F2" s="128"/>
      <c r="X2" s="10">
        <v>2</v>
      </c>
      <c r="Y2" s="2" t="s">
        <v>1</v>
      </c>
    </row>
    <row r="3" spans="2:26" ht="6.75" customHeight="1"/>
    <row r="4" spans="2:26" ht="31.5" customHeight="1">
      <c r="B4" s="5"/>
      <c r="C4" s="130" t="str">
        <f>IF(Indice_index!$Z$1=1,"Índice","Index")</f>
        <v>Index</v>
      </c>
      <c r="D4" s="131"/>
      <c r="E4" s="132" t="str">
        <f>IF(Indice_index!$Z$1=1,"Última atualização","Last updated on")</f>
        <v>Last updated on</v>
      </c>
      <c r="F4" s="132" t="str">
        <f>IF(Indice_index!$Z$1=1,"Próxima atualização","Next update")</f>
        <v>Next update</v>
      </c>
      <c r="G4" s="132" t="str">
        <f>IF(Indice_index!$Z$1=1,"Último valor disponível","Last available figures")</f>
        <v>Last available figures</v>
      </c>
    </row>
    <row r="5" spans="2:26" ht="4.5" customHeight="1">
      <c r="C5" s="133"/>
      <c r="F5" s="129"/>
    </row>
    <row r="6" spans="2:26" ht="20.25" customHeight="1">
      <c r="C6" s="134" t="str">
        <f>IF(Indice_index!$Z$1=1,"1 - Evolução da Execução Orçamental - Administrações Públicas","1 - Budget Execution Evolution - General Government")</f>
        <v>1 - Budget Execution Evolution - General Government</v>
      </c>
      <c r="E6" s="378" t="str">
        <f>IF($Z$1=1,"4-julho-19","4-July-19")</f>
        <v>4-July-19</v>
      </c>
      <c r="F6" s="378" t="str">
        <f>IF($Z$1=1,"29-julho-19","29-July-19")</f>
        <v>29-July-19</v>
      </c>
      <c r="G6" s="378" t="str">
        <f>IF($Z$1=1,"maio 2019","May 2019")</f>
        <v>May 2019</v>
      </c>
    </row>
    <row r="7" spans="2:26" ht="20.25" customHeight="1">
      <c r="C7" s="134" t="str">
        <f>IF(Indice_index!$Z$1=1,"2 - Receita do subsetor Estado - Classificação Económica","2 - State subsector  revenue - Economic Classification")</f>
        <v>2 - State subsector  revenue - Economic Classification</v>
      </c>
      <c r="E7" s="378"/>
      <c r="F7" s="378"/>
      <c r="G7" s="378"/>
    </row>
    <row r="8" spans="2:26" ht="20.25" customHeight="1">
      <c r="C8" s="134" t="str">
        <f>IF(Indice_index!$Z$1=1,"3 - Despesa do subsetor Estado - Classificação Funcional","3 - State subsector expenditure - Functional Classification")</f>
        <v>3 - State subsector expenditure - Functional Classification</v>
      </c>
      <c r="E8" s="378"/>
      <c r="F8" s="378"/>
      <c r="G8" s="378"/>
    </row>
    <row r="9" spans="2:26" ht="20.25" customHeight="1">
      <c r="C9" s="134" t="str">
        <f>IF(Indice_index!$Z$1=1,"4 - Despesa do subsetor Estado - Classificação Económica/Orgânica","4 - State subsector expenditure - Economic/Organic Classification")</f>
        <v>4 - State subsector expenditure - Economic/Organic Classification</v>
      </c>
      <c r="E9" s="378"/>
      <c r="F9" s="378"/>
      <c r="G9" s="378"/>
    </row>
    <row r="10" spans="2:26" ht="20.25" customHeight="1">
      <c r="C10" s="134" t="str">
        <f>IF(Indice_index!$Z$1=1,"5 - Despesa dos Serviços e Fundos Autónomos - Classificação Funcional","5 -  Autonomous Services and Funds expenditure - Functional Classification")</f>
        <v>5 -  Autonomous Services and Funds expenditure - Functional Classification</v>
      </c>
      <c r="E10" s="378"/>
      <c r="F10" s="378"/>
      <c r="G10" s="378"/>
    </row>
    <row r="11" spans="2:26" ht="20.25" customHeight="1">
      <c r="C11" s="134" t="str">
        <f>IF(Indice_index!$Z$1=1,"6 - Despesa dos Serviços e Fundos Autónomos - Classificação Económica/Orgânica","6 - Autonomous Services and Funds expenditure - Economic/Organic Classification")</f>
        <v>6 - Autonomous Services and Funds expenditure - Economic/Organic Classification</v>
      </c>
      <c r="E11" s="378"/>
      <c r="F11" s="378"/>
      <c r="G11" s="378"/>
    </row>
    <row r="12" spans="2:26" ht="20.25" customHeight="1">
      <c r="C12" s="134" t="str">
        <f>IF(Indice_index!$Z$1=1,"7 - Metadados","7 - Metadata")</f>
        <v>7 - Metadata</v>
      </c>
      <c r="E12" s="378"/>
      <c r="F12" s="378"/>
      <c r="G12" s="378"/>
    </row>
    <row r="13" spans="2:26" ht="18.75">
      <c r="C13" s="130"/>
      <c r="D13" s="131"/>
      <c r="E13" s="132"/>
      <c r="F13" s="132"/>
      <c r="G13" s="132"/>
    </row>
    <row r="23" spans="6:6" ht="15">
      <c r="F23" s="135"/>
    </row>
  </sheetData>
  <mergeCells count="4">
    <mergeCell ref="B1:C1"/>
    <mergeCell ref="E6:E12"/>
    <mergeCell ref="F6:F12"/>
    <mergeCell ref="G6:G12"/>
  </mergeCells>
  <hyperlinks>
    <hyperlink ref="C6" location="Evolução!A1" display="Evolução!A1" xr:uid="{00000000-0004-0000-0200-000000000000}"/>
    <hyperlink ref="C9" location="'Estado - orgânica'!A1" display="'Estado - orgânica'!A1" xr:uid="{00000000-0004-0000-0200-000001000000}"/>
    <hyperlink ref="C8" location="'Estado - Funcional'!A1" display="'Estado - Funcional'!A1" xr:uid="{00000000-0004-0000-0200-000002000000}"/>
    <hyperlink ref="C11" location="'SFA - orgânica'!A1" display="'SFA - orgânica'!A1" xr:uid="{00000000-0004-0000-0200-000003000000}"/>
    <hyperlink ref="C10" location="'SFA - Funcional'!A1" display="'SFA - Funcional'!A1" xr:uid="{00000000-0004-0000-0200-000004000000}"/>
    <hyperlink ref="C12" location="'MetaInfo Metadata'!A1" display="'MetaInfo Metadata'!A1" xr:uid="{00000000-0004-0000-0200-000005000000}"/>
    <hyperlink ref="C7" location="'Receita - orgânica'!A1" display="'Receita - orgânica'!A1" xr:uid="{00000000-0004-0000-0200-000006000000}"/>
  </hyperlinks>
  <printOptions horizontalCentered="1" verticalCentered="1"/>
  <pageMargins left="0" right="0" top="0.74803149606299213" bottom="0.74803149606299213" header="0.74803149606299213" footer="0.74803149606299213"/>
  <pageSetup paperSize="9" scale="85" orientation="landscape" r:id="rId1"/>
  <headerFooter>
    <oddHeader>&amp;L&amp;G</oddHeader>
  </headerFooter>
  <ignoredErrors>
    <ignoredError sqref="H6 E6:F12" twoDigitTextYea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097" r:id="rId5" name="Drop Down 1">
              <controlPr defaultSize="0" autoLine="0" autoPict="0">
                <anchor moveWithCells="1">
                  <from>
                    <xdr:col>2</xdr:col>
                    <xdr:colOff>2800350</xdr:colOff>
                    <xdr:row>0</xdr:row>
                    <xdr:rowOff>285750</xdr:rowOff>
                  </from>
                  <to>
                    <xdr:col>2</xdr:col>
                    <xdr:colOff>5410200</xdr:colOff>
                    <xdr:row>1</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B827"/>
  <sheetViews>
    <sheetView showGridLines="0" zoomScaleNormal="100" zoomScaleSheetLayoutView="100" workbookViewId="0">
      <selection activeCell="B2" sqref="B2"/>
    </sheetView>
  </sheetViews>
  <sheetFormatPr defaultColWidth="16.5703125" defaultRowHeight="12.75"/>
  <cols>
    <col min="1" max="1" width="1.7109375" style="7" customWidth="1"/>
    <col min="2" max="2" width="4.140625" style="7" customWidth="1"/>
    <col min="3" max="3" width="7.42578125" style="7" customWidth="1"/>
    <col min="4" max="4" width="14.42578125" style="7" customWidth="1"/>
    <col min="5" max="5" width="11" style="7" customWidth="1"/>
    <col min="6" max="6" width="11.28515625" style="7" customWidth="1"/>
    <col min="7" max="7" width="11" style="7" customWidth="1"/>
    <col min="8" max="8" width="12.28515625" style="11" customWidth="1"/>
    <col min="9" max="10" width="11.28515625" style="7" customWidth="1"/>
    <col min="11" max="11" width="12.140625" style="7" customWidth="1"/>
    <col min="12" max="12" width="14.42578125" customWidth="1"/>
    <col min="13" max="13" width="11.85546875" style="12" customWidth="1"/>
    <col min="14" max="15" width="9.140625" style="7" customWidth="1"/>
    <col min="16" max="16" width="7" style="7" bestFit="1" customWidth="1"/>
    <col min="17" max="25" width="9.140625" style="7" customWidth="1"/>
    <col min="26" max="28" width="9.140625" style="2" customWidth="1"/>
    <col min="29" max="254" width="9.140625" style="7" customWidth="1"/>
    <col min="255" max="255" width="2.140625" style="7" customWidth="1"/>
    <col min="256" max="16384" width="16.5703125" style="7"/>
  </cols>
  <sheetData>
    <row r="1" spans="2:28" s="2" customFormat="1" ht="11.25" customHeight="1">
      <c r="B1" s="1"/>
      <c r="C1" s="1"/>
      <c r="H1" s="3"/>
      <c r="I1" s="3"/>
      <c r="L1"/>
      <c r="M1" s="4"/>
    </row>
    <row r="2" spans="2:28" ht="26.25" customHeight="1" thickBot="1">
      <c r="B2" s="5"/>
      <c r="C2" s="122" t="str">
        <f>IF(Indice_index!$Z$1=1,"1 - Evolução da Execução Orçamental - Administrações Públicas","1 - Budget Execution Evolution - General Government")</f>
        <v>1 - Budget Execution Evolution - General Government</v>
      </c>
      <c r="D2" s="122"/>
      <c r="E2" s="122"/>
      <c r="F2" s="122"/>
      <c r="G2" s="122"/>
      <c r="H2" s="122"/>
      <c r="I2" s="122"/>
      <c r="J2" s="122"/>
      <c r="K2" s="122"/>
      <c r="M2" s="6"/>
      <c r="N2" s="390"/>
      <c r="O2" s="390"/>
      <c r="P2" s="6"/>
      <c r="Z2" s="8">
        <v>1</v>
      </c>
      <c r="AA2" s="9" t="s">
        <v>0</v>
      </c>
      <c r="AB2" s="10">
        <v>1</v>
      </c>
    </row>
    <row r="3" spans="2:28" ht="8.25" customHeight="1">
      <c r="Z3" s="8">
        <v>2</v>
      </c>
      <c r="AA3" s="9" t="s">
        <v>1</v>
      </c>
    </row>
    <row r="4" spans="2:28" ht="36" customHeight="1">
      <c r="C4" s="393" t="str">
        <f>IF(Indice_index!$Z$1=1,"Os valores de execução orçamental correspondem aos divulgados no respetivo período (publicação mensal), podendo, em alguns casos, terem ocorrido ajustamentos à posteriori em sede de apuramento definitivo.","The budget execution data presented corresponds to that reported during the respective period (monthly publication) and may, in some cases, have been subject to adjustments during the final clearance.")</f>
        <v>The budget execution data presented corresponds to that reported during the respective period (monthly publication) and may, in some cases, have been subject to adjustments during the final clearance.</v>
      </c>
      <c r="D4" s="393"/>
      <c r="E4" s="393"/>
      <c r="F4" s="393"/>
      <c r="G4" s="393"/>
      <c r="H4" s="393"/>
      <c r="I4" s="393"/>
      <c r="J4" s="393"/>
      <c r="K4" s="393"/>
    </row>
    <row r="5" spans="2:28" ht="6" customHeight="1">
      <c r="D5" s="13"/>
      <c r="E5" s="13"/>
      <c r="F5" s="13"/>
      <c r="G5" s="24"/>
      <c r="H5" s="61"/>
      <c r="I5" s="24"/>
      <c r="J5" s="24"/>
      <c r="K5" s="24"/>
    </row>
    <row r="6" spans="2:28">
      <c r="C6" s="70" t="str">
        <f>IF(Indice_index!$Z$1=1,"1.1 Evolução da Receita, Despesa e Saldo do Estado (valores acumulados)","1.1 State Revenue, Expenditure and Balance Evolution (cumulative values)")</f>
        <v>1.1 State Revenue, Expenditure and Balance Evolution (cumulative values)</v>
      </c>
      <c r="D6" s="62"/>
      <c r="E6" s="62"/>
      <c r="F6" s="63"/>
      <c r="G6" s="64"/>
      <c r="H6" s="64"/>
      <c r="I6" s="65"/>
      <c r="J6" s="66"/>
      <c r="K6" s="67" t="str">
        <f>IF(Indice_index!$Z$1=1,"€ Milhões","€ Millions")</f>
        <v>€ Millions</v>
      </c>
    </row>
    <row r="7" spans="2:28" s="15" customFormat="1" ht="15.75" customHeight="1">
      <c r="C7" s="394"/>
      <c r="D7" s="395"/>
      <c r="E7" s="391" t="str">
        <f>IF(Indice_index!$Z$1=1,"Receita
efetiva","Effective
revenue")</f>
        <v>Effective
revenue</v>
      </c>
      <c r="F7" s="391"/>
      <c r="G7" s="391" t="str">
        <f>IF(Indice_index!$Z$1=1,"Despesa 
efetiva","Effective
expenditure")</f>
        <v>Effective
expenditure</v>
      </c>
      <c r="H7" s="391"/>
      <c r="I7" s="391" t="str">
        <f>IF(Indice_index!$Z$1=1,"Saldo
global","Overall
balance")</f>
        <v>Overall
balance</v>
      </c>
      <c r="J7" s="392" t="str">
        <f>IF(Indice_index!$Z$1=1,"VH (%)","YOY Change Rate (%)")</f>
        <v>YOY Change Rate (%)</v>
      </c>
      <c r="K7" s="387"/>
      <c r="L7"/>
      <c r="M7" s="16"/>
      <c r="Z7" s="2"/>
      <c r="AA7" s="2"/>
      <c r="AB7" s="2"/>
    </row>
    <row r="8" spans="2:28" s="15" customFormat="1" ht="15.75" customHeight="1">
      <c r="C8" s="394"/>
      <c r="D8" s="395"/>
      <c r="E8" s="391"/>
      <c r="F8" s="391"/>
      <c r="G8" s="391"/>
      <c r="H8" s="391"/>
      <c r="I8" s="391"/>
      <c r="J8" s="59" t="str">
        <f>IF(Indice_index!$Z$1=1,"Receita","Revenue")</f>
        <v>Revenue</v>
      </c>
      <c r="K8" s="60" t="str">
        <f>IF(Indice_index!$Z$1=1,"Despesa","Expenditure")</f>
        <v>Expenditure</v>
      </c>
      <c r="L8"/>
      <c r="M8" s="16"/>
      <c r="Z8" s="2"/>
      <c r="AA8" s="2"/>
      <c r="AB8" s="2"/>
    </row>
    <row r="9" spans="2:28" s="15" customFormat="1" ht="15.75" customHeight="1">
      <c r="C9" s="17"/>
      <c r="D9" s="17"/>
      <c r="E9" s="18" t="str">
        <f>IF(Indice_index!$Z$1=1,"Ano n-1","Year n-1")</f>
        <v>Year n-1</v>
      </c>
      <c r="F9" s="18" t="str">
        <f>IF(Indice_index!$Z$1=1,"Ano n","Year n")</f>
        <v>Year n</v>
      </c>
      <c r="G9" s="18" t="str">
        <f>IF(Indice_index!$Z$1=1,"Ano n-1","Year n-1")</f>
        <v>Year n-1</v>
      </c>
      <c r="H9" s="18" t="str">
        <f>IF(Indice_index!$Z$1=1,"Ano n","Year n")</f>
        <v>Year n</v>
      </c>
      <c r="I9" s="18" t="str">
        <f>IF(Indice_index!$Z$1=1,"Ano n","Year n")</f>
        <v>Year n</v>
      </c>
      <c r="J9" s="19" t="str">
        <f>IF(Indice_index!$Z$1=1,"Ano n","Year n")</f>
        <v>Year n</v>
      </c>
      <c r="K9" s="19" t="str">
        <f>IF(Indice_index!$Z$1=1,"Ano n","Year n")</f>
        <v>Year n</v>
      </c>
      <c r="L9"/>
      <c r="M9" s="16"/>
      <c r="Z9" s="2"/>
      <c r="AA9" s="2"/>
      <c r="AB9" s="2"/>
    </row>
    <row r="10" spans="2:28" s="15" customFormat="1" ht="15.75" customHeight="1">
      <c r="C10" s="20" t="s">
        <v>2</v>
      </c>
      <c r="D10" s="7" t="str">
        <f>IF(Indice_index!$Z$1=1,"janeiro","January")</f>
        <v>January</v>
      </c>
      <c r="E10" s="21">
        <v>3232.6</v>
      </c>
      <c r="F10" s="21">
        <v>2788.5</v>
      </c>
      <c r="G10" s="21">
        <v>3598.8913309999998</v>
      </c>
      <c r="H10" s="21">
        <v>3416.8252779999998</v>
      </c>
      <c r="I10" s="7">
        <f>IF(F10="","",+F10-H10)</f>
        <v>-628.3252779999998</v>
      </c>
      <c r="J10" s="22">
        <f>IF(F10="","",IF(E10=0,"-",(F10-E10)/E10))</f>
        <v>-0.1373816741941471</v>
      </c>
      <c r="K10" s="22">
        <f t="shared" ref="K10:K20" si="0">IF(H10="","",IF(G10=0,"-",(H10-G10)/G10))</f>
        <v>-5.0589483331082E-2</v>
      </c>
      <c r="L10"/>
      <c r="M10" s="16"/>
      <c r="Z10" s="2"/>
      <c r="AA10" s="2"/>
      <c r="AB10" s="2"/>
    </row>
    <row r="11" spans="2:28" s="15" customFormat="1" ht="15.75" customHeight="1">
      <c r="C11" s="23"/>
      <c r="D11" s="7" t="str">
        <f>IF(Indice_index!$Z$1=1,"fevereiro","February")</f>
        <v>February</v>
      </c>
      <c r="E11" s="21">
        <v>6611.3</v>
      </c>
      <c r="F11" s="21">
        <v>6024.3</v>
      </c>
      <c r="G11" s="21">
        <v>6684.2983889999996</v>
      </c>
      <c r="H11" s="21">
        <v>6931.2606050000004</v>
      </c>
      <c r="I11" s="7">
        <f>IF(F11="","",+F11-H11)</f>
        <v>-906.96060500000021</v>
      </c>
      <c r="J11" s="22">
        <f t="shared" ref="J11:J20" si="1">IF(F11="","",IF(E11=0,"-",(F11-E11)/E11))</f>
        <v>-8.8787379184124146E-2</v>
      </c>
      <c r="K11" s="22">
        <f t="shared" si="0"/>
        <v>3.6946617524797158E-2</v>
      </c>
      <c r="L11"/>
      <c r="M11" s="16"/>
      <c r="Z11" s="2"/>
      <c r="AA11" s="2"/>
      <c r="AB11" s="2"/>
    </row>
    <row r="12" spans="2:28" s="15" customFormat="1" ht="15.75" customHeight="1">
      <c r="C12" s="23"/>
      <c r="D12" s="7" t="str">
        <f>IF(Indice_index!$Z$1=1,"março","March")</f>
        <v>March</v>
      </c>
      <c r="E12" s="21">
        <v>8952.6</v>
      </c>
      <c r="F12" s="21">
        <v>7958.9</v>
      </c>
      <c r="G12" s="21">
        <v>9832.9757989999998</v>
      </c>
      <c r="H12" s="21">
        <v>10314.676221</v>
      </c>
      <c r="I12" s="7">
        <f t="shared" ref="I12:I21" si="2">IF(F12="","",+F12-H12)</f>
        <v>-2355.7762210000001</v>
      </c>
      <c r="J12" s="22">
        <f t="shared" si="1"/>
        <v>-0.11099568840336893</v>
      </c>
      <c r="K12" s="22">
        <f t="shared" si="0"/>
        <v>4.8988264778297139E-2</v>
      </c>
      <c r="L12"/>
      <c r="M12" s="16"/>
      <c r="Z12" s="2"/>
      <c r="AA12" s="2"/>
      <c r="AB12" s="2"/>
    </row>
    <row r="13" spans="2:28" s="15" customFormat="1" ht="15.75" customHeight="1">
      <c r="C13" s="23"/>
      <c r="D13" s="7" t="str">
        <f>IF(Indice_index!$Z$1=1,"abril","April")</f>
        <v>April</v>
      </c>
      <c r="E13" s="21">
        <v>11584.2</v>
      </c>
      <c r="F13" s="21">
        <v>9657.2999999999993</v>
      </c>
      <c r="G13" s="21">
        <v>13894.127858</v>
      </c>
      <c r="H13" s="21">
        <v>14509.549102999999</v>
      </c>
      <c r="I13" s="7">
        <f t="shared" si="2"/>
        <v>-4852.2491030000001</v>
      </c>
      <c r="J13" s="22">
        <f t="shared" si="1"/>
        <v>-0.16633863365618698</v>
      </c>
      <c r="K13" s="22">
        <f t="shared" si="0"/>
        <v>4.4293621830005729E-2</v>
      </c>
      <c r="L13"/>
      <c r="M13" s="16"/>
      <c r="Z13" s="2"/>
      <c r="AA13" s="2"/>
      <c r="AB13" s="2"/>
    </row>
    <row r="14" spans="2:28" s="15" customFormat="1" ht="15.75" customHeight="1">
      <c r="C14" s="23"/>
      <c r="D14" s="7" t="str">
        <f>IF(Indice_index!$Z$1=1,"maio","May")</f>
        <v>May</v>
      </c>
      <c r="E14" s="21">
        <v>16991</v>
      </c>
      <c r="F14" s="21">
        <v>13960</v>
      </c>
      <c r="G14" s="21">
        <v>17546.424715000001</v>
      </c>
      <c r="H14" s="21">
        <v>18290.697161</v>
      </c>
      <c r="I14" s="7">
        <f t="shared" si="2"/>
        <v>-4330.6971610000001</v>
      </c>
      <c r="J14" s="22">
        <f t="shared" si="1"/>
        <v>-0.17838855864869638</v>
      </c>
      <c r="K14" s="22">
        <f t="shared" si="0"/>
        <v>4.2417327637335661E-2</v>
      </c>
      <c r="L14"/>
      <c r="M14" s="16"/>
      <c r="Z14" s="2"/>
      <c r="AA14" s="2"/>
      <c r="AB14" s="2"/>
    </row>
    <row r="15" spans="2:28" s="15" customFormat="1" ht="15.75" customHeight="1">
      <c r="C15" s="23"/>
      <c r="D15" s="7" t="str">
        <f>IF(Indice_index!$Z$1=1,"junho","June")</f>
        <v>June</v>
      </c>
      <c r="E15" s="21">
        <v>20312</v>
      </c>
      <c r="F15" s="21">
        <v>16105</v>
      </c>
      <c r="G15" s="21">
        <v>22213.192896</v>
      </c>
      <c r="H15" s="21">
        <v>23410.777948999999</v>
      </c>
      <c r="I15" s="7">
        <f t="shared" si="2"/>
        <v>-7305.7779489999994</v>
      </c>
      <c r="J15" s="22">
        <f t="shared" si="1"/>
        <v>-0.20711894446632534</v>
      </c>
      <c r="K15" s="22">
        <f t="shared" si="0"/>
        <v>5.3913233392739852E-2</v>
      </c>
      <c r="L15"/>
      <c r="M15" s="16"/>
      <c r="Z15" s="2"/>
      <c r="AA15" s="2"/>
      <c r="AB15" s="2"/>
    </row>
    <row r="16" spans="2:28" s="15" customFormat="1" ht="15.75" customHeight="1">
      <c r="C16" s="23"/>
      <c r="D16" s="7" t="str">
        <f>IF(Indice_index!$Z$1=1,"julho","July")</f>
        <v>July</v>
      </c>
      <c r="E16" s="21">
        <v>23528.400000000001</v>
      </c>
      <c r="F16" s="21">
        <v>19114.599999999999</v>
      </c>
      <c r="G16" s="21">
        <v>26706.753399000001</v>
      </c>
      <c r="H16" s="21">
        <v>27685.045110999999</v>
      </c>
      <c r="I16" s="7">
        <f t="shared" si="2"/>
        <v>-8570.4451110000009</v>
      </c>
      <c r="J16" s="22">
        <f t="shared" si="1"/>
        <v>-0.18759456656636248</v>
      </c>
      <c r="K16" s="22">
        <f t="shared" si="0"/>
        <v>3.6630873748833476E-2</v>
      </c>
      <c r="L16"/>
      <c r="M16" s="16"/>
      <c r="Z16" s="2"/>
      <c r="AA16" s="2"/>
      <c r="AB16" s="2"/>
    </row>
    <row r="17" spans="3:28" s="15" customFormat="1" ht="15.75" customHeight="1">
      <c r="C17" s="23"/>
      <c r="D17" s="7" t="str">
        <f>IF(Indice_index!$Z$1=1,"agosto","August")</f>
        <v>August</v>
      </c>
      <c r="E17" s="21">
        <v>26411.200000000001</v>
      </c>
      <c r="F17" s="21">
        <v>22350.5</v>
      </c>
      <c r="G17" s="21">
        <v>29847.172641000001</v>
      </c>
      <c r="H17" s="21">
        <v>31063.144512999999</v>
      </c>
      <c r="I17" s="7">
        <f t="shared" si="2"/>
        <v>-8712.6445129999993</v>
      </c>
      <c r="J17" s="22">
        <f t="shared" si="1"/>
        <v>-0.15374916702005212</v>
      </c>
      <c r="K17" s="22">
        <f t="shared" si="0"/>
        <v>4.0739934955502648E-2</v>
      </c>
      <c r="L17"/>
      <c r="M17" s="16"/>
      <c r="Z17" s="2"/>
      <c r="AA17" s="2"/>
      <c r="AB17" s="2"/>
    </row>
    <row r="18" spans="3:28" s="15" customFormat="1" ht="15.75" customHeight="1">
      <c r="C18" s="23"/>
      <c r="D18" s="7" t="str">
        <f>IF(Indice_index!$Z$1=1,"setembro","September")</f>
        <v>September</v>
      </c>
      <c r="E18" s="21">
        <v>29875.4</v>
      </c>
      <c r="F18" s="21">
        <v>26045.7</v>
      </c>
      <c r="G18" s="21">
        <v>33447.512817000003</v>
      </c>
      <c r="H18" s="21">
        <v>35133.403563</v>
      </c>
      <c r="I18" s="7">
        <f t="shared" si="2"/>
        <v>-9087.7035629999991</v>
      </c>
      <c r="J18" s="22">
        <f t="shared" si="1"/>
        <v>-0.12818907863995127</v>
      </c>
      <c r="K18" s="22">
        <f t="shared" si="0"/>
        <v>5.0404069062591941E-2</v>
      </c>
      <c r="L18"/>
      <c r="M18" s="16"/>
      <c r="Z18" s="2"/>
      <c r="AA18" s="2"/>
      <c r="AB18" s="2"/>
    </row>
    <row r="19" spans="3:28" s="15" customFormat="1" ht="15.75" customHeight="1">
      <c r="C19" s="23"/>
      <c r="D19" s="7" t="str">
        <f>IF(Indice_index!$Z$1=1,"outubro","October")</f>
        <v>October</v>
      </c>
      <c r="E19" s="21">
        <v>32681.3</v>
      </c>
      <c r="F19" s="21">
        <v>28072.3</v>
      </c>
      <c r="G19" s="21">
        <v>37582.371186999997</v>
      </c>
      <c r="H19" s="21">
        <v>39746.282120000003</v>
      </c>
      <c r="I19" s="7">
        <f t="shared" si="2"/>
        <v>-11673.982120000004</v>
      </c>
      <c r="J19" s="22">
        <f t="shared" si="1"/>
        <v>-0.14102866165054634</v>
      </c>
      <c r="K19" s="22">
        <f t="shared" si="0"/>
        <v>5.7577818127359626E-2</v>
      </c>
      <c r="L19"/>
      <c r="M19" s="16"/>
      <c r="Z19" s="2"/>
      <c r="AA19" s="2"/>
      <c r="AB19" s="2"/>
    </row>
    <row r="20" spans="3:28" s="15" customFormat="1" ht="15.75" customHeight="1">
      <c r="C20" s="23"/>
      <c r="D20" s="7" t="str">
        <f>IF(Indice_index!$Z$1=1,"novembro","November")</f>
        <v>November</v>
      </c>
      <c r="E20" s="21">
        <v>35954.1</v>
      </c>
      <c r="F20" s="21">
        <v>30963.7</v>
      </c>
      <c r="G20" s="21">
        <v>42117.340882999997</v>
      </c>
      <c r="H20" s="21">
        <v>44035.147434999999</v>
      </c>
      <c r="I20" s="7">
        <f t="shared" si="2"/>
        <v>-13071.447434999998</v>
      </c>
      <c r="J20" s="22">
        <f t="shared" si="1"/>
        <v>-0.13879919119099068</v>
      </c>
      <c r="K20" s="22">
        <f t="shared" si="0"/>
        <v>4.5534844123411751E-2</v>
      </c>
      <c r="L20"/>
      <c r="M20" s="16"/>
      <c r="Z20" s="2"/>
      <c r="AA20" s="2"/>
      <c r="AB20" s="2"/>
    </row>
    <row r="21" spans="3:28" s="15" customFormat="1" ht="15.75" customHeight="1">
      <c r="C21" s="23"/>
      <c r="D21" s="24" t="str">
        <f>IF(Indice_index!$Z$1=1,"dezembro","December")</f>
        <v>December</v>
      </c>
      <c r="E21" s="21">
        <v>40810.5</v>
      </c>
      <c r="F21" s="21">
        <v>34708.200000000004</v>
      </c>
      <c r="G21" s="21">
        <v>45990.200000000004</v>
      </c>
      <c r="H21" s="21">
        <v>48765.5</v>
      </c>
      <c r="I21" s="24">
        <f t="shared" si="2"/>
        <v>-14057.299999999996</v>
      </c>
      <c r="J21" s="22">
        <f>IF(F21="","",IF(E21=0,"-",(F21-E21)/E21))</f>
        <v>-0.14952769507847236</v>
      </c>
      <c r="K21" s="22">
        <f>IF(H21="","",IF(G21=0,"-",(H21-G21)/G21))</f>
        <v>6.0345464903392362E-2</v>
      </c>
      <c r="L21"/>
      <c r="M21" s="16"/>
      <c r="Z21" s="2"/>
      <c r="AA21" s="2"/>
      <c r="AB21" s="2"/>
    </row>
    <row r="22" spans="3:28" s="15" customFormat="1">
      <c r="C22" s="23"/>
      <c r="D22" s="24"/>
      <c r="E22" s="21"/>
      <c r="F22" s="21"/>
      <c r="G22" s="21"/>
      <c r="H22" s="21"/>
      <c r="I22" s="24"/>
      <c r="J22" s="25"/>
      <c r="K22" s="25"/>
      <c r="L22"/>
      <c r="M22" s="16"/>
      <c r="Z22" s="26"/>
      <c r="AA22" s="26"/>
      <c r="AB22" s="26"/>
    </row>
    <row r="23" spans="3:28" ht="15.75" customHeight="1">
      <c r="C23" s="20" t="s">
        <v>3</v>
      </c>
      <c r="D23" s="7" t="str">
        <f>IF(Indice_index!$Z$1=1,"janeiro","January")</f>
        <v>January</v>
      </c>
      <c r="E23" s="21">
        <v>2846</v>
      </c>
      <c r="F23" s="21">
        <v>2720</v>
      </c>
      <c r="G23" s="21">
        <v>3416.8252779999998</v>
      </c>
      <c r="H23" s="21">
        <v>3882.39869</v>
      </c>
      <c r="I23" s="24">
        <f t="shared" ref="I23:I34" si="3">IF(F23="","",+F23-H23)</f>
        <v>-1162.39869</v>
      </c>
      <c r="J23" s="22">
        <f t="shared" ref="J23:J30" si="4">IF(F23="","",IF(E23=0,"-",(F23-E23)/E23))</f>
        <v>-4.4272663387210122E-2</v>
      </c>
      <c r="K23" s="22">
        <f t="shared" ref="K23:K30" si="5">IF(H23="","",IF(G23=0,"-",(H23-G23)/G23))</f>
        <v>0.13625906334681484</v>
      </c>
    </row>
    <row r="24" spans="3:28" ht="15.75" customHeight="1">
      <c r="C24" s="24"/>
      <c r="D24" s="7" t="str">
        <f>IF(Indice_index!$Z$1=1,"fevereiro","February")</f>
        <v>February</v>
      </c>
      <c r="E24" s="21">
        <v>6039.6</v>
      </c>
      <c r="F24" s="21">
        <v>5831</v>
      </c>
      <c r="G24" s="21">
        <v>6931.2606050000004</v>
      </c>
      <c r="H24" s="21">
        <v>7073.220413</v>
      </c>
      <c r="I24" s="24">
        <f t="shared" si="3"/>
        <v>-1242.220413</v>
      </c>
      <c r="J24" s="22">
        <f t="shared" si="4"/>
        <v>-3.4538711172925417E-2</v>
      </c>
      <c r="K24" s="22">
        <f t="shared" si="5"/>
        <v>2.0481095155705748E-2</v>
      </c>
    </row>
    <row r="25" spans="3:28" ht="15.75" customHeight="1">
      <c r="D25" s="7" t="str">
        <f>IF(Indice_index!$Z$1=1,"março","March")</f>
        <v>March</v>
      </c>
      <c r="E25" s="21">
        <v>7929.8</v>
      </c>
      <c r="F25" s="21">
        <v>7897.9</v>
      </c>
      <c r="G25" s="21">
        <v>10314.700000000001</v>
      </c>
      <c r="H25" s="21">
        <v>10271</v>
      </c>
      <c r="I25" s="24">
        <f t="shared" si="3"/>
        <v>-2373.1000000000004</v>
      </c>
      <c r="J25" s="22">
        <f t="shared" si="4"/>
        <v>-4.0228000706197566E-3</v>
      </c>
      <c r="K25" s="22">
        <f t="shared" si="5"/>
        <v>-4.2366719342298584E-3</v>
      </c>
    </row>
    <row r="26" spans="3:28" ht="15.75" customHeight="1">
      <c r="D26" s="7" t="str">
        <f>IF(Indice_index!$Z$1=1,"abril","April")</f>
        <v>April</v>
      </c>
      <c r="E26" s="21">
        <v>9649.5</v>
      </c>
      <c r="F26" s="21">
        <v>9668.4</v>
      </c>
      <c r="G26" s="21">
        <v>14509.549102999999</v>
      </c>
      <c r="H26" s="21">
        <v>14230.34571761</v>
      </c>
      <c r="I26" s="24">
        <f t="shared" si="3"/>
        <v>-4561.9457176100004</v>
      </c>
      <c r="J26" s="22">
        <f t="shared" si="4"/>
        <v>1.9586507072904954E-3</v>
      </c>
      <c r="K26" s="22">
        <f t="shared" si="5"/>
        <v>-1.9242733417006812E-2</v>
      </c>
    </row>
    <row r="27" spans="3:28" ht="15.75" customHeight="1">
      <c r="D27" s="7" t="str">
        <f>IF(Indice_index!$Z$1=1,"maio","May")</f>
        <v>May</v>
      </c>
      <c r="E27" s="21">
        <v>13932.600000000002</v>
      </c>
      <c r="F27" s="21">
        <v>14112</v>
      </c>
      <c r="G27" s="21">
        <v>18290.697160930002</v>
      </c>
      <c r="H27" s="21">
        <v>18536.255102789997</v>
      </c>
      <c r="I27" s="24">
        <f t="shared" si="3"/>
        <v>-4424.2551027899972</v>
      </c>
      <c r="J27" s="22">
        <f t="shared" si="4"/>
        <v>1.2876275784849761E-2</v>
      </c>
      <c r="K27" s="22">
        <f t="shared" si="5"/>
        <v>1.3425291540254769E-2</v>
      </c>
    </row>
    <row r="28" spans="3:28" ht="15.75" customHeight="1">
      <c r="D28" s="7" t="str">
        <f>IF(Indice_index!$Z$1=1,"junho","June")</f>
        <v>June</v>
      </c>
      <c r="E28" s="12">
        <v>16110</v>
      </c>
      <c r="F28" s="21">
        <v>16665.900000000001</v>
      </c>
      <c r="G28" s="12">
        <v>23410.777948609993</v>
      </c>
      <c r="H28" s="21">
        <v>24428.896356209996</v>
      </c>
      <c r="I28" s="24">
        <f t="shared" si="3"/>
        <v>-7762.9963562099947</v>
      </c>
      <c r="J28" s="22">
        <f>IF(F28="","",IF(E28=0,"-",(F28-E28)/E28))</f>
        <v>3.4506517690875323E-2</v>
      </c>
      <c r="K28" s="22">
        <f>IF(H28="","",IF(G28=0,"-",(H28-G28)/G28))</f>
        <v>4.3489302655166706E-2</v>
      </c>
    </row>
    <row r="29" spans="3:28" ht="15.75" customHeight="1">
      <c r="D29" s="7" t="str">
        <f>IF(Indice_index!$Z$1=1,"julho","July")</f>
        <v>July</v>
      </c>
      <c r="E29" s="21">
        <v>19129.399999999998</v>
      </c>
      <c r="F29" s="27">
        <v>19820.900000000001</v>
      </c>
      <c r="G29" s="27">
        <v>27685.045111359999</v>
      </c>
      <c r="H29" s="27">
        <v>28723.63917617</v>
      </c>
      <c r="I29" s="24">
        <f t="shared" si="3"/>
        <v>-8902.7391761699982</v>
      </c>
      <c r="J29" s="22">
        <f>IF(F29="","",IF(E29=0,"-",(F29-E29)/E29))</f>
        <v>3.6148546216818289E-2</v>
      </c>
      <c r="K29" s="22">
        <f>IF(H29="","",IF(G29=0,"-",(H29-G29)/G29))</f>
        <v>3.751462425408273E-2</v>
      </c>
    </row>
    <row r="30" spans="3:28" ht="15.75" customHeight="1">
      <c r="D30" s="7" t="str">
        <f>IF(Indice_index!$Z$1=1,"agosto","August")</f>
        <v>August</v>
      </c>
      <c r="E30" s="21">
        <v>22318.699999999997</v>
      </c>
      <c r="F30" s="27">
        <v>22723.9</v>
      </c>
      <c r="G30" s="21">
        <v>31063.144512820003</v>
      </c>
      <c r="H30" s="27">
        <v>31913.596601069996</v>
      </c>
      <c r="I30" s="24">
        <f t="shared" si="3"/>
        <v>-9189.6966010699944</v>
      </c>
      <c r="J30" s="22">
        <f t="shared" si="4"/>
        <v>1.8155179289116499E-2</v>
      </c>
      <c r="K30" s="22">
        <f t="shared" si="5"/>
        <v>2.7378171192520596E-2</v>
      </c>
    </row>
    <row r="31" spans="3:28" ht="15.75" customHeight="1">
      <c r="D31" s="7" t="str">
        <f>IF(Indice_index!$Z$1=1,"setembro","September")</f>
        <v>September</v>
      </c>
      <c r="E31" s="27">
        <v>26023.399999999998</v>
      </c>
      <c r="F31" s="27">
        <v>26519.7</v>
      </c>
      <c r="G31" s="27">
        <v>35133.403563089996</v>
      </c>
      <c r="H31" s="27">
        <v>35837.388228950003</v>
      </c>
      <c r="I31" s="24">
        <f t="shared" si="3"/>
        <v>-9317.6882289500027</v>
      </c>
      <c r="J31" s="22">
        <f>IF(F31="","",IF(E31=0,"-",(F31-E31)/E31))</f>
        <v>1.9071297370827908E-2</v>
      </c>
      <c r="K31" s="22">
        <f>IF(H31="","",IF(G31=0,"-",(H31-G31)/G31))</f>
        <v>2.0037474154641553E-2</v>
      </c>
    </row>
    <row r="32" spans="3:28" ht="15.75" customHeight="1">
      <c r="D32" s="7" t="str">
        <f>IF(Indice_index!$Z$1=1,"outubro","October")</f>
        <v>October</v>
      </c>
      <c r="E32" s="27">
        <v>28076</v>
      </c>
      <c r="F32" s="21">
        <v>28971.369999999995</v>
      </c>
      <c r="G32" s="27">
        <v>39746.282119739997</v>
      </c>
      <c r="H32" s="21">
        <v>40856.434958240003</v>
      </c>
      <c r="I32" s="24">
        <f t="shared" si="3"/>
        <v>-11885.064958240007</v>
      </c>
      <c r="J32" s="22">
        <f>IF(F32="","",IF(E32=0,"-",(F32-E32)/E32))</f>
        <v>3.1890938880182199E-2</v>
      </c>
      <c r="K32" s="22">
        <f>IF(H32="","",IF(G32=0,"-",(H32-G32)/G32))</f>
        <v>2.7930985724791805E-2</v>
      </c>
    </row>
    <row r="33" spans="3:28" ht="15.75" customHeight="1">
      <c r="D33" s="7" t="str">
        <f>IF(Indice_index!$Z$1=1,"novembro","November")</f>
        <v>November</v>
      </c>
      <c r="E33" s="27">
        <v>30996.5</v>
      </c>
      <c r="F33" s="21">
        <v>32241.98</v>
      </c>
      <c r="G33" s="27">
        <v>44035.147434739993</v>
      </c>
      <c r="H33" s="21">
        <v>45181.188696770005</v>
      </c>
      <c r="I33" s="24">
        <f t="shared" si="3"/>
        <v>-12939.208696770005</v>
      </c>
      <c r="J33" s="22">
        <f>IF(F33="","",IF(E33=0,"-",(F33-E33)/E33))</f>
        <v>4.0181310793154054E-2</v>
      </c>
      <c r="K33" s="22">
        <f>IF(H33="","",IF(G33=0,"-",(H33-G33)/G33))</f>
        <v>2.6025602928398121E-2</v>
      </c>
    </row>
    <row r="34" spans="3:28" ht="15.75" customHeight="1">
      <c r="D34" s="24" t="str">
        <f>IF(Indice_index!$Z$1=1,"dezembro","December")</f>
        <v>December</v>
      </c>
      <c r="E34" s="21">
        <v>34715.9</v>
      </c>
      <c r="F34" s="21">
        <v>36287.100000000006</v>
      </c>
      <c r="G34" s="21">
        <v>48773.210227310003</v>
      </c>
      <c r="H34" s="21">
        <v>50565.443819210006</v>
      </c>
      <c r="I34" s="24">
        <f t="shared" si="3"/>
        <v>-14278.34381921</v>
      </c>
      <c r="J34" s="22">
        <f>IF(F34="","",IF(E34=0,"-",(F34-E34)/E34))</f>
        <v>4.5258800722435662E-2</v>
      </c>
      <c r="K34" s="22">
        <f>IF(H34="","",IF(G34=0,"-",(H34-G34)/G34))</f>
        <v>3.6746270822593151E-2</v>
      </c>
    </row>
    <row r="35" spans="3:28" s="15" customFormat="1">
      <c r="C35" s="23"/>
      <c r="D35" s="24"/>
      <c r="E35" s="28"/>
      <c r="F35" s="28"/>
      <c r="G35" s="28"/>
      <c r="H35" s="28"/>
      <c r="I35" s="24"/>
      <c r="L35"/>
      <c r="M35" s="16"/>
      <c r="Z35" s="2"/>
      <c r="AA35" s="2"/>
      <c r="AB35" s="2"/>
    </row>
    <row r="36" spans="3:28" ht="15.75" customHeight="1">
      <c r="C36" s="20" t="s">
        <v>4</v>
      </c>
      <c r="D36" s="7" t="str">
        <f>IF(Indice_index!$Z$1=1,"janeiro","January")</f>
        <v>January</v>
      </c>
      <c r="E36" s="12">
        <v>2735.7999999999997</v>
      </c>
      <c r="F36" s="12">
        <v>3128.3999999999996</v>
      </c>
      <c r="G36" s="12">
        <v>3882.39868991</v>
      </c>
      <c r="H36" s="29">
        <v>3915.43923614</v>
      </c>
      <c r="I36" s="24">
        <f t="shared" ref="I36:I47" si="6">IF(F36="","",+F36-H36)</f>
        <v>-787.03923614000041</v>
      </c>
      <c r="J36" s="22">
        <f t="shared" ref="J36:J47" si="7">IF(F36="","",IF(E36=0,"-",(F36-E36)/E36))</f>
        <v>0.1435046421522041</v>
      </c>
      <c r="K36" s="22">
        <f t="shared" ref="K36:K47" si="8">IF(H36="","",IF(G36=0,"-",(H36-G36)/G36))</f>
        <v>8.5103434420244848E-3</v>
      </c>
    </row>
    <row r="37" spans="3:28" ht="15.75" customHeight="1">
      <c r="C37" s="20"/>
      <c r="D37" s="7" t="str">
        <f>IF(Indice_index!$Z$1=1,"fevereiro","February")</f>
        <v>February</v>
      </c>
      <c r="E37" s="12">
        <v>5858.1999999999989</v>
      </c>
      <c r="F37" s="12">
        <v>6442</v>
      </c>
      <c r="G37" s="12">
        <v>7073.2204131999997</v>
      </c>
      <c r="H37" s="29">
        <v>6815.5784267700001</v>
      </c>
      <c r="I37" s="24">
        <f t="shared" si="6"/>
        <v>-373.57842677000008</v>
      </c>
      <c r="J37" s="22">
        <f t="shared" si="7"/>
        <v>9.9655184186269022E-2</v>
      </c>
      <c r="K37" s="22">
        <f t="shared" si="8"/>
        <v>-3.6424990510572776E-2</v>
      </c>
    </row>
    <row r="38" spans="3:28" ht="15.75" customHeight="1">
      <c r="C38" s="20"/>
      <c r="D38" s="7" t="str">
        <f>IF(Indice_index!$Z$1=1,"março","March")</f>
        <v>March</v>
      </c>
      <c r="E38" s="12">
        <v>7722.2000000000007</v>
      </c>
      <c r="F38" s="12">
        <v>8877.2999999999993</v>
      </c>
      <c r="G38" s="12">
        <v>10271.02503918</v>
      </c>
      <c r="H38" s="29">
        <v>9896.3523886099993</v>
      </c>
      <c r="I38" s="24">
        <f t="shared" si="6"/>
        <v>-1019.05238861</v>
      </c>
      <c r="J38" s="22">
        <f t="shared" si="7"/>
        <v>0.14958172541503698</v>
      </c>
      <c r="K38" s="22">
        <f t="shared" si="8"/>
        <v>-3.6478603561063194E-2</v>
      </c>
    </row>
    <row r="39" spans="3:28" ht="15.75" customHeight="1">
      <c r="C39" s="20"/>
      <c r="D39" s="7" t="str">
        <f>IF(Indice_index!$Z$1=1,"abril","April")</f>
        <v>April</v>
      </c>
      <c r="E39" s="12">
        <v>9592.6999999999989</v>
      </c>
      <c r="F39" s="12">
        <v>11265.800000000001</v>
      </c>
      <c r="G39" s="12">
        <v>14230.34571761</v>
      </c>
      <c r="H39" s="29">
        <v>13804.92192823</v>
      </c>
      <c r="I39" s="24">
        <f t="shared" si="6"/>
        <v>-2539.121928229999</v>
      </c>
      <c r="J39" s="22">
        <f t="shared" si="7"/>
        <v>0.17441387721913562</v>
      </c>
      <c r="K39" s="22">
        <f t="shared" si="8"/>
        <v>-2.9895534361722473E-2</v>
      </c>
    </row>
    <row r="40" spans="3:28" ht="15.75" customHeight="1">
      <c r="C40" s="20"/>
      <c r="D40" s="7" t="str">
        <f>IF(Indice_index!$Z$1=1,"maio","May")</f>
        <v>May</v>
      </c>
      <c r="E40" s="12">
        <v>14118.699999999999</v>
      </c>
      <c r="F40" s="12">
        <v>15089.599999999999</v>
      </c>
      <c r="G40" s="12">
        <v>18536.255102789997</v>
      </c>
      <c r="H40" s="29">
        <v>17195.516632790001</v>
      </c>
      <c r="I40" s="24">
        <f t="shared" si="6"/>
        <v>-2105.916632790002</v>
      </c>
      <c r="J40" s="22">
        <f t="shared" si="7"/>
        <v>6.876695446464616E-2</v>
      </c>
      <c r="K40" s="22">
        <f t="shared" si="8"/>
        <v>-7.2330600898894315E-2</v>
      </c>
    </row>
    <row r="41" spans="3:28" ht="15.75" customHeight="1">
      <c r="C41" s="20"/>
      <c r="D41" s="7" t="str">
        <f>IF(Indice_index!$Z$1=1,"junho","June")</f>
        <v>June</v>
      </c>
      <c r="E41" s="12">
        <v>16651.2</v>
      </c>
      <c r="F41" s="12">
        <v>17445.7</v>
      </c>
      <c r="G41" s="12">
        <v>24428.905698209997</v>
      </c>
      <c r="H41" s="29">
        <v>23597.151310159996</v>
      </c>
      <c r="I41" s="24">
        <f t="shared" si="6"/>
        <v>-6151.451310159995</v>
      </c>
      <c r="J41" s="22">
        <f t="shared" si="7"/>
        <v>4.7714278850773513E-2</v>
      </c>
      <c r="K41" s="22">
        <f t="shared" si="8"/>
        <v>-3.4047959344775218E-2</v>
      </c>
    </row>
    <row r="42" spans="3:28" ht="15.75" customHeight="1">
      <c r="C42" s="24"/>
      <c r="D42" s="7" t="str">
        <f>IF(Indice_index!$Z$1=1,"julho","July")</f>
        <v>July</v>
      </c>
      <c r="E42" s="12">
        <v>19793.7</v>
      </c>
      <c r="F42" s="12">
        <v>20662.200000000004</v>
      </c>
      <c r="G42" s="12">
        <v>28723.63917617</v>
      </c>
      <c r="H42" s="29">
        <v>27348.986220600003</v>
      </c>
      <c r="I42" s="24">
        <f t="shared" si="6"/>
        <v>-6686.7862205999991</v>
      </c>
      <c r="J42" s="22">
        <f t="shared" si="7"/>
        <v>4.3877597417360248E-2</v>
      </c>
      <c r="K42" s="22">
        <f t="shared" si="8"/>
        <v>-4.7857896666187408E-2</v>
      </c>
      <c r="M42" s="30"/>
    </row>
    <row r="43" spans="3:28" ht="15.75" customHeight="1">
      <c r="C43" s="24"/>
      <c r="D43" s="7" t="str">
        <f>IF(Indice_index!$Z$1=1,"agosto","August")</f>
        <v>August</v>
      </c>
      <c r="E43" s="12">
        <v>22687.9</v>
      </c>
      <c r="F43" s="12">
        <v>23787.599999999999</v>
      </c>
      <c r="G43" s="12">
        <v>31913.596601069996</v>
      </c>
      <c r="H43" s="29">
        <v>30989.851806180002</v>
      </c>
      <c r="I43" s="24">
        <f t="shared" si="6"/>
        <v>-7202.2518061800038</v>
      </c>
      <c r="J43" s="22">
        <f t="shared" si="7"/>
        <v>4.8470770763270159E-2</v>
      </c>
      <c r="K43" s="22">
        <f t="shared" si="8"/>
        <v>-2.8945179900501165E-2</v>
      </c>
      <c r="M43" s="30"/>
    </row>
    <row r="44" spans="3:28" ht="15.75" customHeight="1">
      <c r="C44" s="24"/>
      <c r="D44" s="7" t="str">
        <f>IF(Indice_index!$Z$1=1,"setembro","September")</f>
        <v>September</v>
      </c>
      <c r="E44" s="12">
        <v>26532.199999999997</v>
      </c>
      <c r="F44" s="12">
        <v>27896.699999999997</v>
      </c>
      <c r="G44" s="12">
        <v>35837.388228950003</v>
      </c>
      <c r="H44" s="29">
        <v>34458.234949590013</v>
      </c>
      <c r="I44" s="24">
        <f t="shared" si="6"/>
        <v>-6561.5349495900155</v>
      </c>
      <c r="J44" s="22">
        <f t="shared" si="7"/>
        <v>5.1428076073601142E-2</v>
      </c>
      <c r="K44" s="22">
        <f t="shared" si="8"/>
        <v>-3.8483643689354828E-2</v>
      </c>
      <c r="M44" s="30"/>
    </row>
    <row r="45" spans="3:28" ht="15.75" customHeight="1">
      <c r="C45" s="24"/>
      <c r="D45" s="7" t="str">
        <f>IF(Indice_index!$Z$1=1,"outubro","October")</f>
        <v>October</v>
      </c>
      <c r="E45" s="7">
        <v>28988.300000000003</v>
      </c>
      <c r="F45" s="7">
        <v>30484.199999999997</v>
      </c>
      <c r="G45" s="7">
        <v>40856.434958240003</v>
      </c>
      <c r="H45" s="11">
        <v>39384.38391841999</v>
      </c>
      <c r="I45" s="24">
        <f t="shared" si="6"/>
        <v>-8900.1839184199926</v>
      </c>
      <c r="J45" s="22">
        <f t="shared" si="7"/>
        <v>5.1603577995259949E-2</v>
      </c>
      <c r="K45" s="22">
        <f t="shared" si="8"/>
        <v>-3.6029845514534475E-2</v>
      </c>
      <c r="M45" s="30"/>
    </row>
    <row r="46" spans="3:28" ht="15.75" customHeight="1">
      <c r="C46" s="24"/>
      <c r="D46" s="7" t="str">
        <f>IF(Indice_index!$Z$1=1,"novembro","November")</f>
        <v>November</v>
      </c>
      <c r="E46" s="7">
        <v>32229.1</v>
      </c>
      <c r="F46" s="7">
        <v>34141.300000000003</v>
      </c>
      <c r="G46" s="7">
        <v>45181.188696770005</v>
      </c>
      <c r="H46" s="11">
        <v>44043.116553829997</v>
      </c>
      <c r="I46" s="24">
        <f t="shared" si="6"/>
        <v>-9901.8165538299945</v>
      </c>
      <c r="J46" s="22">
        <f t="shared" si="7"/>
        <v>5.9331473730262541E-2</v>
      </c>
      <c r="K46" s="22">
        <f t="shared" si="8"/>
        <v>-2.518907040224393E-2</v>
      </c>
      <c r="M46" s="30"/>
    </row>
    <row r="47" spans="3:28" ht="15.75" customHeight="1">
      <c r="C47" s="24"/>
      <c r="D47" s="12" t="str">
        <f>IF(Indice_index!$Z$1=1,"dezembro","December")</f>
        <v>December</v>
      </c>
      <c r="E47" s="7">
        <v>36287.100000000006</v>
      </c>
      <c r="F47" s="7">
        <v>41537.199999999997</v>
      </c>
      <c r="G47" s="7">
        <v>50565.443819210006</v>
      </c>
      <c r="H47" s="11">
        <v>48731.727464230011</v>
      </c>
      <c r="I47" s="7">
        <f t="shared" si="6"/>
        <v>-7194.5274642300137</v>
      </c>
      <c r="J47" s="31">
        <f t="shared" si="7"/>
        <v>0.14468227000779865</v>
      </c>
      <c r="K47" s="31">
        <f t="shared" si="8"/>
        <v>-3.6264219523835357E-2</v>
      </c>
      <c r="M47" s="30"/>
    </row>
    <row r="48" spans="3:28">
      <c r="D48" s="12"/>
      <c r="J48" s="31"/>
      <c r="K48" s="31"/>
      <c r="M48" s="30"/>
    </row>
    <row r="49" spans="3:28" ht="15.75" customHeight="1">
      <c r="C49" s="23" t="s">
        <v>5</v>
      </c>
      <c r="D49" s="12" t="str">
        <f>IF(Indice_index!$Z$1=1,"janeiro","January")</f>
        <v>January</v>
      </c>
      <c r="E49" s="7">
        <v>3173.2000000000003</v>
      </c>
      <c r="F49" s="7">
        <v>2980.6000000000004</v>
      </c>
      <c r="G49" s="7">
        <v>3915.43923614</v>
      </c>
      <c r="H49" s="11">
        <v>3416.5586975499982</v>
      </c>
      <c r="I49" s="7">
        <f t="shared" ref="I49:I60" si="9">IF(F49="","",+F49-H49)</f>
        <v>-435.95869754999785</v>
      </c>
      <c r="J49" s="31">
        <f t="shared" ref="J49:J60" si="10">IF(F49="","",IF(E49=0,"-",(F49-E49)/E49))</f>
        <v>-6.0695827555779618E-2</v>
      </c>
      <c r="K49" s="31">
        <f t="shared" ref="K49:K60" si="11">IF(H49="","",IF(G49=0,"-",(H49-G49)/G49))</f>
        <v>-0.12741368426440416</v>
      </c>
      <c r="M49" s="30"/>
    </row>
    <row r="50" spans="3:28" ht="15.75" customHeight="1">
      <c r="C50" s="23"/>
      <c r="D50" s="12" t="str">
        <f>IF(Indice_index!$Z$1=1,"fevereiro","February")</f>
        <v>February</v>
      </c>
      <c r="E50" s="7">
        <v>6541.2999999999993</v>
      </c>
      <c r="F50" s="7">
        <v>6258.9000000000005</v>
      </c>
      <c r="G50" s="7">
        <v>6815.5784267700001</v>
      </c>
      <c r="H50" s="11">
        <v>7057.492915750001</v>
      </c>
      <c r="I50" s="7">
        <f t="shared" si="9"/>
        <v>-798.59291575000043</v>
      </c>
      <c r="J50" s="31">
        <f t="shared" si="10"/>
        <v>-4.3171846574839676E-2</v>
      </c>
      <c r="K50" s="31">
        <f t="shared" si="11"/>
        <v>3.549434454892593E-2</v>
      </c>
      <c r="M50" s="30"/>
    </row>
    <row r="51" spans="3:28" ht="15.75" customHeight="1">
      <c r="C51" s="23"/>
      <c r="D51" s="12" t="str">
        <f>IF(Indice_index!$Z$1=1,"março","March")</f>
        <v>March</v>
      </c>
      <c r="E51" s="7">
        <v>9004.1</v>
      </c>
      <c r="F51" s="7">
        <v>8610</v>
      </c>
      <c r="G51" s="7">
        <v>9896.3523886099993</v>
      </c>
      <c r="H51" s="11">
        <v>10246.981375730003</v>
      </c>
      <c r="I51" s="7">
        <f t="shared" si="9"/>
        <v>-1636.9813757300035</v>
      </c>
      <c r="J51" s="31">
        <f t="shared" si="10"/>
        <v>-4.3768949700691943E-2</v>
      </c>
      <c r="K51" s="31">
        <f t="shared" si="11"/>
        <v>3.5430123478985387E-2</v>
      </c>
      <c r="M51" s="30"/>
    </row>
    <row r="52" spans="3:28" ht="15.75" customHeight="1">
      <c r="C52" s="23"/>
      <c r="D52" s="12" t="str">
        <f>IF(Indice_index!$Z$1=1,"abril","April")</f>
        <v>April</v>
      </c>
      <c r="E52" s="7">
        <v>11351.7</v>
      </c>
      <c r="F52" s="7">
        <v>11103.300000000001</v>
      </c>
      <c r="G52" s="7">
        <v>13804.92192823</v>
      </c>
      <c r="H52" s="11">
        <v>14162.098254779998</v>
      </c>
      <c r="I52" s="7">
        <f t="shared" si="9"/>
        <v>-3058.7982547799966</v>
      </c>
      <c r="J52" s="31">
        <f t="shared" si="10"/>
        <v>-2.1882185047173517E-2</v>
      </c>
      <c r="K52" s="31">
        <f t="shared" si="11"/>
        <v>2.5873114560655327E-2</v>
      </c>
      <c r="M52" s="30"/>
    </row>
    <row r="53" spans="3:28" ht="15.75" customHeight="1">
      <c r="C53" s="23"/>
      <c r="D53" s="12" t="str">
        <f>IF(Indice_index!$Z$1=1,"maio","May")</f>
        <v>May</v>
      </c>
      <c r="E53" s="7">
        <v>15176.9</v>
      </c>
      <c r="F53" s="7">
        <v>14822.599999999999</v>
      </c>
      <c r="G53" s="7">
        <v>17195.516632790001</v>
      </c>
      <c r="H53" s="11">
        <v>17538.5445095</v>
      </c>
      <c r="I53" s="7">
        <f t="shared" si="9"/>
        <v>-2715.944509500001</v>
      </c>
      <c r="J53" s="31">
        <f t="shared" si="10"/>
        <v>-2.3344688309206829E-2</v>
      </c>
      <c r="K53" s="31">
        <f t="shared" si="11"/>
        <v>1.9948681044911539E-2</v>
      </c>
      <c r="M53" s="30"/>
    </row>
    <row r="54" spans="3:28" ht="15.75" customHeight="1">
      <c r="C54" s="23"/>
      <c r="D54" s="12" t="str">
        <f>IF(Indice_index!$Z$1=1,"junho","June")</f>
        <v>June</v>
      </c>
      <c r="E54" s="7">
        <v>17547.800000000003</v>
      </c>
      <c r="F54" s="7">
        <v>19865.399999999998</v>
      </c>
      <c r="G54" s="7">
        <v>23597.151310159996</v>
      </c>
      <c r="H54" s="11">
        <v>23087.224164270003</v>
      </c>
      <c r="I54" s="7">
        <f t="shared" si="9"/>
        <v>-3221.824164270005</v>
      </c>
      <c r="J54" s="31">
        <f t="shared" si="10"/>
        <v>0.13207353628375035</v>
      </c>
      <c r="K54" s="31">
        <f t="shared" si="11"/>
        <v>-2.1609690898173738E-2</v>
      </c>
      <c r="M54" s="30"/>
    </row>
    <row r="55" spans="3:28" ht="15.75" customHeight="1">
      <c r="C55" s="23"/>
      <c r="D55" s="12" t="str">
        <f>IF(Indice_index!$Z$1=1,"julho","July")</f>
        <v>July</v>
      </c>
      <c r="E55" s="7">
        <v>20785.800000000003</v>
      </c>
      <c r="F55" s="7">
        <v>23165.200000000001</v>
      </c>
      <c r="G55" s="7">
        <v>27348.9862206</v>
      </c>
      <c r="H55" s="11">
        <v>27145.079220180003</v>
      </c>
      <c r="I55" s="7">
        <f t="shared" si="9"/>
        <v>-3979.8792201800024</v>
      </c>
      <c r="J55" s="31">
        <f t="shared" si="10"/>
        <v>0.11447238018262455</v>
      </c>
      <c r="K55" s="31">
        <f t="shared" si="11"/>
        <v>-7.4557425556932826E-3</v>
      </c>
      <c r="M55" s="30"/>
    </row>
    <row r="56" spans="3:28" ht="15.75" customHeight="1">
      <c r="C56" s="23"/>
      <c r="D56" s="12" t="str">
        <f>IF(Indice_index!$Z$1=1,"agosto","August")</f>
        <v>August</v>
      </c>
      <c r="E56" s="7">
        <v>23893.599999999999</v>
      </c>
      <c r="F56" s="7">
        <v>26430.5</v>
      </c>
      <c r="G56" s="7">
        <v>30989.851806180002</v>
      </c>
      <c r="H56" s="11">
        <v>31325.823311140015</v>
      </c>
      <c r="I56" s="7">
        <f t="shared" si="9"/>
        <v>-4895.323311140015</v>
      </c>
      <c r="J56" s="31">
        <f t="shared" si="10"/>
        <v>0.10617487528040988</v>
      </c>
      <c r="K56" s="31">
        <f t="shared" si="11"/>
        <v>1.0841339515312338E-2</v>
      </c>
      <c r="M56" s="30"/>
    </row>
    <row r="57" spans="3:28" ht="15.75" customHeight="1">
      <c r="C57" s="23"/>
      <c r="D57" s="12" t="str">
        <f>IF(Indice_index!$Z$1=1,"setembro","September")</f>
        <v>September</v>
      </c>
      <c r="E57" s="7">
        <v>27999</v>
      </c>
      <c r="F57" s="7">
        <v>29793.5</v>
      </c>
      <c r="G57" s="7">
        <v>34458.234949590013</v>
      </c>
      <c r="H57" s="11">
        <v>34946.786918849997</v>
      </c>
      <c r="I57" s="7">
        <f t="shared" si="9"/>
        <v>-5153.2869188499972</v>
      </c>
      <c r="J57" s="31">
        <f t="shared" si="10"/>
        <v>6.409157469909639E-2</v>
      </c>
      <c r="K57" s="31">
        <f t="shared" si="11"/>
        <v>1.4178090374469324E-2</v>
      </c>
      <c r="M57" s="30"/>
    </row>
    <row r="58" spans="3:28" ht="15.75" customHeight="1">
      <c r="C58" s="23"/>
      <c r="D58" s="12" t="str">
        <f>IF(Indice_index!$Z$1=1,"outubro","October")</f>
        <v>October</v>
      </c>
      <c r="E58" s="7">
        <v>30567.3</v>
      </c>
      <c r="F58" s="7">
        <v>32274.1</v>
      </c>
      <c r="G58" s="7">
        <v>39384.38391841999</v>
      </c>
      <c r="H58" s="11">
        <v>39609.517817409993</v>
      </c>
      <c r="I58" s="7">
        <f t="shared" si="9"/>
        <v>-7335.4178174099943</v>
      </c>
      <c r="J58" s="31">
        <f t="shared" si="10"/>
        <v>5.5837447206655455E-2</v>
      </c>
      <c r="K58" s="31">
        <f t="shared" si="11"/>
        <v>5.7163239992871536E-3</v>
      </c>
      <c r="M58" s="30"/>
    </row>
    <row r="59" spans="3:28" ht="15.75" customHeight="1">
      <c r="C59" s="23"/>
      <c r="D59" s="12" t="str">
        <f>IF(Indice_index!$Z$1=1,"novembro","November")</f>
        <v>November</v>
      </c>
      <c r="E59" s="7">
        <v>34259.1</v>
      </c>
      <c r="F59" s="7">
        <v>35305.5</v>
      </c>
      <c r="G59" s="7">
        <v>44043.116553829997</v>
      </c>
      <c r="H59" s="11">
        <v>43029.630257249977</v>
      </c>
      <c r="I59" s="7">
        <f t="shared" si="9"/>
        <v>-7724.1302572499771</v>
      </c>
      <c r="J59" s="31">
        <f t="shared" si="10"/>
        <v>3.0543709554541758E-2</v>
      </c>
      <c r="K59" s="31">
        <f t="shared" si="11"/>
        <v>-2.3011230264355288E-2</v>
      </c>
      <c r="M59" s="30"/>
    </row>
    <row r="60" spans="3:28" ht="15.75" customHeight="1">
      <c r="C60" s="20"/>
      <c r="D60" s="32" t="str">
        <f>IF(Indice_index!$Z$1=1,"dezembro","December")</f>
        <v>December</v>
      </c>
      <c r="E60" s="32">
        <v>41682.5</v>
      </c>
      <c r="F60" s="32">
        <v>39851.799999999996</v>
      </c>
      <c r="G60" s="32">
        <v>48726.321876370013</v>
      </c>
      <c r="H60" s="32">
        <v>48769.940350429999</v>
      </c>
      <c r="I60" s="33">
        <f t="shared" si="9"/>
        <v>-8918.1403504300033</v>
      </c>
      <c r="J60" s="34">
        <f t="shared" si="10"/>
        <v>-4.3920110358064042E-2</v>
      </c>
      <c r="K60" s="34">
        <f t="shared" si="11"/>
        <v>8.9517271939088265E-4</v>
      </c>
      <c r="M60" s="30"/>
    </row>
    <row r="61" spans="3:28" ht="15.75" customHeight="1">
      <c r="D61" s="32"/>
      <c r="E61" s="32"/>
      <c r="F61" s="32"/>
      <c r="G61" s="32"/>
      <c r="H61" s="32"/>
      <c r="I61" s="33"/>
      <c r="J61" s="34"/>
      <c r="K61" s="34"/>
      <c r="M61" s="30"/>
    </row>
    <row r="62" spans="3:28" s="35" customFormat="1" ht="15.75" customHeight="1">
      <c r="C62" s="20" t="s">
        <v>7</v>
      </c>
      <c r="D62" s="71" t="str">
        <f>IF(Indice_index!$Z$1=1,"janeiro","January")</f>
        <v>January</v>
      </c>
      <c r="E62" s="71">
        <v>2998.9000000000005</v>
      </c>
      <c r="F62" s="71">
        <v>3068.6</v>
      </c>
      <c r="G62" s="71">
        <v>3416.5586975500009</v>
      </c>
      <c r="H62" s="71">
        <v>3805.230396670001</v>
      </c>
      <c r="I62" s="71">
        <f t="shared" ref="I62:I73" si="12">IF(F62="","",+F62-H62)</f>
        <v>-736.63039667000112</v>
      </c>
      <c r="J62" s="204">
        <f t="shared" ref="J62:J73" si="13">IF(F62="","",IF(E62=0,"-",(F62-E62)/E62))</f>
        <v>2.3241855346960334E-2</v>
      </c>
      <c r="K62" s="204">
        <f t="shared" ref="K62:K73" si="14">IF(H62="","",IF(G62=0,"-",(H62-G62)/G62))</f>
        <v>0.11376116540854833</v>
      </c>
      <c r="L62" s="203"/>
      <c r="M62" s="203"/>
      <c r="Z62" s="2"/>
      <c r="AA62" s="2"/>
      <c r="AB62" s="2"/>
    </row>
    <row r="63" spans="3:28" s="35" customFormat="1" ht="15.75" customHeight="1">
      <c r="C63" s="71"/>
      <c r="D63" s="71" t="str">
        <f>IF(Indice_index!$Z$1=1,"fevereiro","February")</f>
        <v>February</v>
      </c>
      <c r="E63" s="71">
        <v>6305.7006160000001</v>
      </c>
      <c r="F63" s="71">
        <v>6433.1499410000006</v>
      </c>
      <c r="G63" s="71">
        <v>7057.4100227500012</v>
      </c>
      <c r="H63" s="71">
        <v>7304.2644009999985</v>
      </c>
      <c r="I63" s="71">
        <f t="shared" si="12"/>
        <v>-871.11445999999796</v>
      </c>
      <c r="J63" s="204">
        <f t="shared" si="13"/>
        <v>2.0211762778050753E-2</v>
      </c>
      <c r="K63" s="204">
        <f t="shared" si="14"/>
        <v>3.4978041158760347E-2</v>
      </c>
      <c r="L63" s="203"/>
      <c r="M63" s="203"/>
      <c r="Z63" s="2"/>
      <c r="AA63" s="2"/>
      <c r="AB63" s="2"/>
    </row>
    <row r="64" spans="3:28" s="35" customFormat="1" ht="15.75" customHeight="1">
      <c r="C64" s="71"/>
      <c r="D64" s="71" t="str">
        <f>IF(Indice_index!$Z$1=1,"março","March")</f>
        <v>March</v>
      </c>
      <c r="E64" s="71">
        <v>8658.4240280000013</v>
      </c>
      <c r="F64" s="71">
        <v>8936.6458549999988</v>
      </c>
      <c r="G64" s="71">
        <v>10246.897045730002</v>
      </c>
      <c r="H64" s="71">
        <v>10788.607881029997</v>
      </c>
      <c r="I64" s="71">
        <f t="shared" si="12"/>
        <v>-1851.962026029998</v>
      </c>
      <c r="J64" s="204">
        <f t="shared" si="13"/>
        <v>3.2133079426495091E-2</v>
      </c>
      <c r="K64" s="204">
        <f t="shared" si="14"/>
        <v>5.2865841520846731E-2</v>
      </c>
      <c r="L64" s="203"/>
      <c r="M64" s="203"/>
      <c r="Z64" s="2"/>
      <c r="AA64" s="2"/>
      <c r="AB64" s="2"/>
    </row>
    <row r="65" spans="3:28" s="35" customFormat="1" ht="15.75" customHeight="1">
      <c r="C65" s="71"/>
      <c r="D65" s="71" t="str">
        <f>IF(Indice_index!$Z$1=1,"abril","April")</f>
        <v>April</v>
      </c>
      <c r="E65" s="71">
        <v>11133.452095000001</v>
      </c>
      <c r="F65" s="71">
        <v>11612.055524999998</v>
      </c>
      <c r="G65" s="71">
        <v>14162.011795139999</v>
      </c>
      <c r="H65" s="71">
        <v>14589.658748449994</v>
      </c>
      <c r="I65" s="71">
        <f t="shared" si="12"/>
        <v>-2977.6032234499962</v>
      </c>
      <c r="J65" s="204">
        <f t="shared" si="13"/>
        <v>4.2987873475014704E-2</v>
      </c>
      <c r="K65" s="204">
        <f t="shared" si="14"/>
        <v>3.0196765791195825E-2</v>
      </c>
      <c r="L65"/>
      <c r="M65"/>
      <c r="N65"/>
      <c r="O65"/>
      <c r="P65"/>
      <c r="Q65"/>
      <c r="Z65" s="2"/>
      <c r="AA65" s="2"/>
      <c r="AB65" s="2"/>
    </row>
    <row r="66" spans="3:28" s="35" customFormat="1" ht="15.75" customHeight="1">
      <c r="C66" s="71"/>
      <c r="D66" s="71" t="str">
        <f>IF(Indice_index!$Z$1=1,"maio","May")</f>
        <v>May</v>
      </c>
      <c r="E66" s="71">
        <v>14826.058716220003</v>
      </c>
      <c r="F66" s="71">
        <v>15965.996132230001</v>
      </c>
      <c r="G66" s="71">
        <v>17538.417024859998</v>
      </c>
      <c r="H66" s="71">
        <v>18646.484580070006</v>
      </c>
      <c r="I66" s="71">
        <f t="shared" si="12"/>
        <v>-2680.4884478400054</v>
      </c>
      <c r="J66" s="204">
        <f t="shared" si="13"/>
        <v>7.6887420846572241E-2</v>
      </c>
      <c r="K66" s="204">
        <f t="shared" si="14"/>
        <v>6.3179450781639321E-2</v>
      </c>
      <c r="L66"/>
      <c r="M66"/>
      <c r="N66"/>
      <c r="O66"/>
      <c r="P66"/>
      <c r="Q66"/>
      <c r="Z66" s="2"/>
      <c r="AA66" s="2"/>
      <c r="AB66" s="2"/>
    </row>
    <row r="67" spans="3:28" s="35" customFormat="1" ht="15.75" customHeight="1">
      <c r="C67" s="71"/>
      <c r="D67" s="28" t="str">
        <f>IF(Indice_index!$Z$1=1,"junho","June")</f>
        <v>June</v>
      </c>
      <c r="E67" s="28">
        <v>19867.24326209</v>
      </c>
      <c r="F67" s="28">
        <v>18650.755292359998</v>
      </c>
      <c r="G67" s="28">
        <v>23087.095345630009</v>
      </c>
      <c r="H67" s="28">
        <v>23501.930389390003</v>
      </c>
      <c r="I67" s="28">
        <f t="shared" si="12"/>
        <v>-4851.1750970300054</v>
      </c>
      <c r="J67" s="226">
        <f t="shared" si="13"/>
        <v>-6.1230838807478802E-2</v>
      </c>
      <c r="K67" s="226">
        <f t="shared" si="14"/>
        <v>1.7968264848809399E-2</v>
      </c>
      <c r="L67"/>
      <c r="M67"/>
      <c r="N67"/>
      <c r="O67"/>
      <c r="P67"/>
      <c r="Q67"/>
      <c r="Z67" s="2"/>
      <c r="AA67" s="2"/>
      <c r="AB67" s="2"/>
    </row>
    <row r="68" spans="3:28" s="35" customFormat="1" ht="15.75" customHeight="1">
      <c r="C68" s="71"/>
      <c r="D68" s="33" t="str">
        <f>IF(Indice_index!$Z$1=1,"julho","July")</f>
        <v>July</v>
      </c>
      <c r="E68" s="33">
        <v>23168.670938000003</v>
      </c>
      <c r="F68" s="33">
        <v>21989.555156279999</v>
      </c>
      <c r="G68" s="33">
        <v>27141.297239910007</v>
      </c>
      <c r="H68" s="33">
        <v>27686.129182839995</v>
      </c>
      <c r="I68" s="33">
        <f t="shared" si="12"/>
        <v>-5696.5740265599961</v>
      </c>
      <c r="J68" s="206">
        <f t="shared" si="13"/>
        <v>-5.0892681106971989E-2</v>
      </c>
      <c r="K68" s="206">
        <f t="shared" si="14"/>
        <v>2.0073909441912684E-2</v>
      </c>
      <c r="L68"/>
      <c r="M68"/>
      <c r="N68"/>
      <c r="O68"/>
      <c r="P68"/>
      <c r="Q68"/>
      <c r="Z68" s="2"/>
      <c r="AA68" s="2"/>
      <c r="AB68" s="2"/>
    </row>
    <row r="69" spans="3:28" s="35" customFormat="1" ht="15.75" customHeight="1">
      <c r="C69" s="71"/>
      <c r="D69" s="33" t="str">
        <f>IF(Indice_index!$Z$1=1,"agosto","August")</f>
        <v>August</v>
      </c>
      <c r="E69" s="33">
        <v>26436.031611360002</v>
      </c>
      <c r="F69" s="33">
        <v>25209.113279379999</v>
      </c>
      <c r="G69" s="33">
        <v>31322.041330870008</v>
      </c>
      <c r="H69" s="33">
        <v>31236.367103649995</v>
      </c>
      <c r="I69" s="33">
        <f t="shared" si="12"/>
        <v>-6027.2538242699957</v>
      </c>
      <c r="J69" s="206">
        <f t="shared" si="13"/>
        <v>-4.6410836165469552E-2</v>
      </c>
      <c r="K69" s="206">
        <f t="shared" si="14"/>
        <v>-2.7352695922655515E-3</v>
      </c>
      <c r="L69"/>
      <c r="M69"/>
      <c r="N69"/>
      <c r="O69"/>
      <c r="P69"/>
      <c r="Q69"/>
      <c r="Z69" s="2"/>
      <c r="AA69" s="2"/>
      <c r="AB69" s="2"/>
    </row>
    <row r="70" spans="3:28" s="35" customFormat="1" ht="15.75" customHeight="1">
      <c r="C70" s="33"/>
      <c r="D70" s="33" t="str">
        <f>IF(Indice_index!$Z$1=1,"setembro","September")</f>
        <v>September</v>
      </c>
      <c r="E70" s="33">
        <v>29805.758869909998</v>
      </c>
      <c r="F70" s="33">
        <v>29495.021431149995</v>
      </c>
      <c r="G70" s="33">
        <v>34943.002809299993</v>
      </c>
      <c r="H70" s="33">
        <v>34938.153055259994</v>
      </c>
      <c r="I70" s="33">
        <f t="shared" si="12"/>
        <v>-5443.1316241099994</v>
      </c>
      <c r="J70" s="206">
        <f t="shared" si="13"/>
        <v>-1.0425416112243456E-2</v>
      </c>
      <c r="K70" s="206">
        <f t="shared" si="14"/>
        <v>-1.3879042011546202E-4</v>
      </c>
      <c r="L70"/>
      <c r="M70"/>
      <c r="N70"/>
      <c r="O70"/>
      <c r="P70"/>
      <c r="Q70"/>
      <c r="Z70" s="2"/>
      <c r="AA70" s="2"/>
      <c r="AB70" s="2"/>
    </row>
    <row r="71" spans="3:28" ht="15.75" customHeight="1">
      <c r="C71" s="33"/>
      <c r="D71" s="33" t="str">
        <f>IF(Indice_index!$Z$1=1,"outubro","October")</f>
        <v>October</v>
      </c>
      <c r="E71" s="33">
        <v>32280.747179060007</v>
      </c>
      <c r="F71" s="33">
        <v>32448.833813720004</v>
      </c>
      <c r="G71" s="33">
        <v>39603.399320489996</v>
      </c>
      <c r="H71" s="33">
        <v>40166.40891118002</v>
      </c>
      <c r="I71" s="33">
        <f t="shared" si="12"/>
        <v>-7717.575097460016</v>
      </c>
      <c r="J71" s="206">
        <f t="shared" si="13"/>
        <v>5.2070242899777998E-3</v>
      </c>
      <c r="K71" s="206">
        <f t="shared" si="14"/>
        <v>1.4216193567978253E-2</v>
      </c>
      <c r="M71"/>
      <c r="N71"/>
      <c r="O71"/>
      <c r="P71"/>
      <c r="Q71"/>
    </row>
    <row r="72" spans="3:28" s="24" customFormat="1" ht="15.75" customHeight="1">
      <c r="C72" s="33"/>
      <c r="D72" s="33" t="str">
        <f>IF(Indice_index!$Z$1=1,"novembro","November")</f>
        <v>November</v>
      </c>
      <c r="E72" s="33">
        <v>35327.54353915</v>
      </c>
      <c r="F72" s="33">
        <v>35923.852231340003</v>
      </c>
      <c r="G72" s="33">
        <v>43021.159694219976</v>
      </c>
      <c r="H72" s="33">
        <v>44599.415640930019</v>
      </c>
      <c r="I72" s="33">
        <f t="shared" si="12"/>
        <v>-8675.5634095900168</v>
      </c>
      <c r="J72" s="206">
        <f t="shared" si="13"/>
        <v>1.6879426998063805E-2</v>
      </c>
      <c r="K72" s="206">
        <f t="shared" si="14"/>
        <v>3.6685574213427982E-2</v>
      </c>
      <c r="L72" s="221"/>
      <c r="M72" s="221"/>
      <c r="N72" s="221"/>
      <c r="O72" s="221"/>
      <c r="P72" s="221"/>
      <c r="Q72" s="221"/>
      <c r="Z72" s="42"/>
      <c r="AA72" s="42"/>
      <c r="AB72" s="42"/>
    </row>
    <row r="73" spans="3:28" s="24" customFormat="1" ht="15.75" customHeight="1">
      <c r="C73" s="33"/>
      <c r="D73" s="33" t="str">
        <f>IF(Indice_index!$Z$1=1,"dezembro","December")</f>
        <v>December</v>
      </c>
      <c r="E73" s="33">
        <v>39859.480407930001</v>
      </c>
      <c r="F73" s="33">
        <v>41188.966814049993</v>
      </c>
      <c r="G73" s="33">
        <v>48755.493391869997</v>
      </c>
      <c r="H73" s="33">
        <v>48876.479680049997</v>
      </c>
      <c r="I73" s="33">
        <f t="shared" si="12"/>
        <v>-7687.5128660000046</v>
      </c>
      <c r="J73" s="206">
        <f t="shared" si="13"/>
        <v>3.3354333586734147E-2</v>
      </c>
      <c r="K73" s="206">
        <f t="shared" si="14"/>
        <v>2.4814903873001211E-3</v>
      </c>
      <c r="L73" s="221"/>
      <c r="M73" s="221"/>
      <c r="N73" s="221"/>
      <c r="O73" s="221"/>
      <c r="P73" s="221"/>
      <c r="Q73" s="221"/>
      <c r="Z73" s="42"/>
      <c r="AA73" s="42"/>
      <c r="AB73" s="42"/>
    </row>
    <row r="74" spans="3:28" ht="15.75" customHeight="1">
      <c r="D74" s="32"/>
      <c r="E74" s="32"/>
      <c r="F74" s="32"/>
      <c r="G74" s="32"/>
      <c r="H74" s="32"/>
      <c r="I74" s="33"/>
      <c r="J74" s="34"/>
      <c r="K74" s="34"/>
      <c r="M74" s="30"/>
      <c r="O74" s="256"/>
      <c r="P74" s="256"/>
      <c r="Q74" s="256"/>
    </row>
    <row r="75" spans="3:28" s="35" customFormat="1" ht="15.75" customHeight="1">
      <c r="C75" s="20" t="s">
        <v>16</v>
      </c>
      <c r="D75" s="71" t="str">
        <f>IF(Indice_index!$Z$1=1,"janeiro","January")</f>
        <v>January</v>
      </c>
      <c r="E75" s="71">
        <v>3073.5563798699995</v>
      </c>
      <c r="F75" s="71">
        <v>3341.5428716400006</v>
      </c>
      <c r="G75" s="71">
        <v>3805.2303966700001</v>
      </c>
      <c r="H75" s="71">
        <v>3522.9457239799995</v>
      </c>
      <c r="I75" s="71">
        <f t="shared" ref="I75:I84" si="15">IF(F75="","",+F75-H75)</f>
        <v>-181.40285233999884</v>
      </c>
      <c r="J75" s="204">
        <f t="shared" ref="J75:J84" si="16">IF(F75="","",IF(E75=0,"-",(F75-E75)/E75))</f>
        <v>8.7191012185478742E-2</v>
      </c>
      <c r="K75" s="204">
        <f t="shared" ref="K75:K84" si="17">IF(H75="","",IF(G75=0,"-",(H75-G75)/G75))</f>
        <v>-7.4183332745641664E-2</v>
      </c>
      <c r="L75"/>
      <c r="M75" s="203"/>
      <c r="O75" s="257"/>
      <c r="P75" s="257"/>
      <c r="Q75" s="256"/>
      <c r="Z75" s="2"/>
      <c r="AA75" s="2"/>
      <c r="AB75" s="2"/>
    </row>
    <row r="76" spans="3:28" s="35" customFormat="1" ht="15.75" customHeight="1">
      <c r="C76" s="71"/>
      <c r="D76" s="71" t="str">
        <f>IF(Indice_index!$Z$1=1,"fevereiro","February")</f>
        <v>February</v>
      </c>
      <c r="E76" s="71">
        <v>6436.1101623699997</v>
      </c>
      <c r="F76" s="71">
        <v>6870.3325750500007</v>
      </c>
      <c r="G76" s="71">
        <v>7304.2638447599984</v>
      </c>
      <c r="H76" s="71">
        <v>7449.3841173699993</v>
      </c>
      <c r="I76" s="71">
        <f t="shared" si="15"/>
        <v>-579.05154231999859</v>
      </c>
      <c r="J76" s="204">
        <f t="shared" si="16"/>
        <v>6.7466591112558774E-2</v>
      </c>
      <c r="K76" s="204">
        <f t="shared" si="17"/>
        <v>1.9867884799110686E-2</v>
      </c>
      <c r="L76"/>
      <c r="M76" s="203"/>
      <c r="O76" s="257"/>
      <c r="P76" s="258"/>
      <c r="Q76" s="257"/>
      <c r="Z76" s="2"/>
      <c r="AA76" s="2"/>
      <c r="AB76" s="2"/>
    </row>
    <row r="77" spans="3:28" s="35" customFormat="1" ht="15.75" customHeight="1">
      <c r="C77" s="71"/>
      <c r="D77" s="71" t="str">
        <f>IF(Indice_index!$Z$1=1,"março","March")</f>
        <v>March</v>
      </c>
      <c r="E77" s="71">
        <v>8947.7000000000007</v>
      </c>
      <c r="F77" s="71">
        <v>9334.9</v>
      </c>
      <c r="G77" s="71">
        <v>10788.6</v>
      </c>
      <c r="H77" s="71">
        <v>10824.3</v>
      </c>
      <c r="I77" s="71">
        <f t="shared" si="15"/>
        <v>-1489.3999999999996</v>
      </c>
      <c r="J77" s="204">
        <f t="shared" si="16"/>
        <v>4.3273690445589243E-2</v>
      </c>
      <c r="K77" s="204">
        <f t="shared" si="17"/>
        <v>3.30904844001992E-3</v>
      </c>
      <c r="L77"/>
      <c r="M77" s="203"/>
      <c r="O77" s="257"/>
      <c r="P77" s="257"/>
      <c r="Q77" s="257"/>
      <c r="Z77" s="2"/>
      <c r="AA77" s="2"/>
      <c r="AB77" s="2"/>
    </row>
    <row r="78" spans="3:28" s="35" customFormat="1" ht="15.75" customHeight="1">
      <c r="C78" s="71"/>
      <c r="D78" s="71" t="str">
        <f>IF(Indice_index!$Z$1=1,"abril","April")</f>
        <v>April</v>
      </c>
      <c r="E78" s="71">
        <v>11620.7</v>
      </c>
      <c r="F78" s="71">
        <v>12135.6</v>
      </c>
      <c r="G78" s="71">
        <v>14589.7</v>
      </c>
      <c r="H78" s="71">
        <v>14876.2</v>
      </c>
      <c r="I78" s="71">
        <f t="shared" si="15"/>
        <v>-2740.6000000000004</v>
      </c>
      <c r="J78" s="204">
        <f t="shared" si="16"/>
        <v>4.4308862633059935E-2</v>
      </c>
      <c r="K78" s="204">
        <f t="shared" si="17"/>
        <v>1.963714127089659E-2</v>
      </c>
      <c r="L78"/>
      <c r="M78" s="203"/>
      <c r="N78"/>
      <c r="O78"/>
      <c r="P78"/>
      <c r="Q78"/>
      <c r="Z78" s="2"/>
      <c r="AA78" s="2"/>
      <c r="AB78" s="2"/>
    </row>
    <row r="79" spans="3:28" s="35" customFormat="1" ht="15.75" customHeight="1">
      <c r="C79" s="71"/>
      <c r="D79" s="71" t="str">
        <f>IF(Indice_index!$Z$1=1,"maio","May")</f>
        <v>May</v>
      </c>
      <c r="E79" s="71">
        <v>15976.547066900002</v>
      </c>
      <c r="F79" s="71">
        <v>16178.136649690003</v>
      </c>
      <c r="G79" s="71">
        <v>18646.484580069995</v>
      </c>
      <c r="H79" s="71">
        <v>18564.580004220003</v>
      </c>
      <c r="I79" s="71">
        <f t="shared" si="15"/>
        <v>-2386.4433545299999</v>
      </c>
      <c r="J79" s="204">
        <f t="shared" si="16"/>
        <v>1.2617844265464029E-2</v>
      </c>
      <c r="K79" s="204">
        <f t="shared" si="17"/>
        <v>-4.3924942258303651E-3</v>
      </c>
      <c r="M79"/>
      <c r="N79"/>
      <c r="O79"/>
      <c r="P79"/>
      <c r="Q79"/>
      <c r="Z79" s="2"/>
      <c r="AA79" s="2"/>
      <c r="AB79" s="2"/>
    </row>
    <row r="80" spans="3:28" s="35" customFormat="1" ht="15.75" customHeight="1">
      <c r="C80" s="71"/>
      <c r="D80" s="28" t="str">
        <f>IF(Indice_index!$Z$1=1,"junho","June")</f>
        <v>June</v>
      </c>
      <c r="E80" s="28">
        <v>18667.462441070005</v>
      </c>
      <c r="F80" s="28">
        <v>19007.494346359999</v>
      </c>
      <c r="G80" s="28">
        <v>23501.930389390003</v>
      </c>
      <c r="H80" s="28">
        <v>24313.460831789998</v>
      </c>
      <c r="I80" s="28">
        <f t="shared" si="15"/>
        <v>-5305.966485429999</v>
      </c>
      <c r="J80" s="226">
        <f t="shared" si="16"/>
        <v>1.82152183974344E-2</v>
      </c>
      <c r="K80" s="226">
        <f t="shared" si="17"/>
        <v>3.4530373843944417E-2</v>
      </c>
      <c r="L80"/>
      <c r="M80"/>
      <c r="N80"/>
      <c r="O80"/>
      <c r="P80"/>
      <c r="Q80"/>
      <c r="Z80" s="2"/>
      <c r="AA80" s="2"/>
      <c r="AB80" s="2"/>
    </row>
    <row r="81" spans="3:28" s="35" customFormat="1" ht="15.75" customHeight="1">
      <c r="C81" s="71"/>
      <c r="D81" s="33" t="str">
        <f>IF(Indice_index!$Z$1=1,"julho","July")</f>
        <v>July</v>
      </c>
      <c r="E81" s="33">
        <v>22010.049438510003</v>
      </c>
      <c r="F81" s="33">
        <v>22381.789571229994</v>
      </c>
      <c r="G81" s="33">
        <v>27686.129182839999</v>
      </c>
      <c r="H81" s="33">
        <v>29023.985729219999</v>
      </c>
      <c r="I81" s="33">
        <f t="shared" si="15"/>
        <v>-6642.1961579900053</v>
      </c>
      <c r="J81" s="206">
        <f t="shared" si="16"/>
        <v>1.688956373126424E-2</v>
      </c>
      <c r="K81" s="206">
        <f t="shared" si="17"/>
        <v>4.8322267715532101E-2</v>
      </c>
      <c r="L81"/>
      <c r="M81"/>
      <c r="N81"/>
      <c r="O81"/>
      <c r="P81"/>
      <c r="Q81"/>
      <c r="Z81" s="2"/>
      <c r="AA81" s="2"/>
      <c r="AB81" s="2"/>
    </row>
    <row r="82" spans="3:28" s="35" customFormat="1" ht="15.75" customHeight="1">
      <c r="C82" s="71"/>
      <c r="D82" s="33" t="str">
        <f>IF(Indice_index!$Z$1=1,"agosto","August")</f>
        <v>August</v>
      </c>
      <c r="E82" s="33">
        <v>25224.452866629999</v>
      </c>
      <c r="F82" s="33">
        <v>26585.739591389996</v>
      </c>
      <c r="G82" s="33">
        <v>31236.367103650002</v>
      </c>
      <c r="H82" s="33">
        <v>32262.193775839994</v>
      </c>
      <c r="I82" s="33">
        <f t="shared" si="15"/>
        <v>-5676.4541844499981</v>
      </c>
      <c r="J82" s="206">
        <f t="shared" si="16"/>
        <v>5.3966947547190371E-2</v>
      </c>
      <c r="K82" s="206">
        <f t="shared" si="17"/>
        <v>3.2840780388642694E-2</v>
      </c>
      <c r="L82"/>
      <c r="M82"/>
      <c r="N82"/>
      <c r="O82"/>
      <c r="P82"/>
      <c r="Q82"/>
      <c r="Z82" s="2"/>
      <c r="AA82" s="2"/>
      <c r="AB82" s="2"/>
    </row>
    <row r="83" spans="3:28" s="35" customFormat="1" ht="15.75" customHeight="1">
      <c r="C83" s="33"/>
      <c r="D83" s="33" t="str">
        <f>IF(Indice_index!$Z$1=1,"setembro","September")</f>
        <v>September</v>
      </c>
      <c r="E83" s="33">
        <v>29507.1</v>
      </c>
      <c r="F83" s="33">
        <v>30609.4</v>
      </c>
      <c r="G83" s="33">
        <v>34938.199999999997</v>
      </c>
      <c r="H83" s="33">
        <v>35799.9</v>
      </c>
      <c r="I83" s="33">
        <f t="shared" si="15"/>
        <v>-5190.5</v>
      </c>
      <c r="J83" s="206">
        <f t="shared" si="16"/>
        <v>3.7357110661501908E-2</v>
      </c>
      <c r="K83" s="206">
        <f t="shared" si="17"/>
        <v>2.4663548780418123E-2</v>
      </c>
      <c r="L83"/>
      <c r="M83"/>
      <c r="N83"/>
      <c r="O83"/>
      <c r="P83"/>
      <c r="Q83"/>
      <c r="Z83" s="2"/>
      <c r="AA83" s="2"/>
      <c r="AB83" s="2"/>
    </row>
    <row r="84" spans="3:28" ht="15.75" customHeight="1">
      <c r="C84" s="33"/>
      <c r="D84" s="33" t="str">
        <f>IF(Indice_index!$Z$1=1,"outubro","October")</f>
        <v>October</v>
      </c>
      <c r="E84" s="33">
        <v>32469.57234961</v>
      </c>
      <c r="F84" s="33">
        <v>33606.112759560005</v>
      </c>
      <c r="G84" s="33">
        <v>40166.446529140012</v>
      </c>
      <c r="H84" s="33">
        <v>40696.629246889992</v>
      </c>
      <c r="I84" s="33">
        <f t="shared" si="15"/>
        <v>-7090.5164873299873</v>
      </c>
      <c r="J84" s="206">
        <f t="shared" si="16"/>
        <v>3.5003245429675513E-2</v>
      </c>
      <c r="K84" s="206">
        <f t="shared" si="17"/>
        <v>1.3199642078503066E-2</v>
      </c>
      <c r="M84"/>
      <c r="N84"/>
      <c r="O84"/>
      <c r="P84"/>
      <c r="Q84"/>
    </row>
    <row r="85" spans="3:28" s="24" customFormat="1" ht="15.75" customHeight="1">
      <c r="C85" s="33"/>
      <c r="D85" s="33" t="str">
        <f>IF(Indice_index!$Z$1=1,"novembro","November")</f>
        <v>November</v>
      </c>
      <c r="E85" s="33">
        <v>35949.176666640007</v>
      </c>
      <c r="F85" s="33">
        <v>37198.639503879996</v>
      </c>
      <c r="G85" s="33">
        <v>44542.026323209997</v>
      </c>
      <c r="H85" s="33">
        <v>44633.816127459984</v>
      </c>
      <c r="I85" s="33">
        <f>IF(F85="","",+F85-H85)</f>
        <v>-7435.1766235799878</v>
      </c>
      <c r="J85" s="206">
        <f>IF(F85="","",IF(E85=0,"-",(F85-E85)/E85))</f>
        <v>3.4756368659743506E-2</v>
      </c>
      <c r="K85" s="206">
        <f>IF(H85="","",IF(G85=0,"-",(H85-G85)/G85))</f>
        <v>2.0607460375496535E-3</v>
      </c>
      <c r="L85" s="221"/>
      <c r="M85" s="221"/>
      <c r="N85" s="221"/>
      <c r="O85" s="221"/>
      <c r="P85" s="221"/>
      <c r="Q85" s="221"/>
      <c r="Z85" s="42"/>
      <c r="AA85" s="42"/>
      <c r="AB85" s="42"/>
    </row>
    <row r="86" spans="3:28" s="24" customFormat="1" ht="15.75" customHeight="1">
      <c r="C86" s="33"/>
      <c r="D86" s="33" t="str">
        <f>IF(Indice_index!$Z$1=1,"dezembro","December")</f>
        <v>December</v>
      </c>
      <c r="E86" s="33">
        <v>41216.06146099</v>
      </c>
      <c r="F86" s="33">
        <v>41311.396839840003</v>
      </c>
      <c r="G86" s="33">
        <v>48880.595189239997</v>
      </c>
      <c r="H86" s="33">
        <v>48403.895765339992</v>
      </c>
      <c r="I86" s="33">
        <f>IF(F86="","",+F86-H86)</f>
        <v>-7092.4989254999891</v>
      </c>
      <c r="J86" s="206">
        <f>IF(F86="","",IF(E86=0,"-",(F86-E86)/E86))</f>
        <v>2.3130637783097064E-3</v>
      </c>
      <c r="K86" s="206">
        <f>IF(H86="","",IF(G86=0,"-",(H86-G86)/G86))</f>
        <v>-9.7523244562484398E-3</v>
      </c>
      <c r="L86" s="221"/>
      <c r="M86" s="221"/>
      <c r="N86" s="221"/>
      <c r="O86" s="221"/>
      <c r="P86" s="221"/>
      <c r="Q86" s="221"/>
      <c r="Z86" s="42"/>
      <c r="AA86" s="42"/>
      <c r="AB86" s="42"/>
    </row>
    <row r="87" spans="3:28" ht="15.75" customHeight="1">
      <c r="D87" s="32"/>
      <c r="E87" s="32"/>
      <c r="F87" s="32"/>
      <c r="G87" s="32"/>
      <c r="H87" s="32"/>
      <c r="I87" s="33"/>
      <c r="J87" s="34"/>
      <c r="K87" s="34"/>
      <c r="M87" s="30"/>
      <c r="O87" s="256"/>
      <c r="P87" s="256"/>
      <c r="Q87" s="256"/>
    </row>
    <row r="88" spans="3:28" s="35" customFormat="1" ht="15.75" customHeight="1">
      <c r="C88" s="20" t="s">
        <v>23</v>
      </c>
      <c r="D88" s="71" t="str">
        <f>IF(Indice_index!$Z$1=1,"janeiro","January")</f>
        <v>January</v>
      </c>
      <c r="E88" s="71">
        <v>3347.6216923000002</v>
      </c>
      <c r="F88" s="71">
        <v>3129.7024166199994</v>
      </c>
      <c r="G88" s="71">
        <v>3522.9457239799995</v>
      </c>
      <c r="H88" s="71">
        <v>3547.7418319999992</v>
      </c>
      <c r="I88" s="71">
        <f>IF(F88="","",+F88-H88)</f>
        <v>-418.03941537999981</v>
      </c>
      <c r="J88" s="204">
        <f>IF(F88="","",IF(E88=0,"-",(F88-E88)/E88))</f>
        <v>-6.5096745005938289E-2</v>
      </c>
      <c r="K88" s="204">
        <f>IF(H88="","",IF(G88=0,"-",(H88-G88)/G88))</f>
        <v>7.0384587111909092E-3</v>
      </c>
      <c r="L88"/>
      <c r="M88" s="203"/>
      <c r="O88" s="257"/>
      <c r="P88" s="257"/>
      <c r="Q88" s="256"/>
      <c r="Z88" s="2"/>
      <c r="AA88" s="2"/>
      <c r="AB88" s="2"/>
    </row>
    <row r="89" spans="3:28" s="35" customFormat="1" ht="15.75" customHeight="1">
      <c r="C89" s="71"/>
      <c r="D89" s="71" t="str">
        <f>IF(Indice_index!$Z$1=1,"fevereiro","February")</f>
        <v>February</v>
      </c>
      <c r="E89" s="71">
        <v>6872.2773590799989</v>
      </c>
      <c r="F89" s="71">
        <v>6941.18559903</v>
      </c>
      <c r="G89" s="71">
        <v>7449.3851796200006</v>
      </c>
      <c r="H89" s="71">
        <v>7911.4297649099981</v>
      </c>
      <c r="I89" s="71">
        <f>IF(F89="","",+F89-H89)</f>
        <v>-970.24416587999804</v>
      </c>
      <c r="J89" s="204">
        <f t="shared" ref="J89:J97" si="18">IF(F89="","",IF(E89=0,"-",(F89-E89)/E89))</f>
        <v>1.0026987612622495E-2</v>
      </c>
      <c r="K89" s="204">
        <f t="shared" ref="K89:K97" si="19">IF(H89="","",IF(G89=0,"-",(H89-G89)/G89))</f>
        <v>6.2024526071501482E-2</v>
      </c>
      <c r="L89"/>
      <c r="M89" s="203"/>
      <c r="O89" s="257"/>
      <c r="P89" s="258"/>
      <c r="Q89" s="257"/>
      <c r="Z89" s="2"/>
      <c r="AA89" s="2"/>
      <c r="AB89" s="2"/>
    </row>
    <row r="90" spans="3:28" s="35" customFormat="1" ht="15.75" customHeight="1">
      <c r="C90" s="71"/>
      <c r="D90" s="71" t="str">
        <f>IF(Indice_index!$Z$1=1,"março","March")</f>
        <v>March</v>
      </c>
      <c r="E90" s="71">
        <v>9346.5399540699982</v>
      </c>
      <c r="F90" s="71">
        <v>9881.7677151700009</v>
      </c>
      <c r="G90" s="71">
        <v>10824.253915879999</v>
      </c>
      <c r="H90" s="71">
        <v>11431.25275544</v>
      </c>
      <c r="I90" s="71">
        <f t="shared" ref="I90:I97" si="20">IF(F90="","",+F90-H90)</f>
        <v>-1549.4850402699994</v>
      </c>
      <c r="J90" s="204">
        <f t="shared" si="18"/>
        <v>5.7264802133214554E-2</v>
      </c>
      <c r="K90" s="204">
        <f t="shared" si="19"/>
        <v>5.6077660804823508E-2</v>
      </c>
      <c r="L90"/>
      <c r="M90" s="203"/>
      <c r="O90" s="257"/>
      <c r="P90" s="257"/>
      <c r="Q90" s="257"/>
      <c r="Z90" s="2"/>
      <c r="AA90" s="2"/>
      <c r="AB90" s="2"/>
    </row>
    <row r="91" spans="3:28" s="35" customFormat="1" ht="15.75" customHeight="1">
      <c r="C91" s="71"/>
      <c r="D91" s="71" t="str">
        <f>IF(Indice_index!$Z$1=1,"abril","April")</f>
        <v>April</v>
      </c>
      <c r="E91" s="71">
        <v>12144.840958160001</v>
      </c>
      <c r="F91" s="71">
        <v>12881.780260279998</v>
      </c>
      <c r="G91" s="71">
        <v>14874.133952060009</v>
      </c>
      <c r="H91" s="71">
        <v>15728.559808169999</v>
      </c>
      <c r="I91" s="71">
        <f t="shared" si="20"/>
        <v>-2846.7795478900007</v>
      </c>
      <c r="J91" s="204">
        <f t="shared" si="18"/>
        <v>6.0679205652738932E-2</v>
      </c>
      <c r="K91" s="204">
        <f t="shared" si="19"/>
        <v>5.744373816074555E-2</v>
      </c>
      <c r="L91"/>
      <c r="M91" s="203"/>
      <c r="N91"/>
      <c r="O91"/>
      <c r="P91"/>
      <c r="Q91"/>
      <c r="Z91" s="2"/>
      <c r="AA91" s="2"/>
      <c r="AB91" s="2"/>
    </row>
    <row r="92" spans="3:28" s="35" customFormat="1" ht="15.75" customHeight="1">
      <c r="C92" s="71"/>
      <c r="D92" s="71" t="str">
        <f>IF(Indice_index!$Z$1=1,"maio","May")</f>
        <v>May</v>
      </c>
      <c r="E92" s="71">
        <v>16193.945441709999</v>
      </c>
      <c r="F92" s="71">
        <v>16973.64095864</v>
      </c>
      <c r="G92" s="71">
        <v>18562.50819822001</v>
      </c>
      <c r="H92" s="71">
        <v>19558.437705079999</v>
      </c>
      <c r="I92" s="71">
        <f t="shared" si="20"/>
        <v>-2584.796746439999</v>
      </c>
      <c r="J92" s="204">
        <f t="shared" si="18"/>
        <v>4.8147347398230449E-2</v>
      </c>
      <c r="K92" s="204">
        <f t="shared" si="19"/>
        <v>5.3652744350329275E-2</v>
      </c>
      <c r="M92"/>
      <c r="N92"/>
      <c r="O92"/>
      <c r="P92"/>
      <c r="Q92"/>
      <c r="Z92" s="2"/>
      <c r="AA92" s="2"/>
      <c r="AB92" s="2"/>
    </row>
    <row r="93" spans="3:28" s="35" customFormat="1" ht="15.75" customHeight="1">
      <c r="C93" s="71"/>
      <c r="D93" s="28" t="str">
        <f>IF(Indice_index!$Z$1=1,"junho","June")</f>
        <v>June</v>
      </c>
      <c r="E93" s="28">
        <v>19021.96208619</v>
      </c>
      <c r="F93" s="28">
        <v>19935.125493569998</v>
      </c>
      <c r="G93" s="28">
        <v>24313.460831789995</v>
      </c>
      <c r="H93" s="28">
        <v>25063.281130730003</v>
      </c>
      <c r="I93" s="28">
        <f t="shared" si="20"/>
        <v>-5128.1556371600054</v>
      </c>
      <c r="J93" s="226">
        <f t="shared" si="18"/>
        <v>4.80057421648925E-2</v>
      </c>
      <c r="K93" s="226">
        <f t="shared" si="19"/>
        <v>3.0839718957640712E-2</v>
      </c>
      <c r="L93"/>
      <c r="M93"/>
      <c r="N93"/>
      <c r="O93"/>
      <c r="P93"/>
      <c r="Q93"/>
      <c r="Z93" s="2"/>
      <c r="AA93" s="2"/>
      <c r="AB93" s="2"/>
    </row>
    <row r="94" spans="3:28" s="35" customFormat="1" ht="15.75" customHeight="1">
      <c r="C94" s="71"/>
      <c r="D94" s="33" t="str">
        <f>IF(Indice_index!$Z$1=1,"julho","July")</f>
        <v>July</v>
      </c>
      <c r="E94" s="33">
        <v>22394.967315039998</v>
      </c>
      <c r="F94" s="33">
        <v>23222.096905969996</v>
      </c>
      <c r="G94" s="33">
        <v>29023.985729220003</v>
      </c>
      <c r="H94" s="33">
        <v>29714.251007250004</v>
      </c>
      <c r="I94" s="33">
        <f t="shared" si="20"/>
        <v>-6492.154101280008</v>
      </c>
      <c r="J94" s="206">
        <f t="shared" si="18"/>
        <v>3.6933726193675472E-2</v>
      </c>
      <c r="K94" s="206">
        <f t="shared" si="19"/>
        <v>2.378258053424669E-2</v>
      </c>
      <c r="L94"/>
      <c r="M94"/>
      <c r="N94"/>
      <c r="O94"/>
      <c r="P94"/>
      <c r="Q94"/>
      <c r="Z94" s="2"/>
      <c r="AA94" s="2"/>
      <c r="AB94" s="2"/>
    </row>
    <row r="95" spans="3:28" s="35" customFormat="1" ht="15.75" customHeight="1">
      <c r="C95" s="71"/>
      <c r="D95" s="33" t="str">
        <f>IF(Indice_index!$Z$1=1,"agosto","August")</f>
        <v>August</v>
      </c>
      <c r="E95" s="33">
        <v>26597.320784509997</v>
      </c>
      <c r="F95" s="33">
        <v>27869.661134359998</v>
      </c>
      <c r="G95" s="33">
        <v>32262.193775840002</v>
      </c>
      <c r="H95" s="33">
        <v>33102.96175930999</v>
      </c>
      <c r="I95" s="33">
        <f t="shared" si="20"/>
        <v>-5233.3006249499922</v>
      </c>
      <c r="J95" s="206">
        <f t="shared" si="18"/>
        <v>4.7837162252485181E-2</v>
      </c>
      <c r="K95" s="206">
        <f t="shared" si="19"/>
        <v>2.6060471563456089E-2</v>
      </c>
      <c r="L95"/>
      <c r="M95"/>
      <c r="N95"/>
      <c r="O95"/>
      <c r="P95"/>
      <c r="Q95"/>
      <c r="Z95" s="2"/>
      <c r="AA95" s="2"/>
      <c r="AB95" s="2"/>
    </row>
    <row r="96" spans="3:28" s="35" customFormat="1" ht="15.75" customHeight="1">
      <c r="C96" s="33"/>
      <c r="D96" s="33" t="str">
        <f>IF(Indice_index!$Z$1=1,"setembro","September")</f>
        <v>September</v>
      </c>
      <c r="E96" s="33">
        <v>30622.318921359994</v>
      </c>
      <c r="F96" s="33">
        <v>32112.371813720001</v>
      </c>
      <c r="G96" s="33">
        <v>35799.926084090017</v>
      </c>
      <c r="H96" s="33">
        <v>36367.757157459986</v>
      </c>
      <c r="I96" s="33">
        <f t="shared" si="20"/>
        <v>-4255.3853437399848</v>
      </c>
      <c r="J96" s="206">
        <f t="shared" si="18"/>
        <v>4.8659048199013101E-2</v>
      </c>
      <c r="K96" s="206">
        <f t="shared" si="19"/>
        <v>1.5861235915297631E-2</v>
      </c>
      <c r="L96"/>
      <c r="M96"/>
      <c r="N96"/>
      <c r="O96"/>
      <c r="P96"/>
      <c r="Q96"/>
      <c r="Z96" s="2"/>
      <c r="AA96" s="2"/>
      <c r="AB96" s="2"/>
    </row>
    <row r="97" spans="3:28" ht="15.75" customHeight="1">
      <c r="C97" s="33"/>
      <c r="D97" s="33" t="str">
        <f>IF(Indice_index!$Z$1=1,"outubro","October")</f>
        <v>October</v>
      </c>
      <c r="E97" s="33">
        <v>33625.662460430009</v>
      </c>
      <c r="F97" s="33">
        <v>35224.437615720002</v>
      </c>
      <c r="G97" s="33">
        <v>40696.637479889985</v>
      </c>
      <c r="H97" s="33">
        <v>41337.442813879985</v>
      </c>
      <c r="I97" s="33">
        <f t="shared" si="20"/>
        <v>-6113.0051981599827</v>
      </c>
      <c r="J97" s="206">
        <f t="shared" si="18"/>
        <v>4.7546279784715005E-2</v>
      </c>
      <c r="K97" s="206">
        <f t="shared" si="19"/>
        <v>1.5745903683237961E-2</v>
      </c>
      <c r="M97"/>
      <c r="N97"/>
      <c r="O97"/>
      <c r="P97"/>
      <c r="Q97"/>
    </row>
    <row r="98" spans="3:28" s="24" customFormat="1" ht="15.75" customHeight="1">
      <c r="C98" s="33"/>
      <c r="D98" s="33" t="str">
        <f>IF(Indice_index!$Z$1=1,"novembro","November")</f>
        <v>November</v>
      </c>
      <c r="E98" s="33">
        <v>37218.336771850001</v>
      </c>
      <c r="F98" s="33">
        <v>38890.425989989999</v>
      </c>
      <c r="G98" s="33">
        <v>44633.823483110013</v>
      </c>
      <c r="H98" s="33">
        <v>45005.892768899976</v>
      </c>
      <c r="I98" s="33">
        <f>IF(F98="","",+F98-H98)</f>
        <v>-6115.4667789099767</v>
      </c>
      <c r="J98" s="206">
        <f>IF(F98="","",IF(E98=0,"-",(F98-E98)/E98))</f>
        <v>4.4926489552447664E-2</v>
      </c>
      <c r="K98" s="206">
        <f>IF(H98="","",IF(G98=0,"-",(H98-G98)/G98))</f>
        <v>8.3360388323164523E-3</v>
      </c>
      <c r="L98" s="221"/>
      <c r="M98" s="221"/>
      <c r="N98" s="221"/>
      <c r="O98" s="221"/>
      <c r="P98" s="221"/>
      <c r="Q98" s="221"/>
      <c r="Z98" s="42"/>
      <c r="AA98" s="42"/>
      <c r="AB98" s="42"/>
    </row>
    <row r="99" spans="3:28" s="24" customFormat="1" ht="15.75" customHeight="1">
      <c r="C99" s="33"/>
      <c r="D99" s="33" t="str">
        <f>IF(Indice_index!$Z$1=1,"dezembro","December")</f>
        <v>December</v>
      </c>
      <c r="E99" s="33">
        <v>41329.370543869998</v>
      </c>
      <c r="F99" s="33">
        <v>42887.065971920005</v>
      </c>
      <c r="G99" s="33">
        <v>48457.294034290004</v>
      </c>
      <c r="H99" s="33">
        <v>48493.498714890004</v>
      </c>
      <c r="I99" s="33">
        <f>IF(F99="","",+F99-H99)</f>
        <v>-5606.4327429699988</v>
      </c>
      <c r="J99" s="206">
        <f>IF(F99="","",IF(E99=0,"-",(F99-E99)/E99))</f>
        <v>3.7689793179805524E-2</v>
      </c>
      <c r="K99" s="206">
        <f>IF(H99="","",IF(G99=0,"-",(H99-G99)/G99))</f>
        <v>7.4714614840812614E-4</v>
      </c>
      <c r="L99" s="221"/>
      <c r="M99" s="221"/>
      <c r="N99" s="221"/>
      <c r="O99" s="221"/>
      <c r="P99" s="221"/>
      <c r="Q99" s="221"/>
      <c r="Z99" s="42"/>
      <c r="AA99" s="42"/>
      <c r="AB99" s="42"/>
    </row>
    <row r="100" spans="3:28" ht="15.75" customHeight="1">
      <c r="D100" s="32"/>
      <c r="E100" s="32"/>
      <c r="F100" s="32"/>
      <c r="G100" s="32"/>
      <c r="H100" s="32"/>
      <c r="I100" s="33"/>
      <c r="J100" s="34"/>
      <c r="K100" s="34"/>
      <c r="M100" s="30"/>
      <c r="O100" s="256"/>
      <c r="P100" s="256"/>
      <c r="Q100" s="256"/>
    </row>
    <row r="101" spans="3:28" s="35" customFormat="1" ht="15.75" customHeight="1">
      <c r="C101" s="20" t="s">
        <v>97</v>
      </c>
      <c r="D101" s="71" t="str">
        <f>IF(Indice_index!$Z$1=1,"janeiro","January")</f>
        <v>January</v>
      </c>
      <c r="E101" s="71">
        <v>3139.3484322699996</v>
      </c>
      <c r="F101" s="71">
        <v>3347.0295941700001</v>
      </c>
      <c r="G101" s="71">
        <v>3547.7435720000003</v>
      </c>
      <c r="H101" s="71">
        <v>3585.1964197899988</v>
      </c>
      <c r="I101" s="71">
        <f>IF(F101="","",+F101-H101)</f>
        <v>-238.16682561999869</v>
      </c>
      <c r="J101" s="204">
        <f>IF(F101="","",IF(E101=0,"-",(F101-E101)/E101))</f>
        <v>6.6154224795567027E-2</v>
      </c>
      <c r="K101" s="204">
        <f>IF(H101="","",IF(G101=0,"-",(H101-G101)/G101))</f>
        <v>1.0556808018930429E-2</v>
      </c>
      <c r="L101"/>
      <c r="M101" s="203"/>
      <c r="O101" s="257"/>
      <c r="P101" s="257"/>
      <c r="Q101" s="256"/>
      <c r="Z101" s="2"/>
      <c r="AA101" s="2"/>
      <c r="AB101" s="2"/>
    </row>
    <row r="102" spans="3:28" s="35" customFormat="1" ht="15.75" customHeight="1">
      <c r="C102" s="71"/>
      <c r="D102" s="71" t="str">
        <f>IF(Indice_index!$Z$1=1,"fevereiro","February")</f>
        <v>February</v>
      </c>
      <c r="E102" s="71">
        <v>6948.5731441500002</v>
      </c>
      <c r="F102" s="71">
        <v>7104.7198634300003</v>
      </c>
      <c r="G102" s="71">
        <v>7911.4297649100008</v>
      </c>
      <c r="H102" s="71">
        <v>8310.6510861900024</v>
      </c>
      <c r="I102" s="71">
        <f>IF(F102="","",+F102-H102)</f>
        <v>-1205.9312227600021</v>
      </c>
      <c r="J102" s="204">
        <f t="shared" ref="J102:J110" si="21">IF(F102="","",IF(E102=0,"-",(F102-E102)/E102))</f>
        <v>2.2471767374494706E-2</v>
      </c>
      <c r="K102" s="204">
        <f t="shared" ref="K102:K110" si="22">IF(H102="","",IF(G102=0,"-",(H102-G102)/G102))</f>
        <v>5.0461336716997707E-2</v>
      </c>
      <c r="L102"/>
      <c r="M102" s="203"/>
      <c r="O102" s="257"/>
      <c r="P102" s="258"/>
      <c r="Q102" s="257"/>
      <c r="Z102" s="2"/>
      <c r="AA102" s="2"/>
      <c r="AB102" s="2"/>
    </row>
    <row r="103" spans="3:28" s="35" customFormat="1" ht="15.75" customHeight="1">
      <c r="C103" s="71"/>
      <c r="D103" s="71" t="str">
        <f>IF(Indice_index!$Z$1=1,"março","March")</f>
        <v>March</v>
      </c>
      <c r="E103" s="71">
        <v>9889.4702214400004</v>
      </c>
      <c r="F103" s="71">
        <v>9843.9334579399983</v>
      </c>
      <c r="G103" s="71">
        <v>11431.252755439997</v>
      </c>
      <c r="H103" s="71">
        <v>11805.141066449998</v>
      </c>
      <c r="I103" s="71">
        <f t="shared" ref="I103:I110" si="23">IF(F103="","",+F103-H103)</f>
        <v>-1961.2076085099998</v>
      </c>
      <c r="J103" s="204">
        <f t="shared" si="21"/>
        <v>-4.6045705665082098E-3</v>
      </c>
      <c r="K103" s="204">
        <f t="shared" si="22"/>
        <v>3.2707553494700961E-2</v>
      </c>
      <c r="L103"/>
      <c r="M103" s="203"/>
      <c r="O103" s="257"/>
      <c r="P103" s="257"/>
      <c r="Q103" s="257"/>
      <c r="Z103" s="2"/>
      <c r="AA103" s="2"/>
      <c r="AB103" s="2"/>
    </row>
    <row r="104" spans="3:28" s="35" customFormat="1" ht="15.75" customHeight="1">
      <c r="C104" s="71"/>
      <c r="D104" s="71" t="str">
        <f>IF(Indice_index!$Z$1=1,"abril","April")</f>
        <v>April</v>
      </c>
      <c r="E104" s="71">
        <v>12896.381322060002</v>
      </c>
      <c r="F104" s="71">
        <v>13116.564520420001</v>
      </c>
      <c r="G104" s="71">
        <v>15728.50918316999</v>
      </c>
      <c r="H104" s="71">
        <v>16018.286429889993</v>
      </c>
      <c r="I104" s="71">
        <f t="shared" si="23"/>
        <v>-2901.7219094699922</v>
      </c>
      <c r="J104" s="204">
        <f t="shared" si="21"/>
        <v>1.7073254338669609E-2</v>
      </c>
      <c r="K104" s="204">
        <f t="shared" si="22"/>
        <v>1.8423694410279769E-2</v>
      </c>
      <c r="L104"/>
      <c r="M104" s="203"/>
      <c r="N104"/>
      <c r="O104"/>
      <c r="P104"/>
      <c r="Q104"/>
      <c r="Z104" s="2"/>
      <c r="AA104" s="2"/>
      <c r="AB104" s="2"/>
    </row>
    <row r="105" spans="3:28" s="35" customFormat="1" ht="15.75" customHeight="1">
      <c r="C105" s="71"/>
      <c r="D105" s="71" t="str">
        <f>IF(Indice_index!$Z$1=1,"maio","May")</f>
        <v>May</v>
      </c>
      <c r="E105" s="71">
        <v>16987.53040616</v>
      </c>
      <c r="F105" s="71">
        <v>17539.215717320003</v>
      </c>
      <c r="G105" s="71">
        <v>19558.437705079996</v>
      </c>
      <c r="H105" s="71">
        <v>19844.34772268001</v>
      </c>
      <c r="I105" s="71">
        <f t="shared" si="23"/>
        <v>-2305.1320053600066</v>
      </c>
      <c r="J105" s="204">
        <f t="shared" si="21"/>
        <v>3.2475898377786069E-2</v>
      </c>
      <c r="K105" s="204">
        <f t="shared" si="22"/>
        <v>1.4618244151768482E-2</v>
      </c>
      <c r="M105"/>
      <c r="N105"/>
      <c r="O105"/>
      <c r="P105"/>
      <c r="Q105"/>
      <c r="Z105" s="2"/>
      <c r="AA105" s="2"/>
      <c r="AB105" s="2"/>
    </row>
    <row r="106" spans="3:28" s="35" customFormat="1" ht="15.75" customHeight="1">
      <c r="C106" s="71"/>
      <c r="D106" s="28" t="str">
        <f>IF(Indice_index!$Z$1=1,"junho","June")</f>
        <v>June</v>
      </c>
      <c r="E106" s="28">
        <v>19896.870416670001</v>
      </c>
      <c r="F106" s="28">
        <v>20479.755156169998</v>
      </c>
      <c r="G106" s="28">
        <v>25063.281130729993</v>
      </c>
      <c r="H106" s="28">
        <v>25295.634879329999</v>
      </c>
      <c r="I106" s="28">
        <f t="shared" si="23"/>
        <v>-4815.8797231600001</v>
      </c>
      <c r="J106" s="226">
        <f t="shared" si="21"/>
        <v>2.9295297566578355E-2</v>
      </c>
      <c r="K106" s="226">
        <f t="shared" si="22"/>
        <v>9.2706835704411388E-3</v>
      </c>
      <c r="L106"/>
      <c r="M106"/>
      <c r="N106"/>
      <c r="O106"/>
      <c r="P106"/>
      <c r="Q106"/>
      <c r="Z106" s="2"/>
      <c r="AA106" s="2"/>
      <c r="AB106" s="2"/>
    </row>
    <row r="107" spans="3:28" s="35" customFormat="1" ht="15.75" customHeight="1">
      <c r="C107" s="71"/>
      <c r="D107" s="33" t="str">
        <f>IF(Indice_index!$Z$1=1,"julho","July")</f>
        <v>July</v>
      </c>
      <c r="E107" s="33">
        <v>23225.913328989995</v>
      </c>
      <c r="F107" s="33">
        <v>23783.745032369996</v>
      </c>
      <c r="G107" s="33">
        <v>29700.431653579999</v>
      </c>
      <c r="H107" s="33">
        <v>30267.128245129996</v>
      </c>
      <c r="I107" s="33">
        <f t="shared" si="23"/>
        <v>-6483.3832127599999</v>
      </c>
      <c r="J107" s="206">
        <f t="shared" si="21"/>
        <v>2.401764337438261E-2</v>
      </c>
      <c r="K107" s="206">
        <f t="shared" si="22"/>
        <v>1.9080416007411425E-2</v>
      </c>
      <c r="L107"/>
      <c r="M107"/>
      <c r="N107"/>
      <c r="O107"/>
      <c r="P107"/>
      <c r="Q107"/>
      <c r="Z107" s="2"/>
      <c r="AA107" s="2"/>
      <c r="AB107" s="2"/>
    </row>
    <row r="108" spans="3:28" s="35" customFormat="1" ht="15.75" customHeight="1">
      <c r="C108" s="71"/>
      <c r="D108" s="33" t="str">
        <f>IF(Indice_index!$Z$1=1,"agosto","August")</f>
        <v>August</v>
      </c>
      <c r="E108" s="33">
        <v>27887.424954229999</v>
      </c>
      <c r="F108" s="33">
        <v>27855.30207342</v>
      </c>
      <c r="G108" s="33">
        <v>33102.96175930999</v>
      </c>
      <c r="H108" s="33">
        <v>33844.857332740015</v>
      </c>
      <c r="I108" s="33">
        <f t="shared" si="23"/>
        <v>-5989.5552593200155</v>
      </c>
      <c r="J108" s="206">
        <f t="shared" si="21"/>
        <v>-1.151876907341571E-3</v>
      </c>
      <c r="K108" s="206">
        <f t="shared" si="22"/>
        <v>2.2411758163040259E-2</v>
      </c>
      <c r="L108"/>
      <c r="M108"/>
      <c r="N108"/>
      <c r="O108"/>
      <c r="P108"/>
      <c r="Q108"/>
      <c r="Z108" s="2"/>
      <c r="AA108" s="2"/>
      <c r="AB108" s="2"/>
    </row>
    <row r="109" spans="3:28" s="35" customFormat="1" ht="15.75" customHeight="1">
      <c r="C109" s="33"/>
      <c r="D109" s="33" t="str">
        <f>IF(Indice_index!$Z$1=1,"setembro","September")</f>
        <v>September</v>
      </c>
      <c r="E109" s="33">
        <v>32131.011831209995</v>
      </c>
      <c r="F109" s="33">
        <v>32310.80791421</v>
      </c>
      <c r="G109" s="33">
        <v>36367.757157459986</v>
      </c>
      <c r="H109" s="33">
        <v>37277.679034519992</v>
      </c>
      <c r="I109" s="33">
        <f t="shared" si="23"/>
        <v>-4966.871120309992</v>
      </c>
      <c r="J109" s="206">
        <f t="shared" si="21"/>
        <v>5.5957180540876211E-3</v>
      </c>
      <c r="K109" s="206">
        <f t="shared" si="22"/>
        <v>2.5020016305112084E-2</v>
      </c>
      <c r="L109"/>
      <c r="M109"/>
      <c r="N109"/>
      <c r="O109"/>
      <c r="P109"/>
      <c r="Q109"/>
      <c r="Z109" s="2"/>
      <c r="AA109" s="2"/>
      <c r="AB109" s="2"/>
    </row>
    <row r="110" spans="3:28" ht="15.75" customHeight="1">
      <c r="C110" s="33"/>
      <c r="D110" s="33" t="str">
        <f>IF(Indice_index!$Z$1=1,"outubro","October")</f>
        <v>October</v>
      </c>
      <c r="E110" s="33">
        <v>35250.226169720001</v>
      </c>
      <c r="F110" s="33">
        <v>35562.74106167</v>
      </c>
      <c r="G110" s="33">
        <v>41337.442813879963</v>
      </c>
      <c r="H110" s="33">
        <v>42220.539408960009</v>
      </c>
      <c r="I110" s="33">
        <f t="shared" si="23"/>
        <v>-6657.7983472900087</v>
      </c>
      <c r="J110" s="206">
        <f t="shared" si="21"/>
        <v>8.8656138104001615E-3</v>
      </c>
      <c r="K110" s="206">
        <f t="shared" si="22"/>
        <v>2.1363116220230398E-2</v>
      </c>
      <c r="M110"/>
      <c r="N110"/>
      <c r="O110"/>
      <c r="P110"/>
      <c r="Q110"/>
    </row>
    <row r="111" spans="3:28" s="24" customFormat="1" ht="15.75" customHeight="1">
      <c r="C111" s="33"/>
      <c r="D111" s="33" t="str">
        <f>IF(Indice_index!$Z$1=1,"novembro","November")</f>
        <v>November</v>
      </c>
      <c r="E111" s="33">
        <v>38904.918743350005</v>
      </c>
      <c r="F111" s="33">
        <v>39347.189908240005</v>
      </c>
      <c r="G111" s="33">
        <v>45005.892768899976</v>
      </c>
      <c r="H111" s="33">
        <v>45887.275491189997</v>
      </c>
      <c r="I111" s="33">
        <f>IF(F111="","",+F111-H111)</f>
        <v>-6540.0855829499924</v>
      </c>
      <c r="J111" s="206">
        <f>IF(F111="","",IF(E111=0,"-",(F111-E111)/E111))</f>
        <v>1.1368001249600284E-2</v>
      </c>
      <c r="K111" s="206">
        <f>IF(H111="","",IF(G111=0,"-",(H111-G111)/G111))</f>
        <v>1.9583718221429791E-2</v>
      </c>
      <c r="L111" s="221"/>
      <c r="M111" s="221"/>
      <c r="N111" s="221"/>
      <c r="O111" s="221"/>
      <c r="P111" s="221"/>
      <c r="Q111" s="221"/>
      <c r="Z111" s="42"/>
      <c r="AA111" s="42"/>
      <c r="AB111" s="42"/>
    </row>
    <row r="112" spans="3:28" s="24" customFormat="1" ht="15.75" customHeight="1">
      <c r="C112" s="33"/>
      <c r="D112" s="33" t="str">
        <f>IF(Indice_index!$Z$1=1,"dezembro","December")</f>
        <v>December</v>
      </c>
      <c r="E112" s="33">
        <v>42887.065971920005</v>
      </c>
      <c r="F112" s="33">
        <v>44229.180940949998</v>
      </c>
      <c r="G112" s="33">
        <v>48493.498714890004</v>
      </c>
      <c r="H112" s="33">
        <v>50361.404708300004</v>
      </c>
      <c r="I112" s="33">
        <f>IF(F112="","",+F112-H112)</f>
        <v>-6132.2237673500058</v>
      </c>
      <c r="J112" s="206">
        <f>IF(F112="","",IF(E112=0,"-",(F112-E112)/E112))</f>
        <v>3.129416616909008E-2</v>
      </c>
      <c r="K112" s="206">
        <f>IF(H112="","",IF(G112=0,"-",(H112-G112)/G112))</f>
        <v>3.8518688956473604E-2</v>
      </c>
      <c r="L112" s="221"/>
      <c r="M112" s="221"/>
      <c r="N112" s="221"/>
      <c r="O112" s="221"/>
      <c r="P112" s="221"/>
      <c r="Q112" s="221"/>
      <c r="Z112" s="42"/>
      <c r="AA112" s="42"/>
      <c r="AB112" s="42"/>
    </row>
    <row r="113" spans="2:28" ht="15.75" customHeight="1">
      <c r="B113" s="24"/>
      <c r="C113" s="24"/>
      <c r="D113" s="33"/>
      <c r="E113" s="33"/>
      <c r="F113" s="33"/>
      <c r="G113" s="33"/>
      <c r="H113" s="33"/>
      <c r="I113" s="33"/>
      <c r="J113" s="55"/>
      <c r="K113" s="55"/>
      <c r="M113" s="30"/>
      <c r="O113" s="256"/>
      <c r="P113" s="256"/>
      <c r="Q113" s="256"/>
    </row>
    <row r="114" spans="2:28" s="35" customFormat="1" ht="15.75" customHeight="1">
      <c r="C114" s="20" t="s">
        <v>114</v>
      </c>
      <c r="D114" s="71" t="str">
        <f>IF(Indice_index!$Z$1=1,"janeiro","January")</f>
        <v>January</v>
      </c>
      <c r="E114" s="71">
        <v>3500.1873409199998</v>
      </c>
      <c r="F114" s="71">
        <v>3080.77739195</v>
      </c>
      <c r="G114" s="71">
        <v>3585.1964197899988</v>
      </c>
      <c r="H114" s="71">
        <v>3575.4330316800001</v>
      </c>
      <c r="I114" s="71">
        <f t="shared" ref="I114:I125" si="24">IF(F114="","",+F114-H114)</f>
        <v>-494.65563973000008</v>
      </c>
      <c r="J114" s="204">
        <f t="shared" ref="J114:J125" si="25">IF(F114="","",IF(E114=0,"-",(F114-E114)/E114))</f>
        <v>-0.11982500024120445</v>
      </c>
      <c r="K114" s="204">
        <f t="shared" ref="K114:K125" si="26">IF(H114="","",IF(G114=0,"-",(H114-G114)/G114))</f>
        <v>-2.7232505466382711E-3</v>
      </c>
      <c r="L114"/>
      <c r="M114" s="203"/>
      <c r="O114" s="257"/>
      <c r="P114" s="257"/>
      <c r="Q114" s="256"/>
      <c r="Z114" s="2"/>
      <c r="AA114" s="2"/>
      <c r="AB114" s="2"/>
    </row>
    <row r="115" spans="2:28" s="35" customFormat="1" ht="15.75" customHeight="1">
      <c r="C115" s="71"/>
      <c r="D115" s="71" t="str">
        <f>IF(Indice_index!$Z$1=1,"fevereiro","February")</f>
        <v>February</v>
      </c>
      <c r="E115" s="71">
        <v>7256.5209181700011</v>
      </c>
      <c r="F115" s="71">
        <v>6927.862198939999</v>
      </c>
      <c r="G115" s="71">
        <v>8310.6237405400007</v>
      </c>
      <c r="H115" s="71">
        <v>8062.3757597100002</v>
      </c>
      <c r="I115" s="71">
        <f t="shared" si="24"/>
        <v>-1134.5135607700013</v>
      </c>
      <c r="J115" s="204">
        <f t="shared" si="25"/>
        <v>-4.529150028453105E-2</v>
      </c>
      <c r="K115" s="204">
        <f t="shared" si="26"/>
        <v>-2.9871161128258463E-2</v>
      </c>
      <c r="L115"/>
      <c r="M115" s="203"/>
      <c r="O115" s="257"/>
      <c r="P115" s="258"/>
      <c r="Q115" s="257"/>
      <c r="Z115" s="2"/>
      <c r="AA115" s="2"/>
      <c r="AB115" s="2"/>
    </row>
    <row r="116" spans="2:28" s="35" customFormat="1" ht="15.75" customHeight="1">
      <c r="C116" s="71"/>
      <c r="D116" s="71" t="str">
        <f>IF(Indice_index!$Z$1=1,"março","March")</f>
        <v>March</v>
      </c>
      <c r="E116" s="71">
        <v>10006.419616620002</v>
      </c>
      <c r="F116" s="71">
        <v>9900.0630134200001</v>
      </c>
      <c r="G116" s="71">
        <v>11805.102892250001</v>
      </c>
      <c r="H116" s="71">
        <v>11599.791751449997</v>
      </c>
      <c r="I116" s="71">
        <f t="shared" si="24"/>
        <v>-1699.7287380299967</v>
      </c>
      <c r="J116" s="204">
        <f t="shared" si="25"/>
        <v>-1.0628837014125453E-2</v>
      </c>
      <c r="K116" s="204">
        <f t="shared" si="26"/>
        <v>-1.739172819364327E-2</v>
      </c>
      <c r="L116"/>
      <c r="M116" s="203"/>
      <c r="O116" s="257"/>
      <c r="P116" s="257"/>
      <c r="Q116" s="257"/>
      <c r="Z116" s="2"/>
      <c r="AA116" s="2"/>
      <c r="AB116" s="2"/>
    </row>
    <row r="117" spans="2:28" s="35" customFormat="1" ht="15.75" customHeight="1">
      <c r="C117" s="71"/>
      <c r="D117" s="71" t="str">
        <f>IF(Indice_index!$Z$1=1,"abril","April")</f>
        <v>April</v>
      </c>
      <c r="E117" s="71">
        <v>13130.735748669997</v>
      </c>
      <c r="F117" s="71">
        <v>12664.091075210003</v>
      </c>
      <c r="G117" s="71">
        <v>16018.279418149996</v>
      </c>
      <c r="H117" s="71">
        <v>15944.264196159997</v>
      </c>
      <c r="I117" s="71">
        <f t="shared" si="24"/>
        <v>-3280.173120949994</v>
      </c>
      <c r="J117" s="204">
        <f t="shared" si="25"/>
        <v>-3.5538349289167603E-2</v>
      </c>
      <c r="K117" s="204">
        <f t="shared" si="26"/>
        <v>-4.6206724241639836E-3</v>
      </c>
      <c r="L117"/>
      <c r="M117" s="203"/>
      <c r="N117"/>
      <c r="O117"/>
      <c r="P117"/>
      <c r="Q117"/>
      <c r="Z117" s="2"/>
      <c r="AA117" s="2"/>
      <c r="AB117" s="2"/>
    </row>
    <row r="118" spans="2:28" s="35" customFormat="1" ht="15.75" customHeight="1">
      <c r="C118" s="71"/>
      <c r="D118" s="71" t="str">
        <f>IF(Indice_index!$Z$1=1,"maio","May")</f>
        <v>May</v>
      </c>
      <c r="E118" s="71">
        <v>17581.881918739997</v>
      </c>
      <c r="F118" s="71">
        <v>16909.85636283</v>
      </c>
      <c r="G118" s="71">
        <v>19844.339750239997</v>
      </c>
      <c r="H118" s="71">
        <v>19687.461685030004</v>
      </c>
      <c r="I118" s="71">
        <f t="shared" si="24"/>
        <v>-2777.6053222000046</v>
      </c>
      <c r="J118" s="204">
        <f t="shared" si="25"/>
        <v>-3.8222617977754995E-2</v>
      </c>
      <c r="K118" s="204">
        <f t="shared" si="26"/>
        <v>-7.9054313312739433E-3</v>
      </c>
      <c r="M118"/>
      <c r="N118"/>
      <c r="O118"/>
      <c r="P118"/>
      <c r="Q118"/>
      <c r="Z118" s="2"/>
      <c r="AA118" s="2"/>
      <c r="AB118" s="2"/>
    </row>
    <row r="119" spans="2:28" s="35" customFormat="1" ht="15.75" customHeight="1">
      <c r="C119" s="71"/>
      <c r="D119" s="28" t="str">
        <f>IF(Indice_index!$Z$1=1,"junho","June")</f>
        <v>June</v>
      </c>
      <c r="E119" s="28">
        <v>20501.132190659999</v>
      </c>
      <c r="F119" s="28">
        <v>20085.21774697</v>
      </c>
      <c r="G119" s="28">
        <v>25295.510889639994</v>
      </c>
      <c r="H119" s="28">
        <v>25135.258121800005</v>
      </c>
      <c r="I119" s="28">
        <f t="shared" si="24"/>
        <v>-5050.040374830005</v>
      </c>
      <c r="J119" s="226">
        <f t="shared" si="25"/>
        <v>-2.0287388999885723E-2</v>
      </c>
      <c r="K119" s="226">
        <f t="shared" si="26"/>
        <v>-6.3352255876208538E-3</v>
      </c>
      <c r="L119"/>
      <c r="M119"/>
      <c r="N119"/>
      <c r="O119"/>
      <c r="P119"/>
      <c r="Q119"/>
      <c r="Z119" s="2"/>
      <c r="AA119" s="2"/>
      <c r="AB119" s="2"/>
    </row>
    <row r="120" spans="2:28" s="35" customFormat="1" ht="15.75" customHeight="1">
      <c r="C120" s="71"/>
      <c r="D120" s="33" t="str">
        <f>IF(Indice_index!$Z$1=1,"julho","July")</f>
        <v>July</v>
      </c>
      <c r="E120" s="33">
        <v>23814.793146410007</v>
      </c>
      <c r="F120" s="33">
        <v>24482.676598749997</v>
      </c>
      <c r="G120" s="33">
        <v>30266.664813179999</v>
      </c>
      <c r="H120" s="33">
        <v>29551.951329130006</v>
      </c>
      <c r="I120" s="33">
        <f t="shared" si="24"/>
        <v>-5069.2747303800097</v>
      </c>
      <c r="J120" s="206">
        <f t="shared" si="25"/>
        <v>2.8044898321557335E-2</v>
      </c>
      <c r="K120" s="206">
        <f t="shared" si="26"/>
        <v>-2.361388307768757E-2</v>
      </c>
      <c r="L120"/>
      <c r="M120"/>
      <c r="N120"/>
      <c r="O120"/>
      <c r="P120"/>
      <c r="Q120"/>
      <c r="Z120" s="2"/>
      <c r="AA120" s="2"/>
      <c r="AB120" s="2"/>
    </row>
    <row r="121" spans="2:28" s="35" customFormat="1" ht="15.75" customHeight="1">
      <c r="C121" s="71"/>
      <c r="D121" s="33" t="str">
        <f>IF(Indice_index!$Z$1=1,"agosto","August")</f>
        <v>August</v>
      </c>
      <c r="E121" s="33">
        <v>27870.851942370002</v>
      </c>
      <c r="F121" s="33">
        <v>28965.858940999999</v>
      </c>
      <c r="G121" s="33">
        <v>33843.90187323001</v>
      </c>
      <c r="H121" s="33">
        <v>33119.053714270005</v>
      </c>
      <c r="I121" s="33">
        <f t="shared" si="24"/>
        <v>-4153.1947732700064</v>
      </c>
      <c r="J121" s="206">
        <f t="shared" si="25"/>
        <v>3.9288608790796896E-2</v>
      </c>
      <c r="K121" s="206">
        <f t="shared" si="26"/>
        <v>-2.1417393351247968E-2</v>
      </c>
      <c r="L121"/>
      <c r="M121"/>
      <c r="N121"/>
      <c r="O121"/>
      <c r="P121"/>
      <c r="Q121"/>
      <c r="Z121" s="2"/>
      <c r="AA121" s="2"/>
      <c r="AB121" s="2"/>
    </row>
    <row r="122" spans="2:28" s="35" customFormat="1" ht="15.75" customHeight="1">
      <c r="C122" s="33"/>
      <c r="D122" s="33" t="str">
        <f>IF(Indice_index!$Z$1=1,"setembro","September")</f>
        <v>September</v>
      </c>
      <c r="E122" s="33">
        <v>32331.404787330004</v>
      </c>
      <c r="F122" s="33">
        <v>33652.051099359989</v>
      </c>
      <c r="G122" s="33">
        <v>37277.689575010001</v>
      </c>
      <c r="H122" s="33">
        <v>36590.12447955001</v>
      </c>
      <c r="I122" s="33">
        <f t="shared" si="24"/>
        <v>-2938.0733801900205</v>
      </c>
      <c r="J122" s="206">
        <f t="shared" si="25"/>
        <v>4.0847167659956378E-2</v>
      </c>
      <c r="K122" s="206">
        <f t="shared" si="26"/>
        <v>-1.844441281899931E-2</v>
      </c>
      <c r="L122" s="358"/>
      <c r="M122" s="358"/>
      <c r="N122"/>
      <c r="O122"/>
      <c r="P122"/>
      <c r="Q122"/>
      <c r="Z122" s="2"/>
      <c r="AA122" s="2"/>
      <c r="AB122" s="2"/>
    </row>
    <row r="123" spans="2:28" ht="15.75" customHeight="1">
      <c r="C123" s="33"/>
      <c r="D123" s="33" t="str">
        <f>IF(Indice_index!$Z$1=1,"outubro","October")</f>
        <v>October</v>
      </c>
      <c r="E123" s="33">
        <v>35582.520448490002</v>
      </c>
      <c r="F123" s="33">
        <v>36940.612629110001</v>
      </c>
      <c r="G123" s="33">
        <v>42220.539410560006</v>
      </c>
      <c r="H123" s="33">
        <v>41457.954067580002</v>
      </c>
      <c r="I123" s="33">
        <f t="shared" si="24"/>
        <v>-4517.3414384700009</v>
      </c>
      <c r="J123" s="206">
        <f t="shared" si="25"/>
        <v>3.8167396898879075E-2</v>
      </c>
      <c r="K123" s="206">
        <f t="shared" si="26"/>
        <v>-1.8061951685753929E-2</v>
      </c>
      <c r="L123" s="358"/>
      <c r="M123" s="358"/>
      <c r="N123" s="358"/>
      <c r="O123" s="358"/>
      <c r="P123"/>
      <c r="Q123"/>
    </row>
    <row r="124" spans="2:28" s="24" customFormat="1" ht="15.75" customHeight="1">
      <c r="C124" s="33"/>
      <c r="D124" s="33" t="str">
        <f>IF(Indice_index!$Z$1=1,"novembro","November")</f>
        <v>November</v>
      </c>
      <c r="E124" s="33">
        <v>39366.560705280011</v>
      </c>
      <c r="F124" s="33">
        <v>40750.029004029995</v>
      </c>
      <c r="G124" s="33">
        <v>45887.133247970021</v>
      </c>
      <c r="H124" s="33">
        <v>45471.514366499992</v>
      </c>
      <c r="I124" s="33">
        <f t="shared" si="24"/>
        <v>-4721.4853624699972</v>
      </c>
      <c r="J124" s="206">
        <f t="shared" si="25"/>
        <v>3.514323512047185E-2</v>
      </c>
      <c r="K124" s="206">
        <f t="shared" si="26"/>
        <v>-9.0574165795902131E-3</v>
      </c>
      <c r="L124" s="221"/>
      <c r="M124" s="221"/>
      <c r="N124" s="221"/>
      <c r="O124" s="221"/>
      <c r="P124" s="221"/>
      <c r="Q124" s="221"/>
      <c r="Z124" s="42"/>
      <c r="AA124" s="42"/>
      <c r="AB124" s="42"/>
    </row>
    <row r="125" spans="2:28" s="24" customFormat="1" ht="15.75" customHeight="1">
      <c r="C125" s="33"/>
      <c r="D125" s="33" t="str">
        <f>IF(Indice_index!$Z$1=1,"dezembro","December")</f>
        <v>December</v>
      </c>
      <c r="E125" s="33">
        <v>44229.180940949998</v>
      </c>
      <c r="F125" s="33">
        <v>45616.629100399987</v>
      </c>
      <c r="G125" s="33">
        <v>50361.404708300004</v>
      </c>
      <c r="H125" s="33">
        <v>50402.623424049991</v>
      </c>
      <c r="I125" s="33">
        <f t="shared" si="24"/>
        <v>-4785.9943236500039</v>
      </c>
      <c r="J125" s="206">
        <f t="shared" si="25"/>
        <v>3.1369519623308389E-2</v>
      </c>
      <c r="K125" s="206">
        <f t="shared" si="26"/>
        <v>8.1845842046565035E-4</v>
      </c>
      <c r="L125" s="221"/>
      <c r="M125" s="221"/>
      <c r="N125" s="221"/>
      <c r="O125" s="221"/>
      <c r="P125" s="221"/>
      <c r="Q125" s="221"/>
      <c r="Z125" s="42"/>
      <c r="AA125" s="42"/>
      <c r="AB125" s="42"/>
    </row>
    <row r="126" spans="2:28" ht="15.75" customHeight="1">
      <c r="B126" s="24"/>
      <c r="C126" s="24"/>
      <c r="D126" s="33"/>
      <c r="E126" s="33"/>
      <c r="F126" s="33"/>
      <c r="G126" s="33"/>
      <c r="H126" s="33"/>
      <c r="I126" s="33"/>
      <c r="J126" s="55"/>
      <c r="K126" s="55"/>
      <c r="M126" s="30"/>
      <c r="O126" s="256"/>
      <c r="P126" s="256"/>
      <c r="Q126" s="256"/>
    </row>
    <row r="127" spans="2:28" s="35" customFormat="1" ht="15.75" customHeight="1">
      <c r="C127" s="20" t="s">
        <v>126</v>
      </c>
      <c r="D127" s="71" t="str">
        <f>IF(Indice_index!$Z$1=1,"janeiro","January")</f>
        <v>January</v>
      </c>
      <c r="E127" s="71">
        <v>3088.86616396</v>
      </c>
      <c r="F127" s="71">
        <v>3290.0279013600002</v>
      </c>
      <c r="G127" s="71">
        <v>3575.4713543800003</v>
      </c>
      <c r="H127" s="71">
        <v>3526.51147808</v>
      </c>
      <c r="I127" s="71">
        <f t="shared" ref="I127:I138" si="27">IF(F127="","",+F127-H127)</f>
        <v>-236.48357671999975</v>
      </c>
      <c r="J127" s="204">
        <f t="shared" ref="J127:J138" si="28">IF(F127="","",IF(E127=0,"-",(F127-E127)/E127))</f>
        <v>6.5124782597283562E-2</v>
      </c>
      <c r="K127" s="204">
        <f t="shared" ref="K127:K138" si="29">IF(H127="","",IF(G127=0,"-",(H127-G127)/G127))</f>
        <v>-1.3693264872622698E-2</v>
      </c>
      <c r="L127"/>
      <c r="M127" s="203"/>
      <c r="O127" s="257"/>
      <c r="P127" s="257"/>
      <c r="Q127" s="256"/>
      <c r="Z127" s="2"/>
      <c r="AA127" s="2"/>
      <c r="AB127" s="2"/>
    </row>
    <row r="128" spans="2:28" s="35" customFormat="1" ht="15.75" customHeight="1">
      <c r="C128" s="71"/>
      <c r="D128" s="71" t="str">
        <f>IF(Indice_index!$Z$1=1,"fevereiro","February")</f>
        <v>February</v>
      </c>
      <c r="E128" s="71">
        <v>6936.2946147099992</v>
      </c>
      <c r="F128" s="71">
        <v>7368.7058918399989</v>
      </c>
      <c r="G128" s="71">
        <v>8062.4020476300011</v>
      </c>
      <c r="H128" s="71">
        <v>8090.7737578399974</v>
      </c>
      <c r="I128" s="71">
        <f t="shared" si="27"/>
        <v>-722.0678659999985</v>
      </c>
      <c r="J128" s="204">
        <f t="shared" si="28"/>
        <v>6.234038505414298E-2</v>
      </c>
      <c r="K128" s="204">
        <f t="shared" si="29"/>
        <v>3.5190145619612666E-3</v>
      </c>
      <c r="L128"/>
      <c r="M128" s="203"/>
      <c r="O128" s="257"/>
      <c r="P128" s="258"/>
      <c r="Q128" s="257"/>
      <c r="Z128" s="2"/>
      <c r="AA128" s="2"/>
      <c r="AB128" s="2"/>
    </row>
    <row r="129" spans="2:28" s="35" customFormat="1" ht="15.75" customHeight="1">
      <c r="C129" s="71"/>
      <c r="D129" s="71" t="str">
        <f>IF(Indice_index!$Z$1=1,"março","March")</f>
        <v>March</v>
      </c>
      <c r="E129" s="71">
        <v>9915.5787553300015</v>
      </c>
      <c r="F129" s="71">
        <v>10336.57311727</v>
      </c>
      <c r="G129" s="71">
        <v>11599.711521179997</v>
      </c>
      <c r="H129" s="71">
        <v>11606.704224550005</v>
      </c>
      <c r="I129" s="71">
        <f t="shared" si="27"/>
        <v>-1270.1311072800054</v>
      </c>
      <c r="J129" s="204">
        <f t="shared" si="28"/>
        <v>4.2457870824100685E-2</v>
      </c>
      <c r="K129" s="204">
        <f t="shared" si="29"/>
        <v>6.0283424783795481E-4</v>
      </c>
      <c r="L129"/>
      <c r="M129" s="203"/>
      <c r="O129" s="257"/>
      <c r="P129" s="257"/>
      <c r="Q129" s="257"/>
      <c r="Z129" s="2"/>
      <c r="AA129" s="2"/>
      <c r="AB129" s="2"/>
    </row>
    <row r="130" spans="2:28" s="35" customFormat="1" ht="15.75" customHeight="1">
      <c r="C130" s="71"/>
      <c r="D130" s="71" t="str">
        <f>IF(Indice_index!$Z$1=1,"abril","April")</f>
        <v>April</v>
      </c>
      <c r="E130" s="71">
        <v>12718.281655589999</v>
      </c>
      <c r="F130" s="71">
        <v>13209.176450409999</v>
      </c>
      <c r="G130" s="71">
        <v>15944.061325889996</v>
      </c>
      <c r="H130" s="71">
        <v>16405.682669459995</v>
      </c>
      <c r="I130" s="71">
        <f t="shared" si="27"/>
        <v>-3196.5062190499957</v>
      </c>
      <c r="J130" s="204">
        <f t="shared" si="28"/>
        <v>3.8597572228182248E-2</v>
      </c>
      <c r="K130" s="204">
        <f t="shared" si="29"/>
        <v>2.8952556951121207E-2</v>
      </c>
      <c r="L130"/>
      <c r="M130" s="203"/>
      <c r="N130"/>
      <c r="O130"/>
      <c r="P130"/>
      <c r="Q130"/>
      <c r="Z130" s="2"/>
      <c r="AA130" s="2"/>
      <c r="AB130" s="2"/>
    </row>
    <row r="131" spans="2:28" s="35" customFormat="1" ht="15.75" customHeight="1">
      <c r="C131" s="71"/>
      <c r="D131" s="71" t="str">
        <f>IF(Indice_index!$Z$1=1,"maio","May")</f>
        <v>May</v>
      </c>
      <c r="E131" s="71">
        <v>16984.05800257</v>
      </c>
      <c r="F131" s="71">
        <v>15725.865617250001</v>
      </c>
      <c r="G131" s="71">
        <v>19687.459474680003</v>
      </c>
      <c r="H131" s="71">
        <v>19973.754625230002</v>
      </c>
      <c r="I131" s="71">
        <f t="shared" si="27"/>
        <v>-4247.8890079800003</v>
      </c>
      <c r="J131" s="204">
        <f t="shared" si="28"/>
        <v>-7.4080787119875063E-2</v>
      </c>
      <c r="K131" s="204">
        <f t="shared" si="29"/>
        <v>1.4542005834638145E-2</v>
      </c>
      <c r="M131"/>
      <c r="N131"/>
      <c r="O131"/>
      <c r="P131"/>
      <c r="Q131"/>
      <c r="Z131" s="2"/>
      <c r="AA131" s="2"/>
      <c r="AB131" s="2"/>
    </row>
    <row r="132" spans="2:28" s="35" customFormat="1" ht="15.75" customHeight="1">
      <c r="C132" s="71"/>
      <c r="D132" s="28" t="str">
        <f>IF(Indice_index!$Z$1=1,"junho","June")</f>
        <v>June</v>
      </c>
      <c r="E132" s="28">
        <v>20146.759066350001</v>
      </c>
      <c r="F132" s="28">
        <v>20680.10666587</v>
      </c>
      <c r="G132" s="28">
        <v>25135.255911450004</v>
      </c>
      <c r="H132" s="28">
        <v>25316.660177719998</v>
      </c>
      <c r="I132" s="28">
        <f t="shared" si="27"/>
        <v>-4636.5535118499974</v>
      </c>
      <c r="J132" s="226">
        <f t="shared" si="28"/>
        <v>2.6473121446655867E-2</v>
      </c>
      <c r="K132" s="226">
        <f t="shared" si="29"/>
        <v>7.2171243017803482E-3</v>
      </c>
      <c r="L132"/>
      <c r="M132"/>
      <c r="N132"/>
      <c r="O132"/>
      <c r="P132"/>
      <c r="Q132"/>
      <c r="Z132" s="2"/>
      <c r="AA132" s="2"/>
      <c r="AB132" s="2"/>
    </row>
    <row r="133" spans="2:28" s="35" customFormat="1" ht="15.75" customHeight="1">
      <c r="C133" s="71"/>
      <c r="D133" s="33" t="str">
        <f>IF(Indice_index!$Z$1=1,"julho","July")</f>
        <v>July</v>
      </c>
      <c r="E133" s="33">
        <v>24505.786523810002</v>
      </c>
      <c r="F133" s="33">
        <v>25777.13033244</v>
      </c>
      <c r="G133" s="33">
        <v>29551.948968780023</v>
      </c>
      <c r="H133" s="33">
        <v>29730.05951426</v>
      </c>
      <c r="I133" s="33">
        <f t="shared" si="27"/>
        <v>-3952.9291818199999</v>
      </c>
      <c r="J133" s="206">
        <f t="shared" si="28"/>
        <v>5.1879330924341098E-2</v>
      </c>
      <c r="K133" s="206">
        <f t="shared" si="29"/>
        <v>6.0270321144686627E-3</v>
      </c>
      <c r="L133"/>
      <c r="M133"/>
      <c r="N133"/>
      <c r="O133"/>
      <c r="P133"/>
      <c r="Q133"/>
      <c r="Z133" s="2"/>
      <c r="AA133" s="2"/>
      <c r="AB133" s="2"/>
    </row>
    <row r="134" spans="2:28" s="35" customFormat="1" ht="15.75" customHeight="1">
      <c r="C134" s="71"/>
      <c r="D134" s="33" t="str">
        <f>IF(Indice_index!$Z$1=1,"agosto","August")</f>
        <v>August</v>
      </c>
      <c r="E134" s="33">
        <v>28999.782224269999</v>
      </c>
      <c r="F134" s="33">
        <v>30468.749589960007</v>
      </c>
      <c r="G134" s="33">
        <v>33119.053714270005</v>
      </c>
      <c r="H134" s="33">
        <v>33206.41140746</v>
      </c>
      <c r="I134" s="33">
        <f t="shared" si="27"/>
        <v>-2737.661817499993</v>
      </c>
      <c r="J134" s="206">
        <f t="shared" si="28"/>
        <v>5.0654427482583843E-2</v>
      </c>
      <c r="K134" s="206">
        <f t="shared" si="29"/>
        <v>2.6376868718430619E-3</v>
      </c>
      <c r="L134"/>
      <c r="M134"/>
      <c r="N134"/>
      <c r="O134"/>
      <c r="P134"/>
      <c r="Q134"/>
      <c r="Z134" s="2"/>
      <c r="AA134" s="2"/>
      <c r="AB134" s="2"/>
    </row>
    <row r="135" spans="2:28" s="35" customFormat="1" ht="15.75" customHeight="1">
      <c r="C135" s="33"/>
      <c r="D135" s="33" t="str">
        <f>IF(Indice_index!$Z$1=1,"setembro","September")</f>
        <v>September</v>
      </c>
      <c r="E135" s="33">
        <v>33676.517440350006</v>
      </c>
      <c r="F135" s="33">
        <v>35520.637709400005</v>
      </c>
      <c r="G135" s="33">
        <v>36590.12447955001</v>
      </c>
      <c r="H135" s="33">
        <v>36710.348795449994</v>
      </c>
      <c r="I135" s="33">
        <f t="shared" si="27"/>
        <v>-1189.7110860499888</v>
      </c>
      <c r="J135" s="206">
        <f t="shared" si="28"/>
        <v>5.4759827001602014E-2</v>
      </c>
      <c r="K135" s="206">
        <f t="shared" si="29"/>
        <v>3.2857039326875514E-3</v>
      </c>
      <c r="L135"/>
      <c r="M135"/>
      <c r="N135"/>
      <c r="O135"/>
      <c r="P135"/>
      <c r="Q135"/>
      <c r="Z135" s="2"/>
      <c r="AA135" s="2"/>
      <c r="AB135" s="2"/>
    </row>
    <row r="136" spans="2:28" ht="15.75" customHeight="1">
      <c r="C136" s="33"/>
      <c r="D136" s="33" t="str">
        <f>IF(Indice_index!$Z$1=1,"outubro","October")</f>
        <v>October</v>
      </c>
      <c r="E136" s="33">
        <v>36968.109443780006</v>
      </c>
      <c r="F136" s="33">
        <v>38934.546757730001</v>
      </c>
      <c r="G136" s="33">
        <v>41457.954067579994</v>
      </c>
      <c r="H136" s="33">
        <v>41474.734241269995</v>
      </c>
      <c r="I136" s="33">
        <f t="shared" si="27"/>
        <v>-2540.187483539994</v>
      </c>
      <c r="J136" s="206">
        <f t="shared" si="28"/>
        <v>5.319280167519775E-2</v>
      </c>
      <c r="K136" s="206">
        <f t="shared" si="29"/>
        <v>4.0475161081627355E-4</v>
      </c>
      <c r="L136" s="358"/>
      <c r="M136" s="358"/>
      <c r="N136" s="358"/>
      <c r="O136" s="358"/>
      <c r="P136"/>
      <c r="Q136"/>
    </row>
    <row r="137" spans="2:28" s="24" customFormat="1" ht="15.75" customHeight="1">
      <c r="C137" s="33"/>
      <c r="D137" s="33" t="str">
        <f>IF(Indice_index!$Z$1=1,"novembro","November")</f>
        <v>November</v>
      </c>
      <c r="E137" s="33">
        <v>40789.928750029983</v>
      </c>
      <c r="F137" s="33">
        <v>43084.420011110007</v>
      </c>
      <c r="G137" s="33">
        <v>45471.508726499989</v>
      </c>
      <c r="H137" s="33">
        <v>46367.053269380012</v>
      </c>
      <c r="I137" s="33">
        <f t="shared" si="27"/>
        <v>-3282.6332582700052</v>
      </c>
      <c r="J137" s="206">
        <f t="shared" si="28"/>
        <v>5.6251416253781446E-2</v>
      </c>
      <c r="K137" s="206">
        <f t="shared" si="29"/>
        <v>1.9694630065311986E-2</v>
      </c>
      <c r="L137" s="221"/>
      <c r="M137" s="221"/>
      <c r="N137" s="221"/>
      <c r="O137" s="221"/>
      <c r="P137" s="221"/>
      <c r="Q137" s="221"/>
      <c r="Z137" s="42"/>
      <c r="AA137" s="42"/>
      <c r="AB137" s="42"/>
    </row>
    <row r="138" spans="2:28" s="24" customFormat="1" ht="15.75" customHeight="1">
      <c r="C138" s="33"/>
      <c r="D138" s="33" t="str">
        <f>IF(Indice_index!$Z$1=1,"dezembro","December")</f>
        <v>December</v>
      </c>
      <c r="E138" s="33">
        <v>45616.629100399987</v>
      </c>
      <c r="F138" s="33">
        <v>47886.010340470006</v>
      </c>
      <c r="G138" s="33">
        <v>50402.623424049998</v>
      </c>
      <c r="H138" s="33">
        <v>51469.247975970015</v>
      </c>
      <c r="I138" s="33">
        <f t="shared" si="27"/>
        <v>-3583.2376355000088</v>
      </c>
      <c r="J138" s="206">
        <f t="shared" si="28"/>
        <v>4.9748990331469276E-2</v>
      </c>
      <c r="K138" s="206">
        <f t="shared" si="29"/>
        <v>2.1162084023806357E-2</v>
      </c>
      <c r="L138" s="221"/>
      <c r="M138" s="221"/>
      <c r="N138" s="221"/>
      <c r="O138" s="221"/>
      <c r="P138" s="221"/>
      <c r="Q138" s="221"/>
      <c r="Z138" s="42"/>
      <c r="AA138" s="42"/>
      <c r="AB138" s="42"/>
    </row>
    <row r="139" spans="2:28" ht="15.75" customHeight="1">
      <c r="B139" s="24"/>
      <c r="C139" s="24"/>
      <c r="D139" s="33"/>
      <c r="E139" s="33"/>
      <c r="F139" s="33"/>
      <c r="G139" s="33"/>
      <c r="H139" s="33"/>
      <c r="I139" s="33"/>
      <c r="J139" s="55"/>
      <c r="K139" s="55"/>
      <c r="M139" s="30"/>
      <c r="O139" s="256"/>
      <c r="P139" s="256"/>
      <c r="Q139" s="256"/>
    </row>
    <row r="140" spans="2:28" s="35" customFormat="1" ht="15.75" customHeight="1">
      <c r="C140" s="20" t="s">
        <v>127</v>
      </c>
      <c r="D140" s="71" t="str">
        <f>IF(Indice_index!$Z$1=1,"janeiro","January")</f>
        <v>January</v>
      </c>
      <c r="E140" s="71">
        <v>3305.9848020100007</v>
      </c>
      <c r="F140" s="71">
        <v>3896.1498233099996</v>
      </c>
      <c r="G140" s="71">
        <v>3526.3649323100012</v>
      </c>
      <c r="H140" s="71">
        <v>3753.8971037499996</v>
      </c>
      <c r="I140" s="71">
        <f t="shared" ref="I140:I151" si="30">IF(F140="","",+F140-H140)</f>
        <v>142.25271956000006</v>
      </c>
      <c r="J140" s="204">
        <f t="shared" ref="J140:J151" si="31">IF(F140="","",IF(E140=0,"-",(F140-E140)/E140))</f>
        <v>0.17851413622385237</v>
      </c>
      <c r="K140" s="204">
        <f t="shared" ref="K140:K151" si="32">IF(H140="","",IF(G140=0,"-",(H140-G140)/G140))</f>
        <v>6.4523149420882484E-2</v>
      </c>
      <c r="L140"/>
      <c r="M140" s="203"/>
      <c r="O140" s="257"/>
      <c r="P140" s="257"/>
      <c r="Q140" s="256"/>
      <c r="Z140" s="2"/>
      <c r="AA140" s="2"/>
      <c r="AB140" s="2"/>
    </row>
    <row r="141" spans="2:28" s="35" customFormat="1" ht="15.75" customHeight="1">
      <c r="C141" s="71"/>
      <c r="D141" s="71" t="str">
        <f>IF(Indice_index!$Z$1=1,"fevereiro","February")</f>
        <v>February</v>
      </c>
      <c r="E141" s="71">
        <v>7371.0026143800005</v>
      </c>
      <c r="F141" s="71">
        <v>8286.3883635500006</v>
      </c>
      <c r="G141" s="71">
        <v>8090.6272120700005</v>
      </c>
      <c r="H141" s="71">
        <v>8588.1524480299977</v>
      </c>
      <c r="I141" s="71">
        <f t="shared" si="30"/>
        <v>-301.76408447999711</v>
      </c>
      <c r="J141" s="204">
        <f t="shared" si="31"/>
        <v>0.1241874134441609</v>
      </c>
      <c r="K141" s="204">
        <f t="shared" si="32"/>
        <v>6.1494025483928398E-2</v>
      </c>
      <c r="L141"/>
      <c r="M141" s="203"/>
      <c r="O141" s="257"/>
      <c r="P141" s="258"/>
      <c r="Q141" s="257"/>
      <c r="Z141" s="2"/>
      <c r="AA141" s="2"/>
      <c r="AB141" s="2"/>
    </row>
    <row r="142" spans="2:28" s="35" customFormat="1" ht="15.75" customHeight="1">
      <c r="C142" s="71"/>
      <c r="D142" s="71" t="str">
        <f>IF(Indice_index!$Z$1=1,"março","March")</f>
        <v>March</v>
      </c>
      <c r="E142" s="71">
        <v>10344.401861589999</v>
      </c>
      <c r="F142" s="71">
        <v>11328.452345249996</v>
      </c>
      <c r="G142" s="71">
        <v>11606.704224550003</v>
      </c>
      <c r="H142" s="71">
        <v>12293.329953619999</v>
      </c>
      <c r="I142" s="71">
        <f t="shared" si="30"/>
        <v>-964.87760837000314</v>
      </c>
      <c r="J142" s="204">
        <f t="shared" si="31"/>
        <v>9.5128794958546106E-2</v>
      </c>
      <c r="K142" s="204">
        <f t="shared" si="32"/>
        <v>5.9157682989601355E-2</v>
      </c>
      <c r="L142"/>
      <c r="M142" s="203"/>
      <c r="O142" s="257"/>
      <c r="P142" s="257"/>
      <c r="Q142" s="257"/>
      <c r="Z142" s="2"/>
      <c r="AA142" s="2"/>
      <c r="AB142" s="2"/>
    </row>
    <row r="143" spans="2:28" s="35" customFormat="1" ht="15.75" customHeight="1">
      <c r="C143" s="71"/>
      <c r="D143" s="71" t="str">
        <f>IF(Indice_index!$Z$1=1,"abril","April")</f>
        <v>April</v>
      </c>
      <c r="E143" s="71">
        <v>13219.780467869999</v>
      </c>
      <c r="F143" s="71">
        <v>13764.803065390002</v>
      </c>
      <c r="G143" s="71">
        <v>16405.682669459999</v>
      </c>
      <c r="H143" s="71">
        <v>17278.070426329999</v>
      </c>
      <c r="I143" s="71">
        <f t="shared" si="30"/>
        <v>-3513.2673609399972</v>
      </c>
      <c r="J143" s="204">
        <f t="shared" si="31"/>
        <v>4.1227810011267005E-2</v>
      </c>
      <c r="K143" s="204">
        <f t="shared" si="32"/>
        <v>5.3175949727102455E-2</v>
      </c>
      <c r="L143"/>
      <c r="M143" s="203"/>
      <c r="N143"/>
      <c r="O143"/>
      <c r="P143"/>
      <c r="Q143"/>
      <c r="Z143" s="2"/>
      <c r="AA143" s="2"/>
      <c r="AB143" s="2"/>
    </row>
    <row r="144" spans="2:28" s="35" customFormat="1" ht="15.75" customHeight="1">
      <c r="C144" s="71"/>
      <c r="D144" s="71" t="str">
        <f>IF(Indice_index!$Z$1=1,"maio","May")</f>
        <v>May</v>
      </c>
      <c r="E144" s="71">
        <v>15756.969914310001</v>
      </c>
      <c r="F144" s="71">
        <v>17252.137820389995</v>
      </c>
      <c r="G144" s="71">
        <v>19973.754625229994</v>
      </c>
      <c r="H144" s="71">
        <v>20955.014291290001</v>
      </c>
      <c r="I144" s="71">
        <f t="shared" si="30"/>
        <v>-3702.8764709000061</v>
      </c>
      <c r="J144" s="204">
        <f t="shared" si="31"/>
        <v>9.488930385797896E-2</v>
      </c>
      <c r="K144" s="204">
        <f t="shared" si="32"/>
        <v>4.9127451722097419E-2</v>
      </c>
      <c r="M144"/>
      <c r="N144"/>
      <c r="O144"/>
      <c r="P144"/>
      <c r="Q144"/>
      <c r="Z144" s="2"/>
      <c r="AA144" s="2"/>
      <c r="AB144" s="2"/>
    </row>
    <row r="145" spans="3:28" s="35" customFormat="1" ht="15.75" customHeight="1">
      <c r="C145" s="71"/>
      <c r="D145" s="28" t="str">
        <f>IF(Indice_index!$Z$1=1,"junho","June")</f>
        <v>June</v>
      </c>
      <c r="E145" s="28"/>
      <c r="F145" s="28"/>
      <c r="G145" s="28"/>
      <c r="H145" s="28"/>
      <c r="I145" s="28" t="str">
        <f t="shared" si="30"/>
        <v/>
      </c>
      <c r="J145" s="226" t="str">
        <f t="shared" si="31"/>
        <v/>
      </c>
      <c r="K145" s="226" t="str">
        <f t="shared" si="32"/>
        <v/>
      </c>
      <c r="L145"/>
      <c r="M145"/>
      <c r="N145"/>
      <c r="O145"/>
      <c r="P145"/>
      <c r="Q145"/>
      <c r="Z145" s="2"/>
      <c r="AA145" s="2"/>
      <c r="AB145" s="2"/>
    </row>
    <row r="146" spans="3:28" s="35" customFormat="1" ht="15.75" customHeight="1">
      <c r="C146" s="71"/>
      <c r="D146" s="33" t="str">
        <f>IF(Indice_index!$Z$1=1,"julho","July")</f>
        <v>July</v>
      </c>
      <c r="E146" s="33"/>
      <c r="F146" s="33"/>
      <c r="G146" s="33"/>
      <c r="H146" s="33"/>
      <c r="I146" s="33" t="str">
        <f t="shared" si="30"/>
        <v/>
      </c>
      <c r="J146" s="206" t="str">
        <f t="shared" si="31"/>
        <v/>
      </c>
      <c r="K146" s="206" t="str">
        <f t="shared" si="32"/>
        <v/>
      </c>
      <c r="L146"/>
      <c r="M146"/>
      <c r="N146"/>
      <c r="O146"/>
      <c r="P146"/>
      <c r="Q146"/>
      <c r="Z146" s="2"/>
      <c r="AA146" s="2"/>
      <c r="AB146" s="2"/>
    </row>
    <row r="147" spans="3:28" s="35" customFormat="1" ht="15.75" customHeight="1">
      <c r="C147" s="71"/>
      <c r="D147" s="33" t="str">
        <f>IF(Indice_index!$Z$1=1,"agosto","August")</f>
        <v>August</v>
      </c>
      <c r="E147" s="33"/>
      <c r="F147" s="33"/>
      <c r="G147" s="33"/>
      <c r="H147" s="33"/>
      <c r="I147" s="33" t="str">
        <f t="shared" si="30"/>
        <v/>
      </c>
      <c r="J147" s="206" t="str">
        <f t="shared" si="31"/>
        <v/>
      </c>
      <c r="K147" s="206" t="str">
        <f t="shared" si="32"/>
        <v/>
      </c>
      <c r="L147"/>
      <c r="M147"/>
      <c r="N147"/>
      <c r="O147"/>
      <c r="P147"/>
      <c r="Q147"/>
      <c r="Z147" s="2"/>
      <c r="AA147" s="2"/>
      <c r="AB147" s="2"/>
    </row>
    <row r="148" spans="3:28" s="35" customFormat="1" ht="15.75" customHeight="1">
      <c r="C148" s="33"/>
      <c r="D148" s="33" t="str">
        <f>IF(Indice_index!$Z$1=1,"setembro","September")</f>
        <v>September</v>
      </c>
      <c r="E148" s="33"/>
      <c r="F148" s="33"/>
      <c r="G148" s="33"/>
      <c r="H148" s="33"/>
      <c r="I148" s="33" t="str">
        <f t="shared" si="30"/>
        <v/>
      </c>
      <c r="J148" s="206" t="str">
        <f t="shared" si="31"/>
        <v/>
      </c>
      <c r="K148" s="206" t="str">
        <f t="shared" si="32"/>
        <v/>
      </c>
      <c r="L148"/>
      <c r="M148"/>
      <c r="N148"/>
      <c r="O148"/>
      <c r="P148"/>
      <c r="Q148"/>
      <c r="Z148" s="2"/>
      <c r="AA148" s="2"/>
      <c r="AB148" s="2"/>
    </row>
    <row r="149" spans="3:28" ht="15.75" customHeight="1">
      <c r="C149" s="33"/>
      <c r="D149" s="33" t="str">
        <f>IF(Indice_index!$Z$1=1,"outubro","October")</f>
        <v>October</v>
      </c>
      <c r="E149" s="33"/>
      <c r="F149" s="33"/>
      <c r="G149" s="33"/>
      <c r="H149" s="33"/>
      <c r="I149" s="33" t="str">
        <f t="shared" si="30"/>
        <v/>
      </c>
      <c r="J149" s="206" t="str">
        <f t="shared" si="31"/>
        <v/>
      </c>
      <c r="K149" s="206" t="str">
        <f t="shared" si="32"/>
        <v/>
      </c>
      <c r="L149" s="358"/>
      <c r="M149" s="358"/>
      <c r="N149" s="358"/>
      <c r="O149" s="358"/>
      <c r="P149"/>
      <c r="Q149"/>
    </row>
    <row r="150" spans="3:28" s="24" customFormat="1" ht="15.75" customHeight="1">
      <c r="C150" s="33"/>
      <c r="D150" s="33" t="str">
        <f>IF(Indice_index!$Z$1=1,"novembro","November")</f>
        <v>November</v>
      </c>
      <c r="E150" s="33"/>
      <c r="F150" s="33"/>
      <c r="G150" s="33"/>
      <c r="H150" s="33"/>
      <c r="I150" s="33" t="str">
        <f t="shared" si="30"/>
        <v/>
      </c>
      <c r="J150" s="206" t="str">
        <f t="shared" si="31"/>
        <v/>
      </c>
      <c r="K150" s="206" t="str">
        <f t="shared" si="32"/>
        <v/>
      </c>
      <c r="L150" s="221"/>
      <c r="M150" s="221"/>
      <c r="N150" s="221"/>
      <c r="O150" s="221"/>
      <c r="P150" s="221"/>
      <c r="Q150" s="221"/>
      <c r="Z150" s="42"/>
      <c r="AA150" s="42"/>
      <c r="AB150" s="42"/>
    </row>
    <row r="151" spans="3:28" s="24" customFormat="1" ht="15.75" customHeight="1">
      <c r="C151" s="85"/>
      <c r="D151" s="85" t="str">
        <f>IF(Indice_index!$Z$1=1,"dezembro","December")</f>
        <v>December</v>
      </c>
      <c r="E151" s="85"/>
      <c r="F151" s="85"/>
      <c r="G151" s="85"/>
      <c r="H151" s="85"/>
      <c r="I151" s="85" t="str">
        <f t="shared" si="30"/>
        <v/>
      </c>
      <c r="J151" s="252" t="str">
        <f t="shared" si="31"/>
        <v/>
      </c>
      <c r="K151" s="252" t="str">
        <f t="shared" si="32"/>
        <v/>
      </c>
      <c r="L151" s="221"/>
      <c r="M151" s="221"/>
      <c r="N151" s="221"/>
      <c r="O151" s="221"/>
      <c r="P151" s="221"/>
      <c r="Q151" s="221"/>
      <c r="Z151" s="42"/>
      <c r="AA151" s="42"/>
      <c r="AB151" s="42"/>
    </row>
    <row r="152" spans="3:28" ht="12" customHeight="1">
      <c r="C152" s="24"/>
      <c r="H152" s="7"/>
      <c r="I152"/>
      <c r="M152"/>
      <c r="N152"/>
      <c r="O152"/>
      <c r="P152"/>
      <c r="Q152"/>
    </row>
    <row r="153" spans="3:28" ht="25.5" customHeight="1">
      <c r="H153" s="7"/>
      <c r="I153"/>
    </row>
    <row r="154" spans="3:28">
      <c r="D154" s="36"/>
      <c r="E154" s="13"/>
      <c r="F154" s="13"/>
      <c r="G154" s="13"/>
      <c r="H154" s="13"/>
      <c r="J154" s="14"/>
    </row>
    <row r="155" spans="3:28">
      <c r="C155" s="70" t="str">
        <f>IF(Indice_index!$Z$1=1,"1.2 Evolução da Receita, Despesa e Saldo dos Serviços e Fundos Autónomos (valores acumulados)","1.2 Autonomous Services and Funds Revenue, Expenditure and Balance Evolution (cumulative values)")</f>
        <v>1.2 Autonomous Services and Funds Revenue, Expenditure and Balance Evolution (cumulative values)</v>
      </c>
      <c r="D155" s="37"/>
      <c r="E155" s="37"/>
      <c r="F155" s="37"/>
      <c r="G155" s="37"/>
      <c r="H155" s="37"/>
      <c r="I155" s="37"/>
      <c r="J155" s="38"/>
      <c r="K155" s="81" t="str">
        <f>IF(Indice_index!$Z$1=1,"€ Milhões","€ Millions")</f>
        <v>€ Millions</v>
      </c>
    </row>
    <row r="156" spans="3:28" s="15" customFormat="1" ht="15.75" customHeight="1">
      <c r="C156" s="72"/>
      <c r="D156" s="72"/>
      <c r="E156" s="379" t="str">
        <f>IF(Indice_index!$Z$1=1,"Receita efetiva","Effective revenue")</f>
        <v>Effective revenue</v>
      </c>
      <c r="F156" s="380"/>
      <c r="G156" s="379" t="str">
        <f>IF(Indice_index!$Z$1=1,"Despesa  efetiva","Effective expenditure")</f>
        <v>Effective expenditure</v>
      </c>
      <c r="H156" s="380"/>
      <c r="I156" s="383" t="str">
        <f>IF(Indice_index!$Z$1=1,"Saldo global","Overall
balance")</f>
        <v>Overall
balance</v>
      </c>
      <c r="J156" s="385" t="str">
        <f>IF(Indice_index!$Z$1=1,"VH (%)","YOY Change Rate (%)")</f>
        <v>YOY Change Rate (%)</v>
      </c>
      <c r="K156" s="385"/>
      <c r="L156"/>
      <c r="M156" s="16"/>
      <c r="Z156" s="2"/>
      <c r="AA156" s="2"/>
      <c r="AB156" s="2"/>
    </row>
    <row r="157" spans="3:28" s="15" customFormat="1" ht="15.75" customHeight="1">
      <c r="C157" s="73"/>
      <c r="D157" s="75"/>
      <c r="E157" s="381"/>
      <c r="F157" s="382"/>
      <c r="G157" s="381"/>
      <c r="H157" s="382"/>
      <c r="I157" s="384"/>
      <c r="J157" s="74" t="str">
        <f>IF(Indice_index!$Z$1=1,"Receita","Revenue")</f>
        <v>Revenue</v>
      </c>
      <c r="K157" s="74" t="str">
        <f>IF(Indice_index!$Z$1=1,"Despesa","Expenditure")</f>
        <v>Expenditure</v>
      </c>
      <c r="L157"/>
      <c r="M157" s="16"/>
      <c r="Z157" s="2"/>
      <c r="AA157" s="2"/>
      <c r="AB157" s="2"/>
    </row>
    <row r="158" spans="3:28" s="15" customFormat="1" ht="15.75" customHeight="1">
      <c r="C158" s="23"/>
      <c r="D158" s="24"/>
      <c r="E158" s="18" t="str">
        <f>IF(Indice_index!$Z$1=1,"Ano n-1","Year n-1")</f>
        <v>Year n-1</v>
      </c>
      <c r="F158" s="18" t="str">
        <f>IF(Indice_index!$Z$1=1,"Ano n","Year n")</f>
        <v>Year n</v>
      </c>
      <c r="G158" s="18" t="str">
        <f>IF(Indice_index!$Z$1=1,"Ano n-1","Year n-1")</f>
        <v>Year n-1</v>
      </c>
      <c r="H158" s="18" t="str">
        <f>IF(Indice_index!$Z$1=1,"Ano n","Year n")</f>
        <v>Year n</v>
      </c>
      <c r="I158" s="18" t="str">
        <f>IF(Indice_index!$Z$1=1,"Ano n","Year n")</f>
        <v>Year n</v>
      </c>
      <c r="J158" s="19" t="str">
        <f>IF(Indice_index!$Z$1=1,"Ano n","Year n")</f>
        <v>Year n</v>
      </c>
      <c r="K158" s="19" t="str">
        <f>IF(Indice_index!$Z$1=1,"Ano n","Year n")</f>
        <v>Year n</v>
      </c>
      <c r="L158"/>
      <c r="M158" s="16"/>
      <c r="Z158" s="2"/>
      <c r="AA158" s="2"/>
      <c r="AB158" s="2"/>
    </row>
    <row r="159" spans="3:28" s="15" customFormat="1" ht="15.75" customHeight="1">
      <c r="C159" s="20" t="s">
        <v>2</v>
      </c>
      <c r="D159" s="7" t="str">
        <f>IF(Indice_index!$Z$1=1,"janeiro","January")</f>
        <v>January</v>
      </c>
      <c r="E159" s="21">
        <v>1688.763964</v>
      </c>
      <c r="F159" s="21">
        <v>1835.41508</v>
      </c>
      <c r="G159" s="21">
        <v>1287.4061099999999</v>
      </c>
      <c r="H159" s="21">
        <v>1407.262301</v>
      </c>
      <c r="I159" s="7">
        <f t="shared" ref="I159:I169" si="33">IF(F159="","",+F159-H159)</f>
        <v>428.15277900000001</v>
      </c>
      <c r="J159" s="22">
        <f t="shared" ref="J159:J170" si="34">IF(F159="","",IF(E159=0,"-",(F159-E159)/E159))</f>
        <v>8.6839321021892679E-2</v>
      </c>
      <c r="K159" s="22">
        <f t="shared" ref="K159:K170" si="35">IF(H159="","",IF(G159=0,"-",(H159-G159)/G159))</f>
        <v>9.3098976359526589E-2</v>
      </c>
      <c r="L159"/>
      <c r="M159" s="16"/>
      <c r="Z159" s="2"/>
      <c r="AA159" s="2"/>
      <c r="AB159" s="2"/>
    </row>
    <row r="160" spans="3:28" s="15" customFormat="1" ht="15.75" customHeight="1">
      <c r="C160" s="23"/>
      <c r="D160" s="7" t="str">
        <f>IF(Indice_index!$Z$1=1,"fevereiro","February")</f>
        <v>February</v>
      </c>
      <c r="E160" s="21">
        <v>3527.580438</v>
      </c>
      <c r="F160" s="21">
        <v>3813.0105440000002</v>
      </c>
      <c r="G160" s="21">
        <v>2875.9740710000001</v>
      </c>
      <c r="H160" s="21">
        <v>3096.4443960000003</v>
      </c>
      <c r="I160" s="7">
        <f t="shared" si="33"/>
        <v>716.56614799999988</v>
      </c>
      <c r="J160" s="22">
        <f t="shared" si="34"/>
        <v>8.0913847612168965E-2</v>
      </c>
      <c r="K160" s="22">
        <f t="shared" si="35"/>
        <v>7.6659357684452575E-2</v>
      </c>
      <c r="L160"/>
      <c r="M160" s="16"/>
      <c r="Z160" s="2"/>
      <c r="AA160" s="2"/>
      <c r="AB160" s="2"/>
    </row>
    <row r="161" spans="3:28" s="15" customFormat="1" ht="15.75" customHeight="1">
      <c r="C161" s="23"/>
      <c r="D161" s="7" t="str">
        <f>IF(Indice_index!$Z$1=1,"março","March")</f>
        <v>March</v>
      </c>
      <c r="E161" s="21">
        <v>5397.0646450000004</v>
      </c>
      <c r="F161" s="21">
        <v>5677.8987859999997</v>
      </c>
      <c r="G161" s="21">
        <v>4684.4832290000004</v>
      </c>
      <c r="H161" s="21">
        <v>4866.285656</v>
      </c>
      <c r="I161" s="7">
        <f t="shared" si="33"/>
        <v>811.61312999999973</v>
      </c>
      <c r="J161" s="22">
        <f t="shared" si="34"/>
        <v>5.203460760103594E-2</v>
      </c>
      <c r="K161" s="22">
        <f t="shared" si="35"/>
        <v>3.8809494689728906E-2</v>
      </c>
      <c r="L161"/>
      <c r="M161" s="16"/>
      <c r="Z161" s="2"/>
      <c r="AA161" s="2"/>
      <c r="AB161" s="2"/>
    </row>
    <row r="162" spans="3:28" s="15" customFormat="1" ht="15.75" customHeight="1">
      <c r="C162" s="23"/>
      <c r="D162" s="7" t="str">
        <f>IF(Indice_index!$Z$1=1,"abril","April")</f>
        <v>April</v>
      </c>
      <c r="E162" s="21">
        <v>7355.9571249999999</v>
      </c>
      <c r="F162" s="21">
        <v>7513.0031630000003</v>
      </c>
      <c r="G162" s="21">
        <v>6433.1882699999996</v>
      </c>
      <c r="H162" s="21">
        <v>6710.5540730000002</v>
      </c>
      <c r="I162" s="7">
        <f t="shared" si="33"/>
        <v>802.44909000000007</v>
      </c>
      <c r="J162" s="22">
        <f t="shared" si="34"/>
        <v>2.134950426318593E-2</v>
      </c>
      <c r="K162" s="22">
        <f t="shared" si="35"/>
        <v>4.3114827572114663E-2</v>
      </c>
      <c r="L162"/>
      <c r="M162" s="16"/>
      <c r="Z162" s="2"/>
      <c r="AA162" s="2"/>
      <c r="AB162" s="2"/>
    </row>
    <row r="163" spans="3:28" s="15" customFormat="1" ht="15.75" customHeight="1">
      <c r="C163" s="23"/>
      <c r="D163" s="7" t="str">
        <f>IF(Indice_index!$Z$1=1,"maio","May")</f>
        <v>May</v>
      </c>
      <c r="E163" s="21">
        <v>9286.2823329999992</v>
      </c>
      <c r="F163" s="21">
        <v>9432.1535330000006</v>
      </c>
      <c r="G163" s="21">
        <v>8152.9349849999999</v>
      </c>
      <c r="H163" s="21">
        <v>8522.3465809999998</v>
      </c>
      <c r="I163" s="7">
        <f t="shared" si="33"/>
        <v>909.80695200000082</v>
      </c>
      <c r="J163" s="22">
        <f t="shared" si="34"/>
        <v>1.57082452125787E-2</v>
      </c>
      <c r="K163" s="22">
        <f t="shared" si="35"/>
        <v>4.531025902692145E-2</v>
      </c>
      <c r="L163"/>
      <c r="M163" s="16"/>
      <c r="Z163" s="2"/>
      <c r="AA163" s="2"/>
      <c r="AB163" s="2"/>
    </row>
    <row r="164" spans="3:28" s="15" customFormat="1" ht="15.75" customHeight="1">
      <c r="C164" s="23"/>
      <c r="D164" s="7" t="str">
        <f>IF(Indice_index!$Z$1=1,"junho","June")</f>
        <v>June</v>
      </c>
      <c r="E164" s="21">
        <v>10957.951453</v>
      </c>
      <c r="F164" s="21">
        <v>11600.615422999999</v>
      </c>
      <c r="G164" s="21">
        <v>10331.291214999999</v>
      </c>
      <c r="H164" s="21">
        <v>10876.032569000001</v>
      </c>
      <c r="I164" s="7">
        <f t="shared" si="33"/>
        <v>724.58285399999841</v>
      </c>
      <c r="J164" s="22">
        <f t="shared" si="34"/>
        <v>5.8648185544210918E-2</v>
      </c>
      <c r="K164" s="22">
        <f t="shared" si="35"/>
        <v>5.272732542947698E-2</v>
      </c>
      <c r="L164"/>
      <c r="M164" s="16"/>
      <c r="Z164" s="2"/>
      <c r="AA164" s="2"/>
      <c r="AB164" s="2"/>
    </row>
    <row r="165" spans="3:28" s="15" customFormat="1" ht="15.75" customHeight="1">
      <c r="C165" s="23"/>
      <c r="D165" s="7" t="str">
        <f>IF(Indice_index!$Z$1=1,"julho","July")</f>
        <v>July</v>
      </c>
      <c r="E165" s="21">
        <v>13360.349851000001</v>
      </c>
      <c r="F165" s="21">
        <v>14081.914720000001</v>
      </c>
      <c r="G165" s="21">
        <v>12662.138573</v>
      </c>
      <c r="H165" s="21">
        <v>13120.897161000001</v>
      </c>
      <c r="I165" s="7">
        <f t="shared" si="33"/>
        <v>961.01755899999989</v>
      </c>
      <c r="J165" s="22">
        <f t="shared" si="34"/>
        <v>5.4007932205906405E-2</v>
      </c>
      <c r="K165" s="22">
        <f t="shared" si="35"/>
        <v>3.6230735065420183E-2</v>
      </c>
      <c r="L165"/>
      <c r="M165" s="16"/>
      <c r="Z165" s="2"/>
      <c r="AA165" s="2"/>
      <c r="AB165" s="2"/>
    </row>
    <row r="166" spans="3:28" s="15" customFormat="1" ht="15.75" customHeight="1">
      <c r="C166" s="23"/>
      <c r="D166" s="7" t="str">
        <f>IF(Indice_index!$Z$1=1,"agosto","August")</f>
        <v>August</v>
      </c>
      <c r="E166" s="21">
        <v>15035.283124</v>
      </c>
      <c r="F166" s="21">
        <v>15849.171157000001</v>
      </c>
      <c r="G166" s="21">
        <v>14328.427237</v>
      </c>
      <c r="H166" s="21">
        <v>15027.455346999999</v>
      </c>
      <c r="I166" s="7">
        <f t="shared" si="33"/>
        <v>821.71581000000151</v>
      </c>
      <c r="J166" s="22">
        <f t="shared" si="34"/>
        <v>5.4131872761400558E-2</v>
      </c>
      <c r="K166" s="22">
        <f t="shared" si="35"/>
        <v>4.8786101812689775E-2</v>
      </c>
      <c r="L166"/>
      <c r="M166" s="16"/>
      <c r="Z166" s="2"/>
      <c r="AA166" s="2"/>
      <c r="AB166" s="2"/>
    </row>
    <row r="167" spans="3:28" s="15" customFormat="1" ht="15.75" customHeight="1">
      <c r="C167" s="23"/>
      <c r="D167" s="7" t="str">
        <f>IF(Indice_index!$Z$1=1,"setembro","September")</f>
        <v>September</v>
      </c>
      <c r="E167" s="21">
        <v>16740.139147999998</v>
      </c>
      <c r="F167" s="21">
        <v>17719.060898000003</v>
      </c>
      <c r="G167" s="21">
        <v>16063.801683</v>
      </c>
      <c r="H167" s="21">
        <v>16910.483918000002</v>
      </c>
      <c r="I167" s="7">
        <f t="shared" si="33"/>
        <v>808.57698000000164</v>
      </c>
      <c r="J167" s="22">
        <f t="shared" si="34"/>
        <v>5.8477515709118827E-2</v>
      </c>
      <c r="K167" s="22">
        <f t="shared" si="35"/>
        <v>5.2707463134086682E-2</v>
      </c>
      <c r="L167"/>
      <c r="M167" s="16"/>
      <c r="Z167" s="2"/>
      <c r="AA167" s="2"/>
      <c r="AB167" s="2"/>
    </row>
    <row r="168" spans="3:28" s="15" customFormat="1" ht="15.75" customHeight="1">
      <c r="C168" s="23"/>
      <c r="D168" s="7" t="str">
        <f>IF(Indice_index!$Z$1=1,"outubro","October")</f>
        <v>October</v>
      </c>
      <c r="E168" s="21">
        <v>18754.378216000001</v>
      </c>
      <c r="F168" s="21">
        <v>19937.353557999999</v>
      </c>
      <c r="G168" s="21">
        <v>18038.014138999999</v>
      </c>
      <c r="H168" s="21">
        <v>19038.400016</v>
      </c>
      <c r="I168" s="7">
        <f t="shared" si="33"/>
        <v>898.95354199999929</v>
      </c>
      <c r="J168" s="22">
        <f t="shared" si="34"/>
        <v>6.3077289386792953E-2</v>
      </c>
      <c r="K168" s="22">
        <f t="shared" si="35"/>
        <v>5.5459867660102663E-2</v>
      </c>
      <c r="L168"/>
      <c r="M168" s="16"/>
      <c r="Z168" s="2"/>
      <c r="AA168" s="2"/>
      <c r="AB168" s="2"/>
    </row>
    <row r="169" spans="3:28" s="15" customFormat="1" ht="15.75" customHeight="1">
      <c r="C169" s="23"/>
      <c r="D169" s="7" t="str">
        <f>IF(Indice_index!$Z$1=1,"novembro","November")</f>
        <v>November</v>
      </c>
      <c r="E169" s="21">
        <v>21150.217443000001</v>
      </c>
      <c r="F169" s="21">
        <v>22221.234576999999</v>
      </c>
      <c r="G169" s="21">
        <v>20576.41505</v>
      </c>
      <c r="H169" s="21">
        <v>21736.639422</v>
      </c>
      <c r="I169" s="7">
        <f t="shared" si="33"/>
        <v>484.59515499999907</v>
      </c>
      <c r="J169" s="22">
        <f t="shared" si="34"/>
        <v>5.0638587375585964E-2</v>
      </c>
      <c r="K169" s="22">
        <f t="shared" si="35"/>
        <v>5.6386127961585833E-2</v>
      </c>
      <c r="L169"/>
      <c r="M169" s="16"/>
      <c r="Z169" s="2"/>
      <c r="AA169" s="2"/>
      <c r="AB169" s="2"/>
    </row>
    <row r="170" spans="3:28" s="15" customFormat="1" ht="15.75" customHeight="1">
      <c r="C170" s="23"/>
      <c r="D170" s="24" t="str">
        <f>IF(Indice_index!$Z$1=1,"dezembro","December")</f>
        <v>December</v>
      </c>
      <c r="E170" s="21">
        <v>24239.232591999997</v>
      </c>
      <c r="F170" s="21">
        <v>25644.998103999998</v>
      </c>
      <c r="G170" s="21">
        <v>23857.643509999998</v>
      </c>
      <c r="H170" s="21">
        <v>25017.038520999995</v>
      </c>
      <c r="I170" s="24">
        <f>IF(F170="","",+F170-H170)</f>
        <v>627.95958300000348</v>
      </c>
      <c r="J170" s="22">
        <f t="shared" si="34"/>
        <v>5.7995462796291898E-2</v>
      </c>
      <c r="K170" s="22">
        <f t="shared" si="35"/>
        <v>4.8596375853886542E-2</v>
      </c>
      <c r="L170"/>
      <c r="M170" s="16"/>
      <c r="Z170" s="2"/>
      <c r="AA170" s="2"/>
      <c r="AB170" s="2"/>
    </row>
    <row r="171" spans="3:28" s="15" customFormat="1">
      <c r="C171" s="23"/>
      <c r="D171" s="24"/>
      <c r="E171" s="21"/>
      <c r="F171" s="21"/>
      <c r="G171" s="21"/>
      <c r="H171" s="21"/>
      <c r="I171" s="24"/>
      <c r="J171" s="25"/>
      <c r="K171" s="25"/>
      <c r="L171"/>
      <c r="M171" s="16"/>
      <c r="Z171" s="2"/>
      <c r="AA171" s="2"/>
      <c r="AB171" s="2"/>
    </row>
    <row r="172" spans="3:28" ht="15.75" customHeight="1">
      <c r="C172" s="20" t="s">
        <v>3</v>
      </c>
      <c r="D172" s="7" t="str">
        <f>IF(Indice_index!$Z$1=1,"janeiro","January")</f>
        <v>January</v>
      </c>
      <c r="E172" s="21">
        <v>1835.41508</v>
      </c>
      <c r="F172" s="21">
        <v>1844.469867</v>
      </c>
      <c r="G172" s="21">
        <v>1407.262301</v>
      </c>
      <c r="H172" s="21">
        <v>1377.8520699999999</v>
      </c>
      <c r="I172" s="7">
        <f t="shared" ref="I172:I180" si="36">IF(F172="","",+F172-H172)</f>
        <v>466.61779700000011</v>
      </c>
      <c r="J172" s="22">
        <f t="shared" ref="J172:J180" si="37">IF(F172="","",IF(E172=0,"-",(F172-E172)/E172))</f>
        <v>4.9333728913244154E-3</v>
      </c>
      <c r="K172" s="22">
        <f t="shared" ref="K172:K180" si="38">IF(H172="","",IF(G172=0,"-",(H172-G172)/G172))</f>
        <v>-2.0898897795458012E-2</v>
      </c>
    </row>
    <row r="173" spans="3:28" ht="15.75" customHeight="1">
      <c r="C173" s="24"/>
      <c r="D173" s="7" t="str">
        <f>IF(Indice_index!$Z$1=1,"fevereiro","February")</f>
        <v>February</v>
      </c>
      <c r="E173" s="21">
        <v>3813.17371</v>
      </c>
      <c r="F173" s="21">
        <v>3594.7629689999999</v>
      </c>
      <c r="G173" s="21">
        <v>3086.3719719999999</v>
      </c>
      <c r="H173" s="21">
        <v>2992.4374659999999</v>
      </c>
      <c r="I173" s="7">
        <f t="shared" si="36"/>
        <v>602.32550300000003</v>
      </c>
      <c r="J173" s="22">
        <f t="shared" si="37"/>
        <v>-5.7277941581108861E-2</v>
      </c>
      <c r="K173" s="22">
        <f t="shared" si="38"/>
        <v>-3.0435251114313857E-2</v>
      </c>
    </row>
    <row r="174" spans="3:28" ht="15.75" customHeight="1">
      <c r="D174" s="7" t="str">
        <f>IF(Indice_index!$Z$1=1,"março","March")</f>
        <v>March</v>
      </c>
      <c r="E174" s="21">
        <v>5678.1</v>
      </c>
      <c r="F174" s="21">
        <v>5381</v>
      </c>
      <c r="G174" s="21">
        <v>4856.2</v>
      </c>
      <c r="H174" s="21">
        <v>4645.8999999999996</v>
      </c>
      <c r="I174" s="7">
        <f t="shared" si="36"/>
        <v>735.10000000000036</v>
      </c>
      <c r="J174" s="22">
        <f t="shared" si="37"/>
        <v>-5.2323840721368121E-2</v>
      </c>
      <c r="K174" s="22">
        <f t="shared" si="38"/>
        <v>-4.3305465178534695E-2</v>
      </c>
    </row>
    <row r="175" spans="3:28" ht="15.75" customHeight="1">
      <c r="D175" s="7" t="str">
        <f>IF(Indice_index!$Z$1=1,"abril","April")</f>
        <v>April</v>
      </c>
      <c r="E175" s="21">
        <v>7513.0031630000003</v>
      </c>
      <c r="F175" s="21">
        <v>7107.2688610000005</v>
      </c>
      <c r="G175" s="21">
        <v>6710.5540730000002</v>
      </c>
      <c r="H175" s="21">
        <v>6297.6940400000003</v>
      </c>
      <c r="I175" s="7">
        <f t="shared" si="36"/>
        <v>809.57482100000016</v>
      </c>
      <c r="J175" s="22">
        <f t="shared" si="37"/>
        <v>-5.4004276744905162E-2</v>
      </c>
      <c r="K175" s="22">
        <f t="shared" si="38"/>
        <v>-6.1523985725880304E-2</v>
      </c>
    </row>
    <row r="176" spans="3:28" ht="15.75" customHeight="1">
      <c r="D176" s="7" t="str">
        <f>IF(Indice_index!$Z$1=1,"maio","May")</f>
        <v>May</v>
      </c>
      <c r="E176" s="27">
        <v>9433.3864890000004</v>
      </c>
      <c r="F176" s="27">
        <v>8956.3154939999986</v>
      </c>
      <c r="G176" s="27">
        <v>8522.3633220000011</v>
      </c>
      <c r="H176" s="27">
        <v>7920.8015890000006</v>
      </c>
      <c r="I176" s="7">
        <f>IF(F176="","",+F176-H176)</f>
        <v>1035.513904999998</v>
      </c>
      <c r="J176" s="22">
        <f t="shared" si="37"/>
        <v>-5.057261202605242E-2</v>
      </c>
      <c r="K176" s="22">
        <f t="shared" si="38"/>
        <v>-7.0586257622589577E-2</v>
      </c>
    </row>
    <row r="177" spans="3:13" ht="15.75" customHeight="1">
      <c r="D177" s="7" t="str">
        <f>IF(Indice_index!$Z$1=1,"junho","June")</f>
        <v>June</v>
      </c>
      <c r="E177" s="12">
        <v>11602.694808000002</v>
      </c>
      <c r="F177" s="12">
        <v>11011.724913000002</v>
      </c>
      <c r="G177" s="12">
        <v>10876.04931</v>
      </c>
      <c r="H177" s="29">
        <v>10168.964720000002</v>
      </c>
      <c r="I177" s="7">
        <f>IF(F177="","",+F177-H177)</f>
        <v>842.76019300000007</v>
      </c>
      <c r="J177" s="22">
        <f>IF(F177="","",IF(E177=0,"-",(F177-E177)/E177))</f>
        <v>-5.0933848108504008E-2</v>
      </c>
      <c r="K177" s="22">
        <f>IF(H177="","",IF(G177=0,"-",(H177-G177)/G177))</f>
        <v>-6.5012999651433034E-2</v>
      </c>
    </row>
    <row r="178" spans="3:13" ht="15.75" customHeight="1">
      <c r="D178" s="7" t="str">
        <f>IF(Indice_index!$Z$1=1,"julho","July")</f>
        <v>July</v>
      </c>
      <c r="E178" s="21">
        <v>14190.901143999999</v>
      </c>
      <c r="F178" s="27">
        <v>13871.356334000002</v>
      </c>
      <c r="G178" s="27">
        <v>13228.556942000001</v>
      </c>
      <c r="H178" s="27">
        <v>12608.483100000001</v>
      </c>
      <c r="I178" s="7">
        <f>IF(F178="","",+F178-H178)</f>
        <v>1262.8732340000006</v>
      </c>
      <c r="J178" s="22">
        <f>IF(F178="","",IF(E178=0,"-",(F178-E178)/E178))</f>
        <v>-2.2517584102479858E-2</v>
      </c>
      <c r="K178" s="22">
        <f>IF(H178="","",IF(G178=0,"-",(H178-G178)/G178))</f>
        <v>-4.6873883880054715E-2</v>
      </c>
    </row>
    <row r="179" spans="3:13" ht="15.75" customHeight="1">
      <c r="D179" s="7" t="str">
        <f>IF(Indice_index!$Z$1=1,"agosto","August")</f>
        <v>August</v>
      </c>
      <c r="E179" s="21">
        <v>16000.504284999997</v>
      </c>
      <c r="F179" s="21">
        <v>15618.153325000001</v>
      </c>
      <c r="G179" s="21">
        <v>15174.946141</v>
      </c>
      <c r="H179" s="21">
        <v>14468.574114000001</v>
      </c>
      <c r="I179" s="7">
        <f t="shared" si="36"/>
        <v>1149.5792110000002</v>
      </c>
      <c r="J179" s="22">
        <f>IF(F179="","",IF(E179=0,"-",(F179-E179)/E179))</f>
        <v>-2.3896181844620917E-2</v>
      </c>
      <c r="K179" s="22">
        <f t="shared" si="38"/>
        <v>-4.6548568966021442E-2</v>
      </c>
    </row>
    <row r="180" spans="3:13" ht="15.75" customHeight="1">
      <c r="D180" s="7" t="str">
        <f>IF(Indice_index!$Z$1=1,"setembro","September")</f>
        <v>September</v>
      </c>
      <c r="E180" s="21">
        <v>17892.987549000001</v>
      </c>
      <c r="F180" s="21">
        <v>17486.594544999996</v>
      </c>
      <c r="G180" s="21">
        <v>17078.428346000001</v>
      </c>
      <c r="H180" s="21">
        <v>16469.688021000002</v>
      </c>
      <c r="I180" s="7">
        <f t="shared" si="36"/>
        <v>1016.9065239999945</v>
      </c>
      <c r="J180" s="22">
        <f t="shared" si="37"/>
        <v>-2.271241752597751E-2</v>
      </c>
      <c r="K180" s="22">
        <f t="shared" si="38"/>
        <v>-3.5643814095023214E-2</v>
      </c>
    </row>
    <row r="181" spans="3:13" ht="15.75" customHeight="1">
      <c r="D181" s="7" t="str">
        <f>IF(Indice_index!$Z$1=1,"outubro","October")</f>
        <v>October</v>
      </c>
      <c r="E181" s="27">
        <v>19940.252985000003</v>
      </c>
      <c r="F181" s="27">
        <v>19268.191201000001</v>
      </c>
      <c r="G181" s="27">
        <v>19038.416756999999</v>
      </c>
      <c r="H181" s="21">
        <v>18333.419876</v>
      </c>
      <c r="I181" s="7">
        <f>IF(F181="","",+F181-H181)</f>
        <v>934.77132500000153</v>
      </c>
      <c r="J181" s="22">
        <f>IF(F181="","",IF(E181=0,"-",(F181-E181)/E181))</f>
        <v>-3.3703774195119683E-2</v>
      </c>
      <c r="K181" s="22">
        <f>IF(H181="","",IF(G181=0,"-",(H181-G181)/G181))</f>
        <v>-3.7030226304967696E-2</v>
      </c>
    </row>
    <row r="182" spans="3:13" ht="15.75" customHeight="1">
      <c r="D182" s="7" t="str">
        <f>IF(Indice_index!$Z$1=1,"novembro","November")</f>
        <v>November</v>
      </c>
      <c r="E182" s="27">
        <v>22226.848056000003</v>
      </c>
      <c r="F182" s="27">
        <v>21717.41272</v>
      </c>
      <c r="G182" s="27">
        <v>21736.657134999998</v>
      </c>
      <c r="H182" s="21">
        <v>21250.734970000001</v>
      </c>
      <c r="I182" s="7">
        <f>IF(F182="","",+F182-H182)</f>
        <v>466.67774999999892</v>
      </c>
      <c r="J182" s="22">
        <f>IF(F182="","",IF(E182=0,"-",(F182-E182)/E182))</f>
        <v>-2.2919819072703983E-2</v>
      </c>
      <c r="K182" s="22">
        <f>IF(H182="","",IF(G182=0,"-",(H182-G182)/G182))</f>
        <v>-2.2354962954150511E-2</v>
      </c>
    </row>
    <row r="183" spans="3:13" ht="15.75" customHeight="1">
      <c r="D183" s="24" t="str">
        <f>IF(Indice_index!$Z$1=1,"dezembro","December")</f>
        <v>December</v>
      </c>
      <c r="E183" s="21">
        <v>25644.998103999998</v>
      </c>
      <c r="F183" s="21">
        <v>26526.155274000004</v>
      </c>
      <c r="G183" s="21">
        <v>25017.038520999995</v>
      </c>
      <c r="H183" s="21">
        <v>24431.469589999997</v>
      </c>
      <c r="I183" s="7">
        <f>IF(F183="","",+F183-H183)</f>
        <v>2094.6856840000073</v>
      </c>
      <c r="J183" s="22">
        <f>IF(F183="","",IF(E183=0,"-",(F183-E183)/E183))</f>
        <v>3.4359806400709646E-2</v>
      </c>
      <c r="K183" s="22">
        <f>IF(H183="","",IF(G183=0,"-",(H183-G183)/G183))</f>
        <v>-2.3406804546767405E-2</v>
      </c>
    </row>
    <row r="184" spans="3:13">
      <c r="C184" s="24"/>
      <c r="D184" s="24"/>
      <c r="E184" s="28"/>
      <c r="F184" s="28"/>
      <c r="G184" s="12"/>
      <c r="H184" s="12"/>
      <c r="I184" s="24"/>
    </row>
    <row r="185" spans="3:13" ht="15.75" customHeight="1">
      <c r="C185" s="20" t="s">
        <v>4</v>
      </c>
      <c r="D185" s="7" t="str">
        <f>IF(Indice_index!$Z$1=1,"janeiro","January")</f>
        <v>January</v>
      </c>
      <c r="E185" s="12">
        <v>1844.5089740000001</v>
      </c>
      <c r="F185" s="12">
        <v>1971.9937710000002</v>
      </c>
      <c r="G185" s="12">
        <v>1377.8520699999999</v>
      </c>
      <c r="H185" s="29">
        <v>1466.6785690000002</v>
      </c>
      <c r="I185" s="7">
        <f t="shared" ref="I185:I209" si="39">IF(F185="","",+F185-H185)</f>
        <v>505.315202</v>
      </c>
      <c r="J185" s="22">
        <f t="shared" ref="J185:J209" si="40">IF(F185="","",IF(E185=0,"-",(F185-E185)/E185))</f>
        <v>6.911584535343121E-2</v>
      </c>
      <c r="K185" s="22">
        <f t="shared" ref="K185:K209" si="41">IF(H185="","",IF(G185=0,"-",(H185-G185)/G185))</f>
        <v>6.4467369853427187E-2</v>
      </c>
    </row>
    <row r="186" spans="3:13" ht="15.75" customHeight="1">
      <c r="C186" s="20"/>
      <c r="D186" s="7" t="str">
        <f>IF(Indice_index!$Z$1=1,"fevereiro","February")</f>
        <v>February</v>
      </c>
      <c r="E186" s="12">
        <v>3594.8328099999994</v>
      </c>
      <c r="F186" s="12">
        <v>3835.5968069999999</v>
      </c>
      <c r="G186" s="12">
        <v>2992.4374660000003</v>
      </c>
      <c r="H186" s="29">
        <v>3102.8118710000003</v>
      </c>
      <c r="I186" s="7">
        <f t="shared" si="39"/>
        <v>732.78493599999956</v>
      </c>
      <c r="J186" s="22">
        <f t="shared" si="40"/>
        <v>6.6975019347283782E-2</v>
      </c>
      <c r="K186" s="22">
        <f t="shared" si="41"/>
        <v>3.6884448298108566E-2</v>
      </c>
    </row>
    <row r="187" spans="3:13" ht="15.75" customHeight="1">
      <c r="C187" s="20"/>
      <c r="D187" s="7" t="str">
        <f>IF(Indice_index!$Z$1=1,"março","March")</f>
        <v>March</v>
      </c>
      <c r="E187" s="12">
        <v>5381.148502</v>
      </c>
      <c r="F187" s="12">
        <v>5699.6951840000002</v>
      </c>
      <c r="G187" s="12">
        <v>4645.8849010000004</v>
      </c>
      <c r="H187" s="29">
        <v>4828.7117609999996</v>
      </c>
      <c r="I187" s="7">
        <f t="shared" si="39"/>
        <v>870.98342300000058</v>
      </c>
      <c r="J187" s="22">
        <f t="shared" si="40"/>
        <v>5.9196783341252633E-2</v>
      </c>
      <c r="K187" s="22">
        <f t="shared" si="41"/>
        <v>3.9352429923661426E-2</v>
      </c>
    </row>
    <row r="188" spans="3:13" ht="15.75" customHeight="1">
      <c r="C188" s="20"/>
      <c r="D188" s="7" t="str">
        <f>IF(Indice_index!$Z$1=1,"abril","April")</f>
        <v>April</v>
      </c>
      <c r="E188" s="12">
        <v>7107.4493259999999</v>
      </c>
      <c r="F188" s="12">
        <v>7495.9317709999996</v>
      </c>
      <c r="G188" s="12">
        <v>6297.6940400000003</v>
      </c>
      <c r="H188" s="12">
        <v>6504.9604389999995</v>
      </c>
      <c r="I188" s="7">
        <f t="shared" si="39"/>
        <v>990.97133200000007</v>
      </c>
      <c r="J188" s="22">
        <f t="shared" si="40"/>
        <v>5.4658489590475014E-2</v>
      </c>
      <c r="K188" s="22">
        <f t="shared" si="41"/>
        <v>3.2911474848339756E-2</v>
      </c>
    </row>
    <row r="189" spans="3:13" ht="15.75" customHeight="1">
      <c r="C189" s="20"/>
      <c r="D189" s="7" t="str">
        <f>IF(Indice_index!$Z$1=1,"maio","May")</f>
        <v>May</v>
      </c>
      <c r="E189" s="12">
        <v>8956.3154939999986</v>
      </c>
      <c r="F189" s="12">
        <v>9525.4974840000014</v>
      </c>
      <c r="G189" s="12">
        <v>7920.8015890000006</v>
      </c>
      <c r="H189" s="12">
        <v>8447.4632000000001</v>
      </c>
      <c r="I189" s="7">
        <f t="shared" si="39"/>
        <v>1078.0342840000012</v>
      </c>
      <c r="J189" s="22">
        <f t="shared" si="40"/>
        <v>6.3550908895662325E-2</v>
      </c>
      <c r="K189" s="22">
        <f t="shared" si="41"/>
        <v>6.6490948558969074E-2</v>
      </c>
    </row>
    <row r="190" spans="3:13" ht="15.75" customHeight="1">
      <c r="C190" s="20"/>
      <c r="D190" s="7" t="str">
        <f>IF(Indice_index!$Z$1=1,"junho","June")</f>
        <v>June</v>
      </c>
      <c r="E190" s="12">
        <v>11011.724913000002</v>
      </c>
      <c r="F190" s="12">
        <v>11567.658069999999</v>
      </c>
      <c r="G190" s="12">
        <v>10168.964720000002</v>
      </c>
      <c r="H190" s="12">
        <v>10461.230002</v>
      </c>
      <c r="I190" s="7">
        <f>IF(F190="","",+F190-H190)</f>
        <v>1106.4280679999993</v>
      </c>
      <c r="J190" s="22">
        <f>IF(F190="","",IF(E190=0,"-",(F190-E190)/E190))</f>
        <v>5.0485565285388237E-2</v>
      </c>
      <c r="K190" s="22">
        <f>IF(H190="","",IF(G190=0,"-",(H190-G190)/G190))</f>
        <v>2.8740908248524086E-2</v>
      </c>
    </row>
    <row r="191" spans="3:13" ht="15.75" customHeight="1">
      <c r="C191" s="24"/>
      <c r="D191" s="7" t="str">
        <f>IF(Indice_index!$Z$1=1,"julho","July")</f>
        <v>July</v>
      </c>
      <c r="E191" s="12">
        <v>13871.356334000002</v>
      </c>
      <c r="F191" s="12">
        <v>13788.472325999999</v>
      </c>
      <c r="G191" s="12">
        <v>12608.483100000001</v>
      </c>
      <c r="H191" s="12">
        <v>12804.140156445999</v>
      </c>
      <c r="I191" s="7">
        <f t="shared" si="39"/>
        <v>984.33216955399985</v>
      </c>
      <c r="J191" s="22">
        <f t="shared" si="40"/>
        <v>-5.9751913226283584E-3</v>
      </c>
      <c r="K191" s="22">
        <f t="shared" si="41"/>
        <v>1.5517890208854546E-2</v>
      </c>
      <c r="M191" s="30"/>
    </row>
    <row r="192" spans="3:13" ht="15.75" customHeight="1">
      <c r="C192" s="24"/>
      <c r="D192" s="7" t="str">
        <f>IF(Indice_index!$Z$1=1,"agosto","August")</f>
        <v>August</v>
      </c>
      <c r="E192" s="12">
        <v>15618.153325000001</v>
      </c>
      <c r="F192" s="12">
        <v>15859.084460999999</v>
      </c>
      <c r="G192" s="12">
        <v>14468.574114000001</v>
      </c>
      <c r="H192" s="12">
        <v>14665.161736000002</v>
      </c>
      <c r="I192" s="7">
        <f t="shared" si="39"/>
        <v>1193.9227249999967</v>
      </c>
      <c r="J192" s="22">
        <f t="shared" si="40"/>
        <v>1.5426352334135342E-2</v>
      </c>
      <c r="K192" s="22">
        <f t="shared" si="41"/>
        <v>1.3587214638502623E-2</v>
      </c>
      <c r="M192" s="30"/>
    </row>
    <row r="193" spans="3:28" ht="15.75" customHeight="1">
      <c r="C193" s="24"/>
      <c r="D193" s="7" t="str">
        <f>IF(Indice_index!$Z$1=1,"setembro","September")</f>
        <v>September</v>
      </c>
      <c r="E193" s="12">
        <v>17486.594544999996</v>
      </c>
      <c r="F193" s="12">
        <v>17587.220332999997</v>
      </c>
      <c r="G193" s="12">
        <v>16469.688021000002</v>
      </c>
      <c r="H193" s="12">
        <v>16429.717403999999</v>
      </c>
      <c r="I193" s="7">
        <f t="shared" si="39"/>
        <v>1157.5029289999984</v>
      </c>
      <c r="J193" s="22">
        <f t="shared" si="40"/>
        <v>5.7544530892536467E-3</v>
      </c>
      <c r="K193" s="22">
        <f t="shared" si="41"/>
        <v>-2.4269201061390688E-3</v>
      </c>
      <c r="M193" s="30"/>
    </row>
    <row r="194" spans="3:28" ht="15.75" customHeight="1">
      <c r="C194" s="24"/>
      <c r="D194" s="7" t="str">
        <f>IF(Indice_index!$Z$1=1,"outubro","October")</f>
        <v>October</v>
      </c>
      <c r="E194" s="7">
        <v>19268.191201000001</v>
      </c>
      <c r="F194" s="7">
        <v>19633.815931999998</v>
      </c>
      <c r="G194" s="7">
        <v>18333.419876</v>
      </c>
      <c r="H194" s="11">
        <v>18321.163288000003</v>
      </c>
      <c r="I194" s="7">
        <f t="shared" si="39"/>
        <v>1312.6526439999943</v>
      </c>
      <c r="J194" s="22">
        <f t="shared" si="40"/>
        <v>1.8975560662955259E-2</v>
      </c>
      <c r="K194" s="22">
        <f t="shared" si="41"/>
        <v>-6.6853800779643232E-4</v>
      </c>
      <c r="M194" s="30"/>
    </row>
    <row r="195" spans="3:28" ht="15.75" customHeight="1">
      <c r="C195" s="24"/>
      <c r="D195" s="7" t="str">
        <f>IF(Indice_index!$Z$1=1,"novembro","November")</f>
        <v>November</v>
      </c>
      <c r="E195" s="7">
        <v>21717.41272</v>
      </c>
      <c r="F195" s="7">
        <v>21972.912554000002</v>
      </c>
      <c r="G195" s="7">
        <v>21250.734970000001</v>
      </c>
      <c r="H195" s="11">
        <v>20931.754814999997</v>
      </c>
      <c r="I195" s="7">
        <f t="shared" si="39"/>
        <v>1041.1577390000057</v>
      </c>
      <c r="J195" s="22">
        <f t="shared" si="40"/>
        <v>1.176474551983382E-2</v>
      </c>
      <c r="K195" s="22">
        <f t="shared" si="41"/>
        <v>-1.5010311664528972E-2</v>
      </c>
      <c r="M195" s="30"/>
    </row>
    <row r="196" spans="3:28" s="32" customFormat="1" ht="15.75" customHeight="1">
      <c r="C196" s="33"/>
      <c r="D196" s="32" t="str">
        <f>IF(Indice_index!$Z$1=1,"dezembro","December")</f>
        <v>December</v>
      </c>
      <c r="E196" s="32">
        <v>26526.155274000004</v>
      </c>
      <c r="F196" s="32">
        <v>24429.838828</v>
      </c>
      <c r="G196" s="32">
        <v>24431.469589999997</v>
      </c>
      <c r="H196" s="32">
        <v>23527.296380000003</v>
      </c>
      <c r="I196" s="32">
        <f t="shared" si="39"/>
        <v>902.54244799999651</v>
      </c>
      <c r="J196" s="39">
        <f t="shared" si="40"/>
        <v>-7.9028280742016899E-2</v>
      </c>
      <c r="K196" s="39">
        <f t="shared" si="41"/>
        <v>-3.7008547794033606E-2</v>
      </c>
      <c r="L196"/>
      <c r="M196" s="40"/>
      <c r="Z196" s="41"/>
      <c r="AA196" s="41"/>
      <c r="AB196" s="41"/>
    </row>
    <row r="197" spans="3:28" s="32" customFormat="1" ht="15.75" customHeight="1">
      <c r="C197" s="33"/>
      <c r="J197" s="39"/>
      <c r="K197" s="39"/>
      <c r="L197"/>
      <c r="M197" s="40"/>
      <c r="Z197" s="41"/>
      <c r="AA197" s="41"/>
      <c r="AB197" s="41"/>
    </row>
    <row r="198" spans="3:28" s="32" customFormat="1" ht="15.75" customHeight="1">
      <c r="C198" s="20" t="s">
        <v>5</v>
      </c>
      <c r="D198" s="32" t="str">
        <f>IF(Indice_index!$Z$1=1,"janeiro","January")</f>
        <v>January</v>
      </c>
      <c r="E198" s="32">
        <v>1978.5820369999999</v>
      </c>
      <c r="F198" s="32">
        <v>2164.8504989999997</v>
      </c>
      <c r="G198" s="32">
        <v>1473.427267</v>
      </c>
      <c r="H198" s="32">
        <v>1630.4437870000002</v>
      </c>
      <c r="I198" s="32">
        <f t="shared" si="39"/>
        <v>534.40671199999952</v>
      </c>
      <c r="J198" s="39">
        <f t="shared" si="40"/>
        <v>9.4142400222346601E-2</v>
      </c>
      <c r="K198" s="39">
        <f t="shared" si="41"/>
        <v>0.10656550446476848</v>
      </c>
      <c r="L198"/>
      <c r="M198" s="207"/>
      <c r="Z198" s="41"/>
      <c r="AA198" s="41"/>
      <c r="AB198" s="41"/>
    </row>
    <row r="199" spans="3:28" s="32" customFormat="1" ht="15.75" customHeight="1">
      <c r="C199" s="20"/>
      <c r="D199" s="32" t="str">
        <f>IF(Indice_index!$Z$1=1,"fevereiro","February")</f>
        <v>February</v>
      </c>
      <c r="E199" s="32">
        <v>3835.9403160000002</v>
      </c>
      <c r="F199" s="32">
        <v>4576.2596320000002</v>
      </c>
      <c r="G199" s="32">
        <v>3092.2867649999998</v>
      </c>
      <c r="H199" s="32">
        <v>3652.0553099999997</v>
      </c>
      <c r="I199" s="32">
        <f t="shared" si="39"/>
        <v>924.2043220000005</v>
      </c>
      <c r="J199" s="39">
        <f t="shared" si="40"/>
        <v>0.19299552522026259</v>
      </c>
      <c r="K199" s="39">
        <f t="shared" si="41"/>
        <v>0.18102090379706423</v>
      </c>
      <c r="L199"/>
      <c r="M199" s="40"/>
      <c r="Z199" s="41"/>
      <c r="AA199" s="41"/>
      <c r="AB199" s="41"/>
    </row>
    <row r="200" spans="3:28" s="32" customFormat="1" ht="15.75" customHeight="1">
      <c r="C200" s="20"/>
      <c r="D200" s="32" t="str">
        <f>IF(Indice_index!$Z$1=1,"março","March")</f>
        <v>March</v>
      </c>
      <c r="E200" s="32">
        <v>5699.6951840000002</v>
      </c>
      <c r="F200" s="32">
        <v>6487.1669079999992</v>
      </c>
      <c r="G200" s="32">
        <v>4828.7117609999996</v>
      </c>
      <c r="H200" s="32">
        <v>5611.0730239999994</v>
      </c>
      <c r="I200" s="32">
        <f t="shared" si="39"/>
        <v>876.09388399999989</v>
      </c>
      <c r="J200" s="39">
        <f t="shared" si="40"/>
        <v>0.13816032236435455</v>
      </c>
      <c r="K200" s="39">
        <f t="shared" si="41"/>
        <v>0.16202277164665077</v>
      </c>
      <c r="L200"/>
      <c r="M200" s="40"/>
      <c r="Z200" s="41"/>
      <c r="AA200" s="41"/>
      <c r="AB200" s="41"/>
    </row>
    <row r="201" spans="3:28" s="32" customFormat="1" ht="15.75" customHeight="1">
      <c r="C201" s="20"/>
      <c r="D201" s="32" t="str">
        <f>IF(Indice_index!$Z$1=1,"abril","April")</f>
        <v>April</v>
      </c>
      <c r="E201" s="32">
        <v>7528.97523</v>
      </c>
      <c r="F201" s="32">
        <v>8409.5278460000009</v>
      </c>
      <c r="G201" s="32">
        <v>6534.3310999999994</v>
      </c>
      <c r="H201" s="32">
        <v>7525.7258510000001</v>
      </c>
      <c r="I201" s="32">
        <f t="shared" si="39"/>
        <v>883.80199500000072</v>
      </c>
      <c r="J201" s="39">
        <f t="shared" si="40"/>
        <v>0.11695517505375043</v>
      </c>
      <c r="K201" s="39">
        <f t="shared" si="41"/>
        <v>0.15172092381422189</v>
      </c>
      <c r="L201"/>
      <c r="M201" s="40"/>
      <c r="Z201" s="41"/>
      <c r="AA201" s="41"/>
      <c r="AB201" s="41"/>
    </row>
    <row r="202" spans="3:28" s="32" customFormat="1" ht="15.75" customHeight="1">
      <c r="C202" s="20"/>
      <c r="D202" s="32" t="str">
        <f>IF(Indice_index!$Z$1=1,"maio","May")</f>
        <v>May</v>
      </c>
      <c r="E202" s="32">
        <v>9532.0290339999992</v>
      </c>
      <c r="F202" s="32">
        <v>10497.556969999998</v>
      </c>
      <c r="G202" s="32">
        <v>8450.917320999999</v>
      </c>
      <c r="H202" s="32">
        <v>9794.9468949999991</v>
      </c>
      <c r="I202" s="32">
        <f t="shared" si="39"/>
        <v>702.61007499999869</v>
      </c>
      <c r="J202" s="39">
        <f t="shared" si="40"/>
        <v>0.10129301249041901</v>
      </c>
      <c r="K202" s="39">
        <f t="shared" si="41"/>
        <v>0.1590394891996128</v>
      </c>
      <c r="L202"/>
      <c r="M202" s="40"/>
      <c r="Z202" s="41"/>
      <c r="AA202" s="41"/>
      <c r="AB202" s="41"/>
    </row>
    <row r="203" spans="3:28" s="32" customFormat="1" ht="15.75" customHeight="1">
      <c r="C203" s="20"/>
      <c r="D203" s="32" t="str">
        <f>IF(Indice_index!$Z$1=1,"junho","June")</f>
        <v>June</v>
      </c>
      <c r="E203" s="32">
        <v>11584.029534999998</v>
      </c>
      <c r="F203" s="32">
        <v>13040.112971999999</v>
      </c>
      <c r="G203" s="32">
        <v>10475.639537999999</v>
      </c>
      <c r="H203" s="32">
        <v>11801.850284</v>
      </c>
      <c r="I203" s="32">
        <f t="shared" si="39"/>
        <v>1238.2626879999989</v>
      </c>
      <c r="J203" s="39">
        <f t="shared" si="40"/>
        <v>0.12569749003147732</v>
      </c>
      <c r="K203" s="39">
        <f t="shared" si="41"/>
        <v>0.1265995017477663</v>
      </c>
      <c r="L203"/>
      <c r="M203" s="40"/>
      <c r="Z203" s="41"/>
      <c r="AA203" s="41"/>
      <c r="AB203" s="41"/>
    </row>
    <row r="204" spans="3:28" s="32" customFormat="1" ht="15.75" customHeight="1">
      <c r="C204" s="20"/>
      <c r="D204" s="32" t="str">
        <f>IF(Indice_index!$Z$1=1,"julho","July")</f>
        <v>July</v>
      </c>
      <c r="E204" s="32">
        <v>13807.840927000001</v>
      </c>
      <c r="F204" s="32">
        <v>15101.924756000002</v>
      </c>
      <c r="G204" s="32">
        <v>12820.684417000002</v>
      </c>
      <c r="H204" s="32">
        <v>14553.39675</v>
      </c>
      <c r="I204" s="32">
        <f t="shared" si="39"/>
        <v>548.52800600000228</v>
      </c>
      <c r="J204" s="39">
        <f t="shared" si="40"/>
        <v>9.3720939851612547E-2</v>
      </c>
      <c r="K204" s="39">
        <f t="shared" si="41"/>
        <v>0.1351497530586161</v>
      </c>
      <c r="L204"/>
      <c r="M204" s="40"/>
      <c r="Z204" s="41"/>
      <c r="AA204" s="41"/>
      <c r="AB204" s="41"/>
    </row>
    <row r="205" spans="3:28" s="32" customFormat="1" ht="15.75" customHeight="1">
      <c r="C205" s="20"/>
      <c r="D205" s="12" t="str">
        <f>IF(Indice_index!$Z$1=1,"agosto","August")</f>
        <v>August</v>
      </c>
      <c r="E205" s="32">
        <v>15865.183720999999</v>
      </c>
      <c r="F205" s="32">
        <v>18008.128609999996</v>
      </c>
      <c r="G205" s="32">
        <v>14674.003821</v>
      </c>
      <c r="H205" s="32">
        <v>17398.911681999998</v>
      </c>
      <c r="I205" s="32">
        <f t="shared" si="39"/>
        <v>609.21692799999801</v>
      </c>
      <c r="J205" s="39">
        <f t="shared" si="40"/>
        <v>0.13507217607341546</v>
      </c>
      <c r="K205" s="39">
        <f t="shared" si="41"/>
        <v>0.18569627582489628</v>
      </c>
      <c r="L205"/>
      <c r="M205" s="40"/>
      <c r="Z205" s="41"/>
      <c r="AA205" s="41"/>
      <c r="AB205" s="41"/>
    </row>
    <row r="206" spans="3:28" s="32" customFormat="1" ht="15.75" customHeight="1">
      <c r="C206" s="20"/>
      <c r="D206" s="12" t="str">
        <f>IF(Indice_index!$Z$1=1,"setembro","September")</f>
        <v>September</v>
      </c>
      <c r="E206" s="32">
        <v>17594.074723999998</v>
      </c>
      <c r="F206" s="32">
        <v>19842.455151000002</v>
      </c>
      <c r="G206" s="32">
        <v>16439.616589000001</v>
      </c>
      <c r="H206" s="32">
        <v>19347.735468000003</v>
      </c>
      <c r="I206" s="32">
        <f t="shared" si="39"/>
        <v>494.71968299999935</v>
      </c>
      <c r="J206" s="39">
        <f t="shared" si="40"/>
        <v>0.12779191075805754</v>
      </c>
      <c r="K206" s="39">
        <f t="shared" si="41"/>
        <v>0.17689700141461134</v>
      </c>
      <c r="L206"/>
      <c r="M206" s="40"/>
      <c r="Z206" s="41"/>
      <c r="AA206" s="41"/>
      <c r="AB206" s="41"/>
    </row>
    <row r="207" spans="3:28" s="32" customFormat="1" ht="15.75" customHeight="1">
      <c r="C207" s="20"/>
      <c r="D207" s="12" t="str">
        <f>IF(Indice_index!$Z$1=1,"outubro","October")</f>
        <v>October</v>
      </c>
      <c r="E207" s="32">
        <v>19641.286084999996</v>
      </c>
      <c r="F207" s="32">
        <v>21938.938627000003</v>
      </c>
      <c r="G207" s="32">
        <v>18332.111044000001</v>
      </c>
      <c r="H207" s="32">
        <v>21546.539317000002</v>
      </c>
      <c r="I207" s="32">
        <f t="shared" si="39"/>
        <v>392.3993100000007</v>
      </c>
      <c r="J207" s="39">
        <f t="shared" si="40"/>
        <v>0.11698075839110754</v>
      </c>
      <c r="K207" s="39">
        <f t="shared" si="41"/>
        <v>0.17534414150584507</v>
      </c>
      <c r="L207"/>
      <c r="M207" s="40"/>
      <c r="Z207" s="41"/>
      <c r="AA207" s="41"/>
      <c r="AB207" s="41"/>
    </row>
    <row r="208" spans="3:28" s="32" customFormat="1" ht="15.75" customHeight="1">
      <c r="C208" s="20"/>
      <c r="D208" s="12" t="str">
        <f>IF(Indice_index!$Z$1=1,"novembro","November")</f>
        <v>November</v>
      </c>
      <c r="E208" s="32">
        <v>21980.142507999997</v>
      </c>
      <c r="F208" s="32">
        <v>23990.2641</v>
      </c>
      <c r="G208" s="32">
        <v>20937.679405000003</v>
      </c>
      <c r="H208" s="32">
        <v>23581.589263000002</v>
      </c>
      <c r="I208" s="32">
        <f t="shared" si="39"/>
        <v>408.67483699999866</v>
      </c>
      <c r="J208" s="39">
        <f t="shared" si="40"/>
        <v>9.1451708798902909E-2</v>
      </c>
      <c r="K208" s="39">
        <f t="shared" si="41"/>
        <v>0.12627520972398798</v>
      </c>
      <c r="L208"/>
      <c r="M208" s="40"/>
      <c r="Z208" s="41"/>
      <c r="AA208" s="41"/>
      <c r="AB208" s="41"/>
    </row>
    <row r="209" spans="3:28" s="32" customFormat="1" ht="15.75" customHeight="1">
      <c r="C209" s="20"/>
      <c r="D209" s="32" t="str">
        <f>IF(Indice_index!$Z$1=1,"dezembro","December")</f>
        <v>December</v>
      </c>
      <c r="E209" s="32">
        <v>24552.122697999999</v>
      </c>
      <c r="F209" s="32">
        <v>28088.776213000001</v>
      </c>
      <c r="G209" s="32">
        <v>24006.257605999999</v>
      </c>
      <c r="H209" s="32">
        <v>26989.510598000001</v>
      </c>
      <c r="I209" s="32">
        <f t="shared" si="39"/>
        <v>1099.2656150000003</v>
      </c>
      <c r="J209" s="34">
        <f t="shared" si="40"/>
        <v>0.14404675141543241</v>
      </c>
      <c r="K209" s="34">
        <f t="shared" si="41"/>
        <v>0.12426980668800217</v>
      </c>
      <c r="L209" s="33"/>
      <c r="M209" s="207"/>
      <c r="N209" s="33"/>
      <c r="Z209" s="41"/>
      <c r="AA209" s="41"/>
      <c r="AB209" s="41"/>
    </row>
    <row r="210" spans="3:28" s="32" customFormat="1" ht="15.75" customHeight="1">
      <c r="C210" s="20"/>
      <c r="J210" s="34"/>
      <c r="K210" s="34"/>
      <c r="L210"/>
      <c r="M210" s="40"/>
      <c r="Z210" s="41"/>
      <c r="AA210" s="41"/>
      <c r="AB210" s="41"/>
    </row>
    <row r="211" spans="3:28" s="24" customFormat="1" ht="15.75" customHeight="1">
      <c r="C211" s="20">
        <v>2013</v>
      </c>
      <c r="D211" s="24" t="str">
        <f>IF(Indice_index!$Z$1=1,"janeiro","January")</f>
        <v>January</v>
      </c>
      <c r="E211" s="33">
        <v>2186.518986</v>
      </c>
      <c r="F211" s="33">
        <v>2117.1740679999994</v>
      </c>
      <c r="G211" s="33">
        <v>1689.5258254400005</v>
      </c>
      <c r="H211" s="33">
        <v>1552.9706331999998</v>
      </c>
      <c r="I211" s="33">
        <f t="shared" ref="I211:I222" si="42">IF(F211="","",+F211-H211)</f>
        <v>564.20343479999951</v>
      </c>
      <c r="J211" s="205">
        <f t="shared" ref="J211:J222" si="43">IF(F211="","",IF(E211=0,"-",(F211-E211)/E211))</f>
        <v>-3.171475685507754E-2</v>
      </c>
      <c r="K211" s="205">
        <f t="shared" ref="K211:K222" si="44">IF(H211="","",IF(G211=0,"-",(H211-G211)/G211))</f>
        <v>-8.0824566386511337E-2</v>
      </c>
      <c r="L211" s="33"/>
      <c r="M211" s="33"/>
      <c r="N211" s="33"/>
      <c r="Z211" s="42"/>
      <c r="AA211" s="42"/>
      <c r="AB211" s="42"/>
    </row>
    <row r="212" spans="3:28" s="24" customFormat="1" ht="15.75" customHeight="1">
      <c r="C212" s="20"/>
      <c r="D212" s="24" t="str">
        <f>IF(Indice_index!$Z$1=1,"fevereiro","February")</f>
        <v>February</v>
      </c>
      <c r="E212" s="33">
        <v>4576.2596319999993</v>
      </c>
      <c r="F212" s="33">
        <v>4177.5678190000008</v>
      </c>
      <c r="G212" s="33">
        <v>3652.0345035499995</v>
      </c>
      <c r="H212" s="33">
        <v>3617.8328838599987</v>
      </c>
      <c r="I212" s="33">
        <f t="shared" si="42"/>
        <v>559.73493514000211</v>
      </c>
      <c r="J212" s="205">
        <f t="shared" si="43"/>
        <v>-8.712176429241518E-2</v>
      </c>
      <c r="K212" s="205">
        <f t="shared" si="44"/>
        <v>-9.3650866816167178E-3</v>
      </c>
      <c r="L212" s="33"/>
      <c r="M212" s="33"/>
      <c r="N212" s="33"/>
      <c r="O212" s="33"/>
      <c r="Z212" s="42"/>
      <c r="AA212" s="42"/>
      <c r="AB212" s="42"/>
    </row>
    <row r="213" spans="3:28" s="24" customFormat="1" ht="15.75" customHeight="1">
      <c r="D213" s="24" t="str">
        <f>IF(Indice_index!$Z$1=1,"março","March")</f>
        <v>March</v>
      </c>
      <c r="E213" s="33">
        <v>6487.1669079999983</v>
      </c>
      <c r="F213" s="33">
        <v>6132.360377</v>
      </c>
      <c r="G213" s="33">
        <v>5611.0711412699975</v>
      </c>
      <c r="H213" s="33">
        <v>5749.8335832000012</v>
      </c>
      <c r="I213" s="33">
        <f t="shared" si="42"/>
        <v>382.52679379999881</v>
      </c>
      <c r="J213" s="205">
        <f t="shared" si="43"/>
        <v>-5.4693602928953415E-2</v>
      </c>
      <c r="K213" s="205">
        <f t="shared" si="44"/>
        <v>2.473011630691898E-2</v>
      </c>
      <c r="L213" s="33"/>
      <c r="M213" s="33"/>
      <c r="N213" s="33"/>
      <c r="O213" s="33"/>
      <c r="Z213" s="42"/>
      <c r="AA213" s="42"/>
      <c r="AB213" s="42"/>
    </row>
    <row r="214" spans="3:28" s="24" customFormat="1" ht="15.75" customHeight="1">
      <c r="D214" s="24" t="str">
        <f>IF(Indice_index!$Z$1=1,"abril","April")</f>
        <v>April</v>
      </c>
      <c r="E214" s="33">
        <v>8414.3905990000021</v>
      </c>
      <c r="F214" s="33">
        <v>8047.9190539999991</v>
      </c>
      <c r="G214" s="33">
        <v>7529.5403359699994</v>
      </c>
      <c r="H214" s="33">
        <v>7597.27440647</v>
      </c>
      <c r="I214" s="33">
        <f t="shared" si="42"/>
        <v>450.64464752999902</v>
      </c>
      <c r="J214" s="205">
        <f t="shared" si="43"/>
        <v>-4.3552951421527299E-2</v>
      </c>
      <c r="K214" s="205">
        <f t="shared" si="44"/>
        <v>8.995777627542877E-3</v>
      </c>
      <c r="L214" s="33"/>
      <c r="M214" s="33"/>
      <c r="N214" s="33"/>
      <c r="O214" s="33"/>
      <c r="Z214" s="42"/>
      <c r="AA214" s="42"/>
      <c r="AB214" s="42"/>
    </row>
    <row r="215" spans="3:28" s="24" customFormat="1" ht="15.75" customHeight="1">
      <c r="D215" s="24" t="str">
        <f>IF(Indice_index!$Z$1=1,"maio","May")</f>
        <v>May</v>
      </c>
      <c r="E215" s="33">
        <v>10471.199703999999</v>
      </c>
      <c r="F215" s="33">
        <v>10268.534245000003</v>
      </c>
      <c r="G215" s="33">
        <v>9794.9468950999981</v>
      </c>
      <c r="H215" s="33">
        <v>9832.6684359800001</v>
      </c>
      <c r="I215" s="33">
        <f t="shared" si="42"/>
        <v>435.86580902000242</v>
      </c>
      <c r="J215" s="205">
        <f t="shared" si="43"/>
        <v>-1.935455962343818E-2</v>
      </c>
      <c r="K215" s="205">
        <f t="shared" si="44"/>
        <v>3.8511225516569747E-3</v>
      </c>
      <c r="L215" s="33"/>
      <c r="M215" s="33"/>
      <c r="N215" s="33"/>
      <c r="O215" s="33"/>
      <c r="Z215" s="42"/>
      <c r="AA215" s="42"/>
      <c r="AB215" s="42"/>
    </row>
    <row r="216" spans="3:28" s="24" customFormat="1" ht="15.75" customHeight="1">
      <c r="D216" s="28" t="str">
        <f>IF(Indice_index!$Z$1=1,"junho","June")</f>
        <v>June</v>
      </c>
      <c r="E216" s="33">
        <v>13040.112971999999</v>
      </c>
      <c r="F216" s="33">
        <v>12319.868296000004</v>
      </c>
      <c r="G216" s="33">
        <v>11801.850284250006</v>
      </c>
      <c r="H216" s="33">
        <v>11903.639203239996</v>
      </c>
      <c r="I216" s="28">
        <f t="shared" si="42"/>
        <v>416.22909276000792</v>
      </c>
      <c r="J216" s="226">
        <f t="shared" si="43"/>
        <v>-5.5233008912309201E-2</v>
      </c>
      <c r="K216" s="226">
        <f t="shared" si="44"/>
        <v>8.6248271701795456E-3</v>
      </c>
      <c r="L216" s="33"/>
      <c r="M216" s="33"/>
      <c r="N216" s="33"/>
      <c r="O216" s="33"/>
      <c r="Z216" s="42"/>
      <c r="AA216" s="42"/>
      <c r="AB216" s="42"/>
    </row>
    <row r="217" spans="3:28" s="24" customFormat="1" ht="15.75" customHeight="1">
      <c r="D217" s="33" t="str">
        <f>IF(Indice_index!$Z$1=1,"julho","July")</f>
        <v>July</v>
      </c>
      <c r="E217" s="33">
        <v>15101.894569999997</v>
      </c>
      <c r="F217" s="33">
        <v>14178.52442</v>
      </c>
      <c r="G217" s="33">
        <v>14553.399068290011</v>
      </c>
      <c r="H217" s="33">
        <v>14001.907039980008</v>
      </c>
      <c r="I217" s="33">
        <f t="shared" si="42"/>
        <v>176.6173800199922</v>
      </c>
      <c r="J217" s="206">
        <f t="shared" si="43"/>
        <v>-6.1142669598175936E-2</v>
      </c>
      <c r="K217" s="206">
        <f t="shared" si="44"/>
        <v>-3.7894379568800117E-2</v>
      </c>
      <c r="L217" s="33"/>
      <c r="M217" s="33"/>
      <c r="N217" s="33"/>
      <c r="O217" s="33"/>
      <c r="Z217" s="42"/>
      <c r="AA217" s="42"/>
      <c r="AB217" s="42"/>
    </row>
    <row r="218" spans="3:28" s="24" customFormat="1" ht="15.75" customHeight="1">
      <c r="D218" s="33" t="str">
        <f>IF(Indice_index!$Z$1=1,"agosto","August")</f>
        <v>August</v>
      </c>
      <c r="E218" s="33">
        <v>18027.864687999994</v>
      </c>
      <c r="F218" s="33">
        <v>16803.004719999997</v>
      </c>
      <c r="G218" s="33">
        <v>17413.485229729999</v>
      </c>
      <c r="H218" s="33">
        <v>16246.991536379999</v>
      </c>
      <c r="I218" s="33">
        <f t="shared" si="42"/>
        <v>556.01318361999802</v>
      </c>
      <c r="J218" s="206">
        <f t="shared" si="43"/>
        <v>-6.7942598260974776E-2</v>
      </c>
      <c r="K218" s="206">
        <f t="shared" si="44"/>
        <v>-6.6987950887536729E-2</v>
      </c>
      <c r="L218" s="33"/>
      <c r="M218" s="33"/>
      <c r="N218" s="33"/>
      <c r="O218" s="33"/>
      <c r="Z218" s="42"/>
      <c r="AA218" s="42"/>
      <c r="AB218" s="42"/>
    </row>
    <row r="219" spans="3:28" s="24" customFormat="1" ht="15.75" customHeight="1">
      <c r="C219" s="33"/>
      <c r="D219" s="33" t="str">
        <f>IF(Indice_index!$Z$1=1,"setembro","September")</f>
        <v>September</v>
      </c>
      <c r="E219" s="33">
        <v>19859.613337999999</v>
      </c>
      <c r="F219" s="33">
        <v>18688.898580999994</v>
      </c>
      <c r="G219" s="33">
        <v>19368.527448540004</v>
      </c>
      <c r="H219" s="33">
        <v>18263.36713726999</v>
      </c>
      <c r="I219" s="33">
        <f t="shared" si="42"/>
        <v>425.53144373000396</v>
      </c>
      <c r="J219" s="206">
        <f t="shared" si="43"/>
        <v>-5.8949524196421452E-2</v>
      </c>
      <c r="K219" s="206">
        <f t="shared" si="44"/>
        <v>-5.7059593931768973E-2</v>
      </c>
      <c r="L219" s="33"/>
      <c r="M219" s="33"/>
      <c r="N219" s="33"/>
      <c r="O219" s="33"/>
      <c r="Z219" s="42"/>
      <c r="AA219" s="42"/>
      <c r="AB219" s="42"/>
    </row>
    <row r="220" spans="3:28" s="24" customFormat="1" ht="15.75" customHeight="1">
      <c r="C220" s="33"/>
      <c r="D220" s="33" t="str">
        <f>IF(Indice_index!$Z$1=1,"outubro","October")</f>
        <v>October</v>
      </c>
      <c r="E220" s="33">
        <v>21988.159698999993</v>
      </c>
      <c r="F220" s="33">
        <v>21139.303411000004</v>
      </c>
      <c r="G220" s="33">
        <v>21591.45300012</v>
      </c>
      <c r="H220" s="33">
        <v>20910.873619929996</v>
      </c>
      <c r="I220" s="33">
        <f t="shared" si="42"/>
        <v>228.42979107000792</v>
      </c>
      <c r="J220" s="206">
        <f t="shared" si="43"/>
        <v>-3.8605153847349652E-2</v>
      </c>
      <c r="K220" s="206">
        <f t="shared" si="44"/>
        <v>-3.1520777234687311E-2</v>
      </c>
      <c r="L220" s="33"/>
      <c r="M220" s="33"/>
      <c r="N220" s="33"/>
      <c r="O220" s="33"/>
      <c r="Z220" s="42"/>
      <c r="AA220" s="42"/>
      <c r="AB220" s="42"/>
    </row>
    <row r="221" spans="3:28" s="24" customFormat="1" ht="15.75" customHeight="1">
      <c r="C221" s="33"/>
      <c r="D221" s="33" t="str">
        <f>IF(Indice_index!$Z$1=1,"novembro","November")</f>
        <v>November</v>
      </c>
      <c r="E221" s="33">
        <v>24022.473492000005</v>
      </c>
      <c r="F221" s="33">
        <v>23692.133698999998</v>
      </c>
      <c r="G221" s="33">
        <v>23612.821883239994</v>
      </c>
      <c r="H221" s="33">
        <v>23770.058653480006</v>
      </c>
      <c r="I221" s="33">
        <f t="shared" si="42"/>
        <v>-77.924954480007727</v>
      </c>
      <c r="J221" s="206">
        <f t="shared" si="43"/>
        <v>-1.3751281403641329E-2</v>
      </c>
      <c r="K221" s="206">
        <f t="shared" si="44"/>
        <v>6.6589571978102162E-3</v>
      </c>
      <c r="L221" s="33"/>
      <c r="M221" s="33"/>
      <c r="N221" s="33"/>
      <c r="O221" s="33"/>
      <c r="Z221" s="42"/>
      <c r="AA221" s="42"/>
      <c r="AB221" s="42"/>
    </row>
    <row r="222" spans="3:28" s="24" customFormat="1" ht="15.75" customHeight="1">
      <c r="C222" s="33"/>
      <c r="D222" s="33" t="str">
        <f>IF(Indice_index!$Z$1=1,"dezembro","December")</f>
        <v>December</v>
      </c>
      <c r="E222" s="33">
        <v>28194.409235140007</v>
      </c>
      <c r="F222" s="33">
        <v>26432.079020999998</v>
      </c>
      <c r="G222" s="33">
        <v>27347.140215460007</v>
      </c>
      <c r="H222" s="33">
        <v>27086.760245890004</v>
      </c>
      <c r="I222" s="33">
        <f t="shared" si="42"/>
        <v>-654.68122489000598</v>
      </c>
      <c r="J222" s="206">
        <f t="shared" si="43"/>
        <v>-6.2506371367538172E-2</v>
      </c>
      <c r="K222" s="206">
        <f t="shared" si="44"/>
        <v>-9.521286961581615E-3</v>
      </c>
      <c r="L222" s="33"/>
      <c r="M222" s="33"/>
      <c r="N222" s="33"/>
      <c r="O222" s="33"/>
      <c r="Z222" s="42"/>
      <c r="AA222" s="42"/>
      <c r="AB222" s="42"/>
    </row>
    <row r="223" spans="3:28" s="32" customFormat="1" ht="15.75" customHeight="1">
      <c r="C223" s="20"/>
      <c r="J223" s="34"/>
      <c r="K223" s="34"/>
      <c r="L223" s="33"/>
      <c r="M223" s="33"/>
      <c r="N223" s="33"/>
      <c r="O223" s="33"/>
      <c r="Z223" s="41"/>
      <c r="AA223" s="41"/>
      <c r="AB223" s="41"/>
    </row>
    <row r="224" spans="3:28" s="24" customFormat="1" ht="15.75" customHeight="1">
      <c r="C224" s="20" t="s">
        <v>16</v>
      </c>
      <c r="D224" s="24" t="str">
        <f>IF(Indice_index!$Z$1=1,"janeiro","January")</f>
        <v>January</v>
      </c>
      <c r="E224" s="33">
        <v>2117.1740679999994</v>
      </c>
      <c r="F224" s="33">
        <v>2292.3272199999997</v>
      </c>
      <c r="G224" s="33">
        <v>1552.9706331999994</v>
      </c>
      <c r="H224" s="33">
        <v>1711.4642019699997</v>
      </c>
      <c r="I224" s="33">
        <f t="shared" ref="I224:I233" si="45">IF(F224="","",+F224-H224)</f>
        <v>580.86301802999992</v>
      </c>
      <c r="J224" s="205">
        <f t="shared" ref="J224:J233" si="46">IF(F224="","",IF(E224=0,"-",(F224-E224)/E224))</f>
        <v>8.2729688903406859E-2</v>
      </c>
      <c r="K224" s="205">
        <f t="shared" ref="K224:K233" si="47">IF(H224="","",IF(G224=0,"-",(H224-G224)/G224))</f>
        <v>0.10205831673932804</v>
      </c>
      <c r="L224" s="33"/>
      <c r="M224" s="33"/>
      <c r="N224" s="33"/>
      <c r="O224" s="33"/>
      <c r="Z224" s="42"/>
      <c r="AA224" s="42"/>
      <c r="AB224" s="42"/>
    </row>
    <row r="225" spans="3:28" s="24" customFormat="1" ht="15.75" customHeight="1">
      <c r="C225" s="20"/>
      <c r="D225" s="24" t="str">
        <f>IF(Indice_index!$Z$1=1,"fevereiro","February")</f>
        <v>February</v>
      </c>
      <c r="E225" s="33">
        <v>4184.1557509599998</v>
      </c>
      <c r="F225" s="33">
        <v>4336.8984672599991</v>
      </c>
      <c r="G225" s="33">
        <v>3624.6411040100002</v>
      </c>
      <c r="H225" s="33">
        <v>3907.4115797800005</v>
      </c>
      <c r="I225" s="33">
        <f t="shared" si="45"/>
        <v>429.48688747999859</v>
      </c>
      <c r="J225" s="205">
        <f t="shared" si="46"/>
        <v>3.6505026435728283E-2</v>
      </c>
      <c r="K225" s="205">
        <f t="shared" si="47"/>
        <v>7.8013372263854394E-2</v>
      </c>
      <c r="L225" s="33"/>
      <c r="M225" s="33"/>
      <c r="N225" s="33"/>
      <c r="O225" s="33"/>
      <c r="Z225" s="42"/>
      <c r="AA225" s="42"/>
      <c r="AB225" s="42"/>
    </row>
    <row r="226" spans="3:28" s="24" customFormat="1" ht="15.75" customHeight="1">
      <c r="D226" s="24" t="str">
        <f>IF(Indice_index!$Z$1=1,"março","March")</f>
        <v>March</v>
      </c>
      <c r="E226" s="33">
        <v>6145.240081709996</v>
      </c>
      <c r="F226" s="33">
        <v>6496.873726599998</v>
      </c>
      <c r="G226" s="33">
        <v>5760.657209810006</v>
      </c>
      <c r="H226" s="33">
        <v>5877.3306277600077</v>
      </c>
      <c r="I226" s="33">
        <f t="shared" si="45"/>
        <v>619.54309883999031</v>
      </c>
      <c r="J226" s="205">
        <f t="shared" si="46"/>
        <v>5.7220489389269741E-2</v>
      </c>
      <c r="K226" s="205">
        <f t="shared" si="47"/>
        <v>2.0253490825893075E-2</v>
      </c>
      <c r="L226" s="33"/>
      <c r="M226" s="33"/>
      <c r="N226" s="33"/>
      <c r="O226" s="33"/>
      <c r="Z226" s="42"/>
      <c r="AA226" s="42"/>
      <c r="AB226" s="42"/>
    </row>
    <row r="227" spans="3:28" s="24" customFormat="1" ht="15.75" customHeight="1">
      <c r="D227" s="24" t="str">
        <f>IF(Indice_index!$Z$1=1,"abril","April")</f>
        <v>April</v>
      </c>
      <c r="E227" s="33">
        <v>8062.3196390400008</v>
      </c>
      <c r="F227" s="33">
        <v>8469.9408924800027</v>
      </c>
      <c r="G227" s="33">
        <v>7609.1796497899886</v>
      </c>
      <c r="H227" s="33">
        <v>7940.0598623400156</v>
      </c>
      <c r="I227" s="33">
        <f t="shared" si="45"/>
        <v>529.88103013998716</v>
      </c>
      <c r="J227" s="205">
        <f t="shared" si="46"/>
        <v>5.0558805863536609E-2</v>
      </c>
      <c r="K227" s="205">
        <f t="shared" si="47"/>
        <v>4.3484347561587554E-2</v>
      </c>
      <c r="L227" s="33"/>
      <c r="M227" s="33"/>
      <c r="N227" s="33"/>
      <c r="O227" s="33"/>
      <c r="Z227" s="42"/>
      <c r="AA227" s="42"/>
      <c r="AB227" s="42"/>
    </row>
    <row r="228" spans="3:28" s="24" customFormat="1" ht="15.75" customHeight="1">
      <c r="D228" s="24" t="str">
        <f>IF(Indice_index!$Z$1=1,"maio","May")</f>
        <v>May</v>
      </c>
      <c r="E228" s="33">
        <v>10268.53424458</v>
      </c>
      <c r="F228" s="33">
        <v>10731.090478600003</v>
      </c>
      <c r="G228" s="33">
        <v>9832.6684342799908</v>
      </c>
      <c r="H228" s="33">
        <v>9955.9958405299931</v>
      </c>
      <c r="I228" s="33">
        <f t="shared" si="45"/>
        <v>775.09463807000975</v>
      </c>
      <c r="J228" s="205">
        <f t="shared" si="46"/>
        <v>4.5045984461136931E-2</v>
      </c>
      <c r="K228" s="205">
        <f t="shared" si="47"/>
        <v>1.2542618219489777E-2</v>
      </c>
      <c r="L228" s="203"/>
      <c r="M228" s="210"/>
      <c r="N228" s="209"/>
      <c r="Z228" s="42"/>
      <c r="AA228" s="42"/>
      <c r="AB228" s="42"/>
    </row>
    <row r="229" spans="3:28" s="24" customFormat="1" ht="15.75" customHeight="1">
      <c r="D229" s="28" t="str">
        <f>IF(Indice_index!$Z$1=1,"junho","June")</f>
        <v>June</v>
      </c>
      <c r="E229" s="33">
        <v>12319.868294579994</v>
      </c>
      <c r="F229" s="33">
        <v>12940.359392040005</v>
      </c>
      <c r="G229" s="33">
        <v>11903.639203060009</v>
      </c>
      <c r="H229" s="33">
        <v>12259.375745379981</v>
      </c>
      <c r="I229" s="28">
        <f t="shared" si="45"/>
        <v>680.98364666002453</v>
      </c>
      <c r="J229" s="226">
        <f t="shared" si="46"/>
        <v>5.036507555303904E-2</v>
      </c>
      <c r="K229" s="226">
        <f t="shared" si="47"/>
        <v>2.9884687888433674E-2</v>
      </c>
      <c r="L229"/>
      <c r="M229" s="210"/>
      <c r="N229" s="209"/>
      <c r="O229"/>
      <c r="Z229" s="42"/>
      <c r="AA229" s="42"/>
      <c r="AB229" s="42"/>
    </row>
    <row r="230" spans="3:28" s="24" customFormat="1" ht="15.75" customHeight="1">
      <c r="D230" s="33" t="str">
        <f>IF(Indice_index!$Z$1=1,"julho","July")</f>
        <v>July</v>
      </c>
      <c r="E230" s="33">
        <v>14628.460759799998</v>
      </c>
      <c r="F230" s="33">
        <v>15802.158036959998</v>
      </c>
      <c r="G230" s="33">
        <v>14266.251430839979</v>
      </c>
      <c r="H230" s="33">
        <v>15139.35304804999</v>
      </c>
      <c r="I230" s="33">
        <f t="shared" si="45"/>
        <v>662.80498891000752</v>
      </c>
      <c r="J230" s="206">
        <f t="shared" si="46"/>
        <v>8.0233819294604061E-2</v>
      </c>
      <c r="K230" s="206">
        <f t="shared" si="47"/>
        <v>6.120049274629983E-2</v>
      </c>
      <c r="L230"/>
      <c r="M230" s="210"/>
      <c r="N230" s="209"/>
      <c r="Z230" s="42"/>
      <c r="AA230" s="42"/>
      <c r="AB230" s="42"/>
    </row>
    <row r="231" spans="3:28" s="24" customFormat="1" ht="15.75" customHeight="1">
      <c r="D231" s="33" t="str">
        <f>IF(Indice_index!$Z$1=1,"agosto","August")</f>
        <v>August</v>
      </c>
      <c r="E231" s="33">
        <v>16809.987633769993</v>
      </c>
      <c r="F231" s="33">
        <v>17804.175776460001</v>
      </c>
      <c r="G231" s="33">
        <v>16257.862890189983</v>
      </c>
      <c r="H231" s="33">
        <v>17303.199217019992</v>
      </c>
      <c r="I231" s="33">
        <f t="shared" si="45"/>
        <v>500.97655944000871</v>
      </c>
      <c r="J231" s="206">
        <f t="shared" si="46"/>
        <v>5.9142705179197064E-2</v>
      </c>
      <c r="K231" s="206">
        <f t="shared" si="47"/>
        <v>6.429727780892816E-2</v>
      </c>
      <c r="L231"/>
      <c r="M231" s="210"/>
      <c r="N231" s="209"/>
      <c r="Z231" s="42"/>
      <c r="AA231" s="42"/>
      <c r="AB231" s="42"/>
    </row>
    <row r="232" spans="3:28" s="24" customFormat="1" ht="15.75" customHeight="1">
      <c r="C232" s="33"/>
      <c r="D232" s="33" t="str">
        <f>IF(Indice_index!$Z$1=1,"setembro","September")</f>
        <v>September</v>
      </c>
      <c r="E232" s="33">
        <v>18848.230182319996</v>
      </c>
      <c r="F232" s="33">
        <v>20031.168609059998</v>
      </c>
      <c r="G232" s="33">
        <v>18424.88890881</v>
      </c>
      <c r="H232" s="33">
        <v>19400.794681450021</v>
      </c>
      <c r="I232" s="33">
        <f t="shared" si="45"/>
        <v>630.37392760997682</v>
      </c>
      <c r="J232" s="206">
        <f t="shared" si="46"/>
        <v>6.2761246827812034E-2</v>
      </c>
      <c r="K232" s="206">
        <f t="shared" si="47"/>
        <v>5.2966711358209809E-2</v>
      </c>
      <c r="L232"/>
      <c r="M232" s="210"/>
      <c r="N232" s="209"/>
      <c r="Z232" s="42"/>
      <c r="AA232" s="42"/>
      <c r="AB232" s="42"/>
    </row>
    <row r="233" spans="3:28" s="24" customFormat="1" ht="15.75" customHeight="1">
      <c r="C233" s="33"/>
      <c r="D233" s="33" t="str">
        <f>IF(Indice_index!$Z$1=1,"outubro","October")</f>
        <v>October</v>
      </c>
      <c r="E233" s="33">
        <v>21179.41403177</v>
      </c>
      <c r="F233" s="33">
        <v>22355.290151529993</v>
      </c>
      <c r="G233" s="33">
        <v>20960.459906069998</v>
      </c>
      <c r="H233" s="33">
        <v>21807.151434720054</v>
      </c>
      <c r="I233" s="33">
        <f t="shared" si="45"/>
        <v>548.13871680993907</v>
      </c>
      <c r="J233" s="206">
        <f t="shared" si="46"/>
        <v>5.5519766410729282E-2</v>
      </c>
      <c r="K233" s="206">
        <f t="shared" si="47"/>
        <v>4.0394701855032272E-2</v>
      </c>
      <c r="L233"/>
      <c r="M233" s="210"/>
      <c r="N233" s="209"/>
      <c r="Z233" s="42"/>
      <c r="AA233" s="42"/>
      <c r="AB233" s="42"/>
    </row>
    <row r="234" spans="3:28" s="24" customFormat="1" ht="15.75" customHeight="1">
      <c r="C234" s="33"/>
      <c r="D234" s="33" t="str">
        <f>IF(Indice_index!$Z$1=1,"novembro","November")</f>
        <v>November</v>
      </c>
      <c r="E234" s="33">
        <v>23750.841674909996</v>
      </c>
      <c r="F234" s="33">
        <v>24520.727977560011</v>
      </c>
      <c r="G234" s="33">
        <v>23840.339831080015</v>
      </c>
      <c r="H234" s="33">
        <v>23950.533892700027</v>
      </c>
      <c r="I234" s="33">
        <f>IF(F234="","",+F234-H234)</f>
        <v>570.19408485998429</v>
      </c>
      <c r="J234" s="206">
        <f>IF(F234="","",IF(E234=0,"-",(F234-E234)/E234))</f>
        <v>3.2415116617248566E-2</v>
      </c>
      <c r="K234" s="206">
        <f>IF(H234="","",IF(G234=0,"-",(H234-G234)/G234))</f>
        <v>4.6221682409222503E-3</v>
      </c>
      <c r="L234" s="221"/>
      <c r="M234" s="210"/>
      <c r="N234" s="209"/>
      <c r="Z234" s="42"/>
      <c r="AA234" s="42"/>
      <c r="AB234" s="42"/>
    </row>
    <row r="235" spans="3:28" s="24" customFormat="1" ht="15.75" customHeight="1">
      <c r="C235" s="33"/>
      <c r="D235" s="33" t="str">
        <f>IF(Indice_index!$Z$1=1,"dezembro","December")</f>
        <v>December</v>
      </c>
      <c r="E235" s="33">
        <v>26521.266235900002</v>
      </c>
      <c r="F235" s="33">
        <v>27214.214164190005</v>
      </c>
      <c r="G235" s="33">
        <v>27282.187704950014</v>
      </c>
      <c r="H235" s="33">
        <v>27588.353788259985</v>
      </c>
      <c r="I235" s="33">
        <f>IF(F235="","",+F235-H235)</f>
        <v>-374.13962406997962</v>
      </c>
      <c r="J235" s="206">
        <f>IF(F235="","",IF(E235=0,"-",(F235-E235)/E235))</f>
        <v>2.6128010711344064E-2</v>
      </c>
      <c r="K235" s="206">
        <f>IF(H235="","",IF(G235=0,"-",(H235-G235)/G235))</f>
        <v>1.1222196937469951E-2</v>
      </c>
      <c r="L235" s="221"/>
      <c r="M235" s="210"/>
      <c r="N235" s="209"/>
      <c r="Z235" s="42"/>
      <c r="AA235" s="42"/>
      <c r="AB235" s="42"/>
    </row>
    <row r="236" spans="3:28" s="32" customFormat="1" ht="15.75" customHeight="1">
      <c r="C236" s="20"/>
      <c r="J236" s="34"/>
      <c r="K236" s="34"/>
      <c r="L236" s="33"/>
      <c r="M236" s="33"/>
      <c r="N236" s="33"/>
      <c r="O236" s="33"/>
      <c r="Z236" s="41"/>
      <c r="AA236" s="41"/>
      <c r="AB236" s="41"/>
    </row>
    <row r="237" spans="3:28" s="24" customFormat="1" ht="15.75" customHeight="1">
      <c r="C237" s="20" t="s">
        <v>23</v>
      </c>
      <c r="D237" s="24" t="str">
        <f>IF(Indice_index!$Z$1=1,"janeiro","January")</f>
        <v>January</v>
      </c>
      <c r="E237" s="33">
        <v>2302.3890645899992</v>
      </c>
      <c r="F237" s="33">
        <v>2416.9625787600003</v>
      </c>
      <c r="G237" s="33">
        <v>1712.7126139799987</v>
      </c>
      <c r="H237" s="33">
        <v>1828.8270271099973</v>
      </c>
      <c r="I237" s="33">
        <f t="shared" ref="I237:I245" si="48">IF(F237="","",+F237-H237)</f>
        <v>588.13555165000298</v>
      </c>
      <c r="J237" s="205">
        <f t="shared" ref="J237:J246" si="49">IF(F237="","",IF(E237=0,"-",(F237-E237)/E237))</f>
        <v>4.9762881492144299E-2</v>
      </c>
      <c r="K237" s="205">
        <f t="shared" ref="K237:K246" si="50">IF(H237="","",IF(G237=0,"-",(H237-G237)/G237))</f>
        <v>6.7795619756762446E-2</v>
      </c>
      <c r="L237" s="33"/>
      <c r="M237" s="33"/>
      <c r="N237" s="33"/>
      <c r="O237" s="33"/>
      <c r="Z237" s="42"/>
      <c r="AA237" s="42"/>
      <c r="AB237" s="42"/>
    </row>
    <row r="238" spans="3:28" s="24" customFormat="1" ht="15.75" customHeight="1">
      <c r="C238" s="20"/>
      <c r="D238" s="24" t="str">
        <f>IF(Indice_index!$Z$1=1,"fevereiro","February")</f>
        <v>February</v>
      </c>
      <c r="E238" s="33">
        <v>4342.2095018200007</v>
      </c>
      <c r="F238" s="33">
        <v>4429.0876238799983</v>
      </c>
      <c r="G238" s="33">
        <v>3906.5509016199994</v>
      </c>
      <c r="H238" s="33">
        <v>4125.7735630300012</v>
      </c>
      <c r="I238" s="33">
        <f t="shared" si="48"/>
        <v>303.31406084999708</v>
      </c>
      <c r="J238" s="205">
        <f t="shared" si="49"/>
        <v>2.0007814460261161E-2</v>
      </c>
      <c r="K238" s="205">
        <f t="shared" si="50"/>
        <v>5.6116678607487959E-2</v>
      </c>
      <c r="L238" s="33"/>
      <c r="M238" s="33"/>
      <c r="N238" s="33"/>
      <c r="O238" s="33"/>
      <c r="Z238" s="42"/>
      <c r="AA238" s="42"/>
      <c r="AB238" s="42"/>
    </row>
    <row r="239" spans="3:28" s="24" customFormat="1" ht="15.75" customHeight="1">
      <c r="D239" s="24" t="str">
        <f>IF(Indice_index!$Z$1=1,"março","March")</f>
        <v>March</v>
      </c>
      <c r="E239" s="33">
        <v>6495.7938123399999</v>
      </c>
      <c r="F239" s="33">
        <v>6771.1061425899989</v>
      </c>
      <c r="G239" s="33">
        <v>5877.9655867799975</v>
      </c>
      <c r="H239" s="33">
        <v>6339.536361489997</v>
      </c>
      <c r="I239" s="33">
        <f t="shared" si="48"/>
        <v>431.56978110000182</v>
      </c>
      <c r="J239" s="205">
        <f t="shared" si="49"/>
        <v>4.238316950993589E-2</v>
      </c>
      <c r="K239" s="205">
        <f t="shared" si="50"/>
        <v>7.8525600038916218E-2</v>
      </c>
      <c r="L239" s="33"/>
      <c r="M239" s="33"/>
      <c r="N239" s="33"/>
      <c r="O239" s="33"/>
      <c r="Z239" s="42"/>
      <c r="AA239" s="42"/>
      <c r="AB239" s="42"/>
    </row>
    <row r="240" spans="3:28" s="24" customFormat="1" ht="15.75" customHeight="1">
      <c r="D240" s="24" t="str">
        <f>IF(Indice_index!$Z$1=1,"abril","April")</f>
        <v>April</v>
      </c>
      <c r="E240" s="33">
        <v>8465.1245940299978</v>
      </c>
      <c r="F240" s="33">
        <v>9157.7722271599996</v>
      </c>
      <c r="G240" s="33">
        <v>7942.5839099400109</v>
      </c>
      <c r="H240" s="33">
        <v>8438.8412239600002</v>
      </c>
      <c r="I240" s="33">
        <f t="shared" si="48"/>
        <v>718.9310031999994</v>
      </c>
      <c r="J240" s="205">
        <f t="shared" si="49"/>
        <v>8.1823678486491427E-2</v>
      </c>
      <c r="K240" s="205">
        <f t="shared" si="50"/>
        <v>6.2480588136932559E-2</v>
      </c>
      <c r="L240" s="33"/>
      <c r="M240" s="33"/>
      <c r="N240" s="33"/>
      <c r="O240" s="33"/>
      <c r="Z240" s="42"/>
      <c r="AA240" s="42"/>
      <c r="AB240" s="42"/>
    </row>
    <row r="241" spans="3:28" s="24" customFormat="1" ht="15.75" customHeight="1">
      <c r="D241" s="24" t="str">
        <f>IF(Indice_index!$Z$1=1,"maio","May")</f>
        <v>May</v>
      </c>
      <c r="E241" s="33">
        <v>10719.850564009997</v>
      </c>
      <c r="F241" s="33">
        <v>11350.313602510008</v>
      </c>
      <c r="G241" s="33">
        <v>9955.1025324699913</v>
      </c>
      <c r="H241" s="33">
        <v>10777.601022569994</v>
      </c>
      <c r="I241" s="33">
        <f t="shared" si="48"/>
        <v>572.71257994001462</v>
      </c>
      <c r="J241" s="205">
        <f t="shared" si="49"/>
        <v>5.881267045052653E-2</v>
      </c>
      <c r="K241" s="205">
        <f t="shared" si="50"/>
        <v>8.2620795458138774E-2</v>
      </c>
      <c r="L241" s="203"/>
      <c r="M241" s="210"/>
      <c r="N241" s="209"/>
      <c r="Z241" s="42"/>
      <c r="AA241" s="42"/>
      <c r="AB241" s="42"/>
    </row>
    <row r="242" spans="3:28" s="24" customFormat="1" ht="15.75" customHeight="1">
      <c r="D242" s="28" t="str">
        <f>IF(Indice_index!$Z$1=1,"junho","June")</f>
        <v>June</v>
      </c>
      <c r="E242" s="28">
        <v>12940.357874150008</v>
      </c>
      <c r="F242" s="28">
        <v>13557.257321819998</v>
      </c>
      <c r="G242" s="28">
        <v>12258.991663490004</v>
      </c>
      <c r="H242" s="28">
        <v>13376.712102799987</v>
      </c>
      <c r="I242" s="28">
        <f t="shared" si="48"/>
        <v>180.54521902001034</v>
      </c>
      <c r="J242" s="226">
        <f t="shared" si="49"/>
        <v>4.7672518308193329E-2</v>
      </c>
      <c r="K242" s="226">
        <f t="shared" si="50"/>
        <v>9.1175560763190916E-2</v>
      </c>
      <c r="L242"/>
      <c r="M242" s="210"/>
      <c r="N242" s="209"/>
      <c r="O242"/>
      <c r="Z242" s="42"/>
      <c r="AA242" s="42"/>
      <c r="AB242" s="42"/>
    </row>
    <row r="243" spans="3:28" s="24" customFormat="1" ht="15.75" customHeight="1">
      <c r="D243" s="33" t="str">
        <f>IF(Indice_index!$Z$1=1,"julho","July")</f>
        <v>July</v>
      </c>
      <c r="E243" s="33">
        <v>15772.95976252</v>
      </c>
      <c r="F243" s="33">
        <v>16557.341779959996</v>
      </c>
      <c r="G243" s="33">
        <v>15146.960717129994</v>
      </c>
      <c r="H243" s="33">
        <v>16298.900097339982</v>
      </c>
      <c r="I243" s="33">
        <f t="shared" si="48"/>
        <v>258.44168262001403</v>
      </c>
      <c r="J243" s="206">
        <f t="shared" si="49"/>
        <v>4.9729538986326358E-2</v>
      </c>
      <c r="K243" s="206">
        <f t="shared" si="50"/>
        <v>7.6050859424705367E-2</v>
      </c>
      <c r="L243"/>
      <c r="M243" s="210"/>
      <c r="N243" s="209"/>
      <c r="Z243" s="42"/>
      <c r="AA243" s="42"/>
      <c r="AB243" s="42"/>
    </row>
    <row r="244" spans="3:28" s="24" customFormat="1" ht="15.75" customHeight="1">
      <c r="D244" s="33" t="str">
        <f>IF(Indice_index!$Z$1=1,"agosto","August")</f>
        <v>August</v>
      </c>
      <c r="E244" s="33">
        <v>17798.926759850001</v>
      </c>
      <c r="F244" s="33">
        <v>18746.142945059997</v>
      </c>
      <c r="G244" s="33">
        <v>17301.642355459982</v>
      </c>
      <c r="H244" s="33">
        <v>18709.243379419975</v>
      </c>
      <c r="I244" s="33">
        <f t="shared" si="48"/>
        <v>36.899565640022047</v>
      </c>
      <c r="J244" s="206">
        <f t="shared" si="49"/>
        <v>5.3217601150350416E-2</v>
      </c>
      <c r="K244" s="206">
        <f t="shared" si="50"/>
        <v>8.1356497553296589E-2</v>
      </c>
      <c r="L244"/>
      <c r="M244" s="210"/>
      <c r="N244" s="209"/>
      <c r="Z244" s="42"/>
      <c r="AA244" s="42"/>
      <c r="AB244" s="42"/>
    </row>
    <row r="245" spans="3:28" s="24" customFormat="1" ht="15.75" customHeight="1">
      <c r="C245" s="33"/>
      <c r="D245" s="33" t="str">
        <f>IF(Indice_index!$Z$1=1,"setembro","September")</f>
        <v>September</v>
      </c>
      <c r="E245" s="33">
        <v>20031.146669600002</v>
      </c>
      <c r="F245" s="33">
        <v>20811.491559900001</v>
      </c>
      <c r="G245" s="33">
        <v>19400.773976689983</v>
      </c>
      <c r="H245" s="33">
        <v>20986.444887009944</v>
      </c>
      <c r="I245" s="33">
        <f t="shared" si="48"/>
        <v>-174.95332710994262</v>
      </c>
      <c r="J245" s="206">
        <f t="shared" si="49"/>
        <v>3.8956576134719173E-2</v>
      </c>
      <c r="K245" s="206">
        <f t="shared" si="50"/>
        <v>8.173235316411312E-2</v>
      </c>
      <c r="L245"/>
      <c r="M245" s="210"/>
      <c r="N245" s="209"/>
      <c r="Z245" s="42"/>
      <c r="AA245" s="42"/>
      <c r="AB245" s="42"/>
    </row>
    <row r="246" spans="3:28" s="24" customFormat="1" ht="15.75" customHeight="1">
      <c r="C246" s="33"/>
      <c r="D246" s="33" t="str">
        <f>IF(Indice_index!$Z$1=1,"outubro","October")</f>
        <v>October</v>
      </c>
      <c r="E246" s="33">
        <v>22355.379275499999</v>
      </c>
      <c r="F246" s="33">
        <v>23315.031567680013</v>
      </c>
      <c r="G246" s="33">
        <v>21808.486535130007</v>
      </c>
      <c r="H246" s="33">
        <v>23372.171927009971</v>
      </c>
      <c r="I246" s="33">
        <f>IF(F246="","",+F246-H246)</f>
        <v>-57.140359329958301</v>
      </c>
      <c r="J246" s="206">
        <f t="shared" si="49"/>
        <v>4.2927130886646507E-2</v>
      </c>
      <c r="K246" s="206">
        <f t="shared" si="50"/>
        <v>7.1700775262928743E-2</v>
      </c>
      <c r="L246"/>
      <c r="M246" s="210"/>
      <c r="N246" s="209"/>
      <c r="Z246" s="42"/>
      <c r="AA246" s="42"/>
      <c r="AB246" s="42"/>
    </row>
    <row r="247" spans="3:28" s="24" customFormat="1" ht="15.75" customHeight="1">
      <c r="C247" s="33"/>
      <c r="D247" s="33" t="str">
        <f>IF(Indice_index!$Z$1=1,"novembro","November")</f>
        <v>November</v>
      </c>
      <c r="E247" s="33">
        <v>24512.346485310001</v>
      </c>
      <c r="F247" s="33">
        <v>25661.342836029999</v>
      </c>
      <c r="G247" s="33">
        <v>23952.731054820029</v>
      </c>
      <c r="H247" s="33">
        <v>25620.474576979988</v>
      </c>
      <c r="I247" s="33">
        <f>IF(F247="","",+F247-H247)</f>
        <v>40.868259050010238</v>
      </c>
      <c r="J247" s="206">
        <f>IF(F247="","",IF(E247=0,"-",(F247-E247)/E247))</f>
        <v>4.687418854039857E-2</v>
      </c>
      <c r="K247" s="206">
        <f>IF(H247="","",IF(G247=0,"-",(H247-G247)/G247))</f>
        <v>6.9626445449708224E-2</v>
      </c>
      <c r="L247" s="221"/>
      <c r="M247" s="210"/>
      <c r="N247" s="209"/>
      <c r="Z247" s="42"/>
      <c r="AA247" s="42"/>
      <c r="AB247" s="42"/>
    </row>
    <row r="248" spans="3:28" s="24" customFormat="1" ht="15.75" customHeight="1">
      <c r="C248" s="33"/>
      <c r="D248" s="33" t="str">
        <f>IF(Indice_index!$Z$1=1,"dezembro","December")</f>
        <v>December</v>
      </c>
      <c r="E248" s="33">
        <v>27258.648419870005</v>
      </c>
      <c r="F248" s="33">
        <v>28206.006686859997</v>
      </c>
      <c r="G248" s="33">
        <v>27684.297948090018</v>
      </c>
      <c r="H248" s="33">
        <v>28936.163535070074</v>
      </c>
      <c r="I248" s="33">
        <f>IF(F248="","",+F248-H248)</f>
        <v>-730.15684821007744</v>
      </c>
      <c r="J248" s="206">
        <f>IF(F248="","",IF(E248=0,"-",(F248-E248)/E248))</f>
        <v>3.4754410871649134E-2</v>
      </c>
      <c r="K248" s="206">
        <f>IF(H248="","",IF(G248=0,"-",(H248-G248)/G248))</f>
        <v>4.5219336583047609E-2</v>
      </c>
      <c r="L248" s="221"/>
      <c r="M248" s="210"/>
      <c r="N248" s="209"/>
      <c r="Z248" s="42"/>
      <c r="AA248" s="42"/>
      <c r="AB248" s="42"/>
    </row>
    <row r="249" spans="3:28" s="32" customFormat="1" ht="15.75" customHeight="1">
      <c r="C249" s="20"/>
      <c r="J249" s="34"/>
      <c r="K249" s="34"/>
      <c r="L249" s="33"/>
      <c r="M249" s="33"/>
      <c r="N249" s="33"/>
      <c r="O249" s="33"/>
      <c r="Z249" s="41"/>
      <c r="AA249" s="41"/>
      <c r="AB249" s="41"/>
    </row>
    <row r="250" spans="3:28" s="24" customFormat="1" ht="15.75" customHeight="1">
      <c r="C250" s="20" t="s">
        <v>97</v>
      </c>
      <c r="D250" s="24" t="str">
        <f>IF(Indice_index!$Z$1=1,"janeiro","January")</f>
        <v>January</v>
      </c>
      <c r="E250" s="33">
        <v>2348.6435440399996</v>
      </c>
      <c r="F250" s="33">
        <v>2433.6475615669547</v>
      </c>
      <c r="G250" s="33">
        <v>1748.9193554900003</v>
      </c>
      <c r="H250" s="33">
        <v>1817.3066319769541</v>
      </c>
      <c r="I250" s="33">
        <f t="shared" ref="I250:I258" si="51">IF(F250="","",+F250-H250)</f>
        <v>616.34092959000054</v>
      </c>
      <c r="J250" s="205">
        <f t="shared" ref="J250:J259" si="52">IF(F250="","",IF(E250=0,"-",(F250-E250)/E250))</f>
        <v>3.6192813397615937E-2</v>
      </c>
      <c r="K250" s="205">
        <f t="shared" ref="K250:K259" si="53">IF(H250="","",IF(G250=0,"-",(H250-G250)/G250))</f>
        <v>3.9102589992088897E-2</v>
      </c>
      <c r="L250" s="33"/>
      <c r="M250" s="33"/>
      <c r="N250" s="33"/>
      <c r="O250" s="33"/>
      <c r="Z250" s="42"/>
      <c r="AA250" s="42"/>
      <c r="AB250" s="42"/>
    </row>
    <row r="251" spans="3:28" s="24" customFormat="1" ht="15.75" customHeight="1">
      <c r="C251" s="20"/>
      <c r="D251" s="24" t="str">
        <f>IF(Indice_index!$Z$1=1,"fevereiro","February")</f>
        <v>February</v>
      </c>
      <c r="E251" s="33">
        <v>4448.700274419999</v>
      </c>
      <c r="F251" s="33">
        <v>4606.8761688058303</v>
      </c>
      <c r="G251" s="33">
        <v>4136.8437490200013</v>
      </c>
      <c r="H251" s="33">
        <v>4091.1302261958263</v>
      </c>
      <c r="I251" s="33">
        <f t="shared" si="51"/>
        <v>515.74594261000402</v>
      </c>
      <c r="J251" s="205">
        <f t="shared" si="52"/>
        <v>3.5555529621840734E-2</v>
      </c>
      <c r="K251" s="205">
        <f t="shared" si="53"/>
        <v>-1.1050338276615919E-2</v>
      </c>
      <c r="L251" s="33"/>
      <c r="M251" s="33"/>
      <c r="N251" s="33"/>
      <c r="O251" s="33"/>
      <c r="Z251" s="42"/>
      <c r="AA251" s="42"/>
      <c r="AB251" s="42"/>
    </row>
    <row r="252" spans="3:28" s="24" customFormat="1" ht="15.75" customHeight="1">
      <c r="D252" s="24" t="str">
        <f>IF(Indice_index!$Z$1=1,"março","March")</f>
        <v>March</v>
      </c>
      <c r="E252" s="33">
        <v>6801.2040689699979</v>
      </c>
      <c r="F252" s="33">
        <v>6652.0624088437407</v>
      </c>
      <c r="G252" s="33">
        <v>6368.4468751499935</v>
      </c>
      <c r="H252" s="33">
        <v>6357.8683498637465</v>
      </c>
      <c r="I252" s="33">
        <f t="shared" si="51"/>
        <v>294.19405897999422</v>
      </c>
      <c r="J252" s="205">
        <f t="shared" si="52"/>
        <v>-2.192871418264087E-2</v>
      </c>
      <c r="K252" s="205">
        <f t="shared" si="53"/>
        <v>-1.6610840121042596E-3</v>
      </c>
      <c r="L252" s="33"/>
      <c r="M252" s="33"/>
      <c r="N252" s="33"/>
      <c r="O252" s="33"/>
      <c r="Z252" s="42"/>
      <c r="AA252" s="42"/>
      <c r="AB252" s="42"/>
    </row>
    <row r="253" spans="3:28" s="24" customFormat="1" ht="15.75" customHeight="1">
      <c r="D253" s="24" t="str">
        <f>IF(Indice_index!$Z$1=1,"abril","April")</f>
        <v>April</v>
      </c>
      <c r="E253" s="33">
        <v>9153.5177952541726</v>
      </c>
      <c r="F253" s="33">
        <v>8872.1828423537445</v>
      </c>
      <c r="G253" s="33">
        <v>8477.3315177341738</v>
      </c>
      <c r="H253" s="33">
        <v>8629.4999076837394</v>
      </c>
      <c r="I253" s="33">
        <f t="shared" si="51"/>
        <v>242.68293467000512</v>
      </c>
      <c r="J253" s="205">
        <f t="shared" si="52"/>
        <v>-3.0735172989590071E-2</v>
      </c>
      <c r="K253" s="205">
        <f t="shared" si="53"/>
        <v>1.795003411524447E-2</v>
      </c>
      <c r="L253" s="33"/>
      <c r="M253" s="33"/>
      <c r="N253" s="33"/>
      <c r="O253" s="33"/>
      <c r="Z253" s="42"/>
      <c r="AA253" s="42"/>
      <c r="AB253" s="42"/>
    </row>
    <row r="254" spans="3:28" s="24" customFormat="1" ht="15.75" customHeight="1">
      <c r="D254" s="24" t="str">
        <f>IF(Indice_index!$Z$1=1,"maio","May")</f>
        <v>May</v>
      </c>
      <c r="E254" s="33">
        <v>11346.965812459999</v>
      </c>
      <c r="F254" s="33">
        <v>11118.773103463736</v>
      </c>
      <c r="G254" s="33">
        <v>10771.619072479996</v>
      </c>
      <c r="H254" s="33">
        <v>10731.208324323723</v>
      </c>
      <c r="I254" s="33">
        <f t="shared" si="51"/>
        <v>387.56477914001334</v>
      </c>
      <c r="J254" s="205">
        <f t="shared" si="52"/>
        <v>-2.0110460608393346E-2</v>
      </c>
      <c r="K254" s="205">
        <f t="shared" si="53"/>
        <v>-3.7515946195606892E-3</v>
      </c>
      <c r="L254" s="203"/>
      <c r="M254" s="210"/>
      <c r="N254" s="209"/>
      <c r="Z254" s="42"/>
      <c r="AA254" s="42"/>
      <c r="AB254" s="42"/>
    </row>
    <row r="255" spans="3:28" s="24" customFormat="1" ht="15.75" customHeight="1">
      <c r="D255" s="28" t="str">
        <f>IF(Indice_index!$Z$1=1,"junho","June")</f>
        <v>June</v>
      </c>
      <c r="E255" s="28">
        <v>13546.413969289999</v>
      </c>
      <c r="F255" s="28">
        <v>13591.260229069996</v>
      </c>
      <c r="G255" s="28">
        <v>13370.249798189989</v>
      </c>
      <c r="H255" s="28">
        <v>13304.387202029997</v>
      </c>
      <c r="I255" s="28">
        <f t="shared" si="51"/>
        <v>286.87302703999922</v>
      </c>
      <c r="J255" s="226">
        <f t="shared" si="52"/>
        <v>3.3105632148600012E-3</v>
      </c>
      <c r="K255" s="226">
        <f t="shared" si="53"/>
        <v>-4.9260557696467347E-3</v>
      </c>
      <c r="L255"/>
      <c r="M255" s="210"/>
      <c r="N255" s="209"/>
      <c r="O255"/>
      <c r="Z255" s="42"/>
      <c r="AA255" s="42"/>
      <c r="AB255" s="42"/>
    </row>
    <row r="256" spans="3:28" s="24" customFormat="1" ht="15.75" customHeight="1">
      <c r="D256" s="33" t="str">
        <f>IF(Indice_index!$Z$1=1,"julho","July")</f>
        <v>July</v>
      </c>
      <c r="E256" s="33">
        <v>16352.958408279996</v>
      </c>
      <c r="F256" s="33">
        <v>16625.369368829994</v>
      </c>
      <c r="G256" s="33">
        <v>16267.642698739981</v>
      </c>
      <c r="H256" s="33">
        <v>16486.038551829984</v>
      </c>
      <c r="I256" s="33">
        <f t="shared" si="51"/>
        <v>139.33081700000912</v>
      </c>
      <c r="J256" s="206">
        <f t="shared" si="52"/>
        <v>1.665820665281385E-2</v>
      </c>
      <c r="K256" s="206">
        <f t="shared" si="53"/>
        <v>1.3425169038592148E-2</v>
      </c>
      <c r="L256"/>
      <c r="M256" s="210"/>
      <c r="N256" s="209"/>
      <c r="Z256" s="42"/>
      <c r="AA256" s="42"/>
      <c r="AB256" s="42"/>
    </row>
    <row r="257" spans="2:28" s="24" customFormat="1" ht="15.75" customHeight="1">
      <c r="D257" s="33" t="str">
        <f>IF(Indice_index!$Z$1=1,"agosto","August")</f>
        <v>August</v>
      </c>
      <c r="E257" s="33">
        <v>18513.823444630001</v>
      </c>
      <c r="F257" s="33">
        <v>18872.990976503712</v>
      </c>
      <c r="G257" s="33">
        <v>18617.928910669973</v>
      </c>
      <c r="H257" s="33">
        <v>18661.141211103706</v>
      </c>
      <c r="I257" s="33">
        <f t="shared" si="51"/>
        <v>211.84976540000571</v>
      </c>
      <c r="J257" s="206">
        <f t="shared" si="52"/>
        <v>1.9399965271781203E-2</v>
      </c>
      <c r="K257" s="206">
        <f t="shared" si="53"/>
        <v>2.3210046961221645E-3</v>
      </c>
      <c r="L257"/>
      <c r="M257" s="210"/>
      <c r="N257" s="209"/>
      <c r="Z257" s="42"/>
      <c r="AA257" s="42"/>
      <c r="AB257" s="42"/>
    </row>
    <row r="258" spans="2:28" s="24" customFormat="1" ht="15.75" customHeight="1">
      <c r="C258" s="33"/>
      <c r="D258" s="33" t="str">
        <f>IF(Indice_index!$Z$1=1,"setembro","September")</f>
        <v>September</v>
      </c>
      <c r="E258" s="33">
        <v>20758.50575299</v>
      </c>
      <c r="F258" s="33">
        <v>21515.683454450413</v>
      </c>
      <c r="G258" s="33">
        <v>20926.970331829951</v>
      </c>
      <c r="H258" s="33">
        <v>21343.237702890387</v>
      </c>
      <c r="I258" s="33">
        <f t="shared" si="51"/>
        <v>172.44575156002611</v>
      </c>
      <c r="J258" s="206">
        <f t="shared" si="52"/>
        <v>3.6475539736348817E-2</v>
      </c>
      <c r="K258" s="206">
        <f t="shared" si="53"/>
        <v>1.9891430267251469E-2</v>
      </c>
      <c r="L258"/>
      <c r="M258" s="210"/>
      <c r="N258" s="209"/>
      <c r="Z258" s="42"/>
      <c r="AA258" s="42"/>
      <c r="AB258" s="42"/>
    </row>
    <row r="259" spans="2:28" s="24" customFormat="1" ht="15.75" customHeight="1">
      <c r="C259" s="33"/>
      <c r="D259" s="33" t="str">
        <f>IF(Indice_index!$Z$1=1,"outubro","October")</f>
        <v>October</v>
      </c>
      <c r="E259" s="33">
        <v>23234.968287600004</v>
      </c>
      <c r="F259" s="33">
        <v>23657.628498480008</v>
      </c>
      <c r="G259" s="33">
        <v>23287.550103539957</v>
      </c>
      <c r="H259" s="33">
        <v>23326.614758780004</v>
      </c>
      <c r="I259" s="33">
        <f>IF(F259="","",+F259-H259)</f>
        <v>331.0137397000035</v>
      </c>
      <c r="J259" s="206">
        <f t="shared" si="52"/>
        <v>1.8190694544892836E-2</v>
      </c>
      <c r="K259" s="206">
        <f t="shared" si="53"/>
        <v>1.677490979787885E-3</v>
      </c>
      <c r="L259"/>
      <c r="M259" s="210"/>
      <c r="N259" s="209"/>
      <c r="Z259" s="42"/>
      <c r="AA259" s="42"/>
      <c r="AB259" s="42"/>
    </row>
    <row r="260" spans="2:28" s="24" customFormat="1" ht="15.75" customHeight="1">
      <c r="C260" s="33"/>
      <c r="D260" s="33" t="str">
        <f>IF(Indice_index!$Z$1=1,"novembro","November")</f>
        <v>November</v>
      </c>
      <c r="E260" s="33">
        <v>25555.99641906999</v>
      </c>
      <c r="F260" s="33">
        <v>25873.037902100015</v>
      </c>
      <c r="G260" s="33">
        <v>25476.529654319995</v>
      </c>
      <c r="H260" s="33">
        <v>25610.60133017007</v>
      </c>
      <c r="I260" s="33">
        <f>IF(F260="","",+F260-H260)</f>
        <v>262.43657192994579</v>
      </c>
      <c r="J260" s="206">
        <f>IF(F260="","",IF(E260=0,"-",(F260-E260)/E260))</f>
        <v>1.240575706112744E-2</v>
      </c>
      <c r="K260" s="206">
        <f>IF(H260="","",IF(G260=0,"-",(H260-G260)/G260))</f>
        <v>5.2625564654698023E-3</v>
      </c>
      <c r="L260" s="221"/>
      <c r="M260" s="210"/>
      <c r="N260" s="209"/>
      <c r="Z260" s="42"/>
      <c r="AA260" s="42"/>
      <c r="AB260" s="42"/>
    </row>
    <row r="261" spans="2:28" s="24" customFormat="1" ht="15.75" customHeight="1">
      <c r="C261" s="33"/>
      <c r="D261" s="33" t="str">
        <f>IF(Indice_index!$Z$1=1,"dezembro","December")</f>
        <v>December</v>
      </c>
      <c r="E261" s="33">
        <v>28206.006686860001</v>
      </c>
      <c r="F261" s="33">
        <v>29093.230373079994</v>
      </c>
      <c r="G261" s="33">
        <v>28936.163535070002</v>
      </c>
      <c r="H261" s="33">
        <v>29340.243649489996</v>
      </c>
      <c r="I261" s="33">
        <f>IF(F261="","",+F261-H261)</f>
        <v>-247.01327641000171</v>
      </c>
      <c r="J261" s="206">
        <f>IF(F261="","",IF(E261=0,"-",(F261-E261)/E261))</f>
        <v>3.1455132804506986E-2</v>
      </c>
      <c r="K261" s="206">
        <f>IF(H261="","",IF(G261=0,"-",(H261-G261)/G261))</f>
        <v>1.3964536588627506E-2</v>
      </c>
      <c r="L261" s="221"/>
      <c r="M261" s="210"/>
      <c r="N261" s="209"/>
      <c r="Z261" s="42"/>
      <c r="AA261" s="42"/>
      <c r="AB261" s="42"/>
    </row>
    <row r="262" spans="2:28" ht="15.75" customHeight="1">
      <c r="B262" s="24"/>
      <c r="C262" s="24"/>
      <c r="D262" s="33"/>
      <c r="E262" s="33"/>
      <c r="F262" s="33"/>
      <c r="G262" s="33"/>
      <c r="H262" s="33"/>
      <c r="I262" s="33"/>
      <c r="J262" s="55"/>
      <c r="K262" s="55"/>
      <c r="M262" s="30"/>
      <c r="O262" s="256"/>
      <c r="P262" s="256"/>
      <c r="Q262" s="256"/>
    </row>
    <row r="263" spans="2:28" s="35" customFormat="1" ht="15.75" customHeight="1">
      <c r="C263" s="20" t="s">
        <v>114</v>
      </c>
      <c r="D263" s="71" t="str">
        <f>IF(Indice_index!$Z$1=1,"janeiro","January")</f>
        <v>January</v>
      </c>
      <c r="E263" s="71">
        <v>2376.2061110999998</v>
      </c>
      <c r="F263" s="71">
        <v>2200.4571444300013</v>
      </c>
      <c r="G263" s="71">
        <v>1775.3038172100009</v>
      </c>
      <c r="H263" s="71">
        <v>1767.2756609899986</v>
      </c>
      <c r="I263" s="71">
        <f t="shared" ref="I263:I274" si="54">IF(F263="","",+F263-H263)</f>
        <v>433.18148344000269</v>
      </c>
      <c r="J263" s="204">
        <f t="shared" ref="J263:J274" si="55">IF(F263="","",IF(E263=0,"-",(F263-E263)/E263))</f>
        <v>-7.3962004326569256E-2</v>
      </c>
      <c r="K263" s="204">
        <f t="shared" ref="K263:K274" si="56">IF(H263="","",IF(G263=0,"-",(H263-G263)/G263))</f>
        <v>-4.5221308838388251E-3</v>
      </c>
      <c r="L263"/>
      <c r="M263" s="203"/>
      <c r="O263" s="257"/>
      <c r="P263" s="257"/>
      <c r="Q263" s="256"/>
      <c r="Z263" s="2"/>
      <c r="AA263" s="2"/>
      <c r="AB263" s="2"/>
    </row>
    <row r="264" spans="2:28" s="35" customFormat="1" ht="15.75" customHeight="1">
      <c r="C264" s="71"/>
      <c r="D264" s="71" t="str">
        <f>IF(Indice_index!$Z$1=1,"fevereiro","February")</f>
        <v>February</v>
      </c>
      <c r="E264" s="71">
        <v>4498.0862588800037</v>
      </c>
      <c r="F264" s="71">
        <v>4440.7061148699995</v>
      </c>
      <c r="G264" s="71">
        <v>4016.2991448700018</v>
      </c>
      <c r="H264" s="71">
        <v>4216.4756711499986</v>
      </c>
      <c r="I264" s="71">
        <f t="shared" si="54"/>
        <v>224.23044372000095</v>
      </c>
      <c r="J264" s="204">
        <f t="shared" si="55"/>
        <v>-1.275656817312603E-2</v>
      </c>
      <c r="K264" s="204">
        <f t="shared" si="56"/>
        <v>4.984103998719349E-2</v>
      </c>
      <c r="L264"/>
      <c r="M264" s="203"/>
      <c r="O264" s="257"/>
      <c r="P264" s="258"/>
      <c r="Q264" s="257"/>
      <c r="Z264" s="2"/>
      <c r="AA264" s="2"/>
      <c r="AB264" s="2"/>
    </row>
    <row r="265" spans="2:28" s="35" customFormat="1" ht="15.75" customHeight="1">
      <c r="C265" s="71"/>
      <c r="D265" s="71" t="str">
        <f>IF(Indice_index!$Z$1=1,"março","March")</f>
        <v>March</v>
      </c>
      <c r="E265" s="71">
        <v>6613.1954351299973</v>
      </c>
      <c r="F265" s="71">
        <v>6859.9414540199987</v>
      </c>
      <c r="G265" s="71">
        <v>6309.1478920700092</v>
      </c>
      <c r="H265" s="71">
        <v>6540.1051845800012</v>
      </c>
      <c r="I265" s="71">
        <f t="shared" si="54"/>
        <v>319.83626943999752</v>
      </c>
      <c r="J265" s="204">
        <f t="shared" si="55"/>
        <v>3.7311163916200062E-2</v>
      </c>
      <c r="K265" s="204">
        <f t="shared" si="56"/>
        <v>3.6606733026544359E-2</v>
      </c>
      <c r="L265"/>
      <c r="M265" s="203"/>
      <c r="O265" s="257"/>
      <c r="P265" s="257"/>
      <c r="Q265" s="257"/>
      <c r="Z265" s="2"/>
      <c r="AA265" s="2"/>
      <c r="AB265" s="2"/>
    </row>
    <row r="266" spans="2:28" s="35" customFormat="1" ht="15.75" customHeight="1">
      <c r="C266" s="71"/>
      <c r="D266" s="71" t="str">
        <f>IF(Indice_index!$Z$1=1,"abril","April")</f>
        <v>April</v>
      </c>
      <c r="E266" s="71">
        <v>8726.1997205499974</v>
      </c>
      <c r="F266" s="71">
        <v>8931.1874078299988</v>
      </c>
      <c r="G266" s="71">
        <v>8481.1038953499992</v>
      </c>
      <c r="H266" s="71">
        <v>8775.8390953199942</v>
      </c>
      <c r="I266" s="71">
        <f t="shared" si="54"/>
        <v>155.34831251000469</v>
      </c>
      <c r="J266" s="204">
        <f t="shared" si="55"/>
        <v>2.349106069590181E-2</v>
      </c>
      <c r="K266" s="204">
        <f t="shared" si="56"/>
        <v>3.4751985544192156E-2</v>
      </c>
      <c r="L266"/>
      <c r="M266" s="203"/>
      <c r="N266"/>
      <c r="O266"/>
      <c r="P266"/>
      <c r="Q266"/>
      <c r="Z266" s="2"/>
      <c r="AA266" s="2"/>
      <c r="AB266" s="2"/>
    </row>
    <row r="267" spans="2:28" s="35" customFormat="1" ht="15.75" customHeight="1">
      <c r="C267" s="71"/>
      <c r="D267" s="71" t="str">
        <f>IF(Indice_index!$Z$1=1,"maio","May")</f>
        <v>May</v>
      </c>
      <c r="E267" s="71">
        <v>10972.435426330007</v>
      </c>
      <c r="F267" s="71">
        <v>11478.890038959731</v>
      </c>
      <c r="G267" s="71">
        <v>10559.988151960006</v>
      </c>
      <c r="H267" s="71">
        <v>11210.028811909726</v>
      </c>
      <c r="I267" s="71">
        <f t="shared" si="54"/>
        <v>268.86122705000525</v>
      </c>
      <c r="J267" s="204">
        <f t="shared" si="55"/>
        <v>4.6156991857469555E-2</v>
      </c>
      <c r="K267" s="204">
        <f t="shared" si="56"/>
        <v>6.155694974232221E-2</v>
      </c>
      <c r="M267"/>
      <c r="N267"/>
      <c r="O267"/>
      <c r="P267"/>
      <c r="Q267"/>
      <c r="Z267" s="2"/>
      <c r="AA267" s="2"/>
      <c r="AB267" s="2"/>
    </row>
    <row r="268" spans="2:28" s="35" customFormat="1" ht="15.75" customHeight="1">
      <c r="C268" s="71"/>
      <c r="D268" s="28" t="str">
        <f>IF(Indice_index!$Z$1=1,"junho","June")</f>
        <v>June</v>
      </c>
      <c r="E268" s="28">
        <v>13579.346175430001</v>
      </c>
      <c r="F268" s="28">
        <v>13986.653908859998</v>
      </c>
      <c r="G268" s="28">
        <v>13259.222611510006</v>
      </c>
      <c r="H268" s="28">
        <v>13977.661247519995</v>
      </c>
      <c r="I268" s="28">
        <f t="shared" si="54"/>
        <v>8.9926613400039059</v>
      </c>
      <c r="J268" s="226">
        <f t="shared" si="55"/>
        <v>2.9994649828352291E-2</v>
      </c>
      <c r="K268" s="226">
        <f t="shared" si="56"/>
        <v>5.4184069236934744E-2</v>
      </c>
      <c r="L268"/>
      <c r="M268"/>
      <c r="N268"/>
      <c r="O268"/>
      <c r="P268"/>
      <c r="Q268"/>
      <c r="Z268" s="2"/>
      <c r="AA268" s="2"/>
      <c r="AB268" s="2"/>
    </row>
    <row r="269" spans="2:28" s="35" customFormat="1" ht="15.75" customHeight="1">
      <c r="C269" s="71"/>
      <c r="D269" s="33" t="str">
        <f>IF(Indice_index!$Z$1=1,"julho","July")</f>
        <v>July</v>
      </c>
      <c r="E269" s="33">
        <v>16610.580416280001</v>
      </c>
      <c r="F269" s="33">
        <v>16925.57347712</v>
      </c>
      <c r="G269" s="33">
        <v>16435.22594715</v>
      </c>
      <c r="H269" s="33">
        <v>16887.199350950003</v>
      </c>
      <c r="I269" s="33">
        <f t="shared" si="54"/>
        <v>38.374126169997908</v>
      </c>
      <c r="J269" s="206">
        <f t="shared" si="55"/>
        <v>1.8963398806418282E-2</v>
      </c>
      <c r="K269" s="206">
        <f t="shared" si="56"/>
        <v>2.7500285378089264E-2</v>
      </c>
      <c r="L269"/>
      <c r="M269"/>
      <c r="N269"/>
      <c r="O269"/>
      <c r="P269"/>
      <c r="Q269"/>
      <c r="Z269" s="2"/>
      <c r="AA269" s="2"/>
      <c r="AB269" s="2"/>
    </row>
    <row r="270" spans="2:28" s="35" customFormat="1" ht="15.75" customHeight="1">
      <c r="C270" s="71"/>
      <c r="D270" s="33" t="str">
        <f>IF(Indice_index!$Z$1=1,"agosto","August")</f>
        <v>August</v>
      </c>
      <c r="E270" s="33">
        <v>18856.430495209996</v>
      </c>
      <c r="F270" s="33">
        <v>19386.165407490007</v>
      </c>
      <c r="G270" s="33">
        <v>18602.711021099967</v>
      </c>
      <c r="H270" s="33">
        <v>19151.700080099996</v>
      </c>
      <c r="I270" s="33">
        <f t="shared" si="54"/>
        <v>234.46532739001123</v>
      </c>
      <c r="J270" s="206">
        <f t="shared" si="55"/>
        <v>2.8093064189141068E-2</v>
      </c>
      <c r="K270" s="206">
        <f t="shared" si="56"/>
        <v>2.9511239430497119E-2</v>
      </c>
      <c r="L270"/>
      <c r="M270"/>
      <c r="N270"/>
      <c r="O270"/>
      <c r="P270"/>
      <c r="Q270"/>
      <c r="Z270" s="2"/>
      <c r="AA270" s="2"/>
      <c r="AB270" s="2"/>
    </row>
    <row r="271" spans="2:28" s="35" customFormat="1" ht="15.75" customHeight="1">
      <c r="C271" s="33"/>
      <c r="D271" s="33" t="str">
        <f>IF(Indice_index!$Z$1=1,"setembro","September")</f>
        <v>September</v>
      </c>
      <c r="E271" s="33">
        <v>21285.428572939993</v>
      </c>
      <c r="F271" s="33">
        <v>21648.547142859999</v>
      </c>
      <c r="G271" s="33">
        <v>21075.605055190001</v>
      </c>
      <c r="H271" s="33">
        <v>21348.898449800032</v>
      </c>
      <c r="I271" s="33">
        <f t="shared" si="54"/>
        <v>299.64869305996763</v>
      </c>
      <c r="J271" s="206">
        <f t="shared" si="55"/>
        <v>1.7059490659334754E-2</v>
      </c>
      <c r="K271" s="206">
        <f t="shared" si="56"/>
        <v>1.296728582142086E-2</v>
      </c>
      <c r="L271"/>
      <c r="M271"/>
      <c r="N271"/>
      <c r="O271"/>
      <c r="P271"/>
      <c r="Q271"/>
      <c r="Z271" s="2"/>
      <c r="AA271" s="2"/>
      <c r="AB271" s="2"/>
    </row>
    <row r="272" spans="2:28" ht="15.75" customHeight="1">
      <c r="C272" s="33"/>
      <c r="D272" s="33" t="str">
        <f>IF(Indice_index!$Z$1=1,"outubro","October")</f>
        <v>October</v>
      </c>
      <c r="E272" s="33">
        <v>23636.568339479993</v>
      </c>
      <c r="F272" s="33">
        <v>24184.437709419999</v>
      </c>
      <c r="G272" s="33">
        <v>23399.203054779991</v>
      </c>
      <c r="H272" s="33">
        <v>23831.520656770019</v>
      </c>
      <c r="I272" s="33">
        <f t="shared" si="54"/>
        <v>352.91705264998018</v>
      </c>
      <c r="J272" s="206">
        <f t="shared" si="55"/>
        <v>2.3178887987090075E-2</v>
      </c>
      <c r="K272" s="206">
        <f t="shared" si="56"/>
        <v>1.8475740433463762E-2</v>
      </c>
      <c r="L272" s="358"/>
      <c r="M272" s="358"/>
      <c r="N272" s="358"/>
      <c r="O272" s="358"/>
      <c r="P272"/>
      <c r="Q272"/>
    </row>
    <row r="273" spans="2:28" s="24" customFormat="1" ht="15.75" customHeight="1">
      <c r="C273" s="33"/>
      <c r="D273" s="33" t="str">
        <f>IF(Indice_index!$Z$1=1,"novembro","November")</f>
        <v>November</v>
      </c>
      <c r="E273" s="33">
        <v>25847.371110560009</v>
      </c>
      <c r="F273" s="33">
        <v>26846.550483359988</v>
      </c>
      <c r="G273" s="33">
        <v>25674.04105854005</v>
      </c>
      <c r="H273" s="33">
        <v>26525.683447509993</v>
      </c>
      <c r="I273" s="33">
        <f t="shared" si="54"/>
        <v>320.86703584999486</v>
      </c>
      <c r="J273" s="206">
        <f t="shared" si="55"/>
        <v>3.8656905126872344E-2</v>
      </c>
      <c r="K273" s="206">
        <f t="shared" si="56"/>
        <v>3.3171341707684099E-2</v>
      </c>
      <c r="L273" s="221"/>
      <c r="M273" s="221"/>
      <c r="N273" s="221"/>
      <c r="O273" s="221"/>
      <c r="P273" s="221"/>
      <c r="Q273" s="221"/>
      <c r="Z273" s="42"/>
      <c r="AA273" s="42"/>
      <c r="AB273" s="42"/>
    </row>
    <row r="274" spans="2:28" s="24" customFormat="1" ht="15.75" customHeight="1">
      <c r="C274" s="33"/>
      <c r="D274" s="33" t="str">
        <f>IF(Indice_index!$Z$1=1,"dezembro","December")</f>
        <v>December</v>
      </c>
      <c r="E274" s="33">
        <v>29093.230373080005</v>
      </c>
      <c r="F274" s="33">
        <v>30411.54235679</v>
      </c>
      <c r="G274" s="33">
        <v>29340.243649490025</v>
      </c>
      <c r="H274" s="33">
        <v>30558.938984520013</v>
      </c>
      <c r="I274" s="33">
        <f t="shared" si="54"/>
        <v>-147.39662773001328</v>
      </c>
      <c r="J274" s="206">
        <f t="shared" si="55"/>
        <v>4.5313358702505246E-2</v>
      </c>
      <c r="K274" s="206">
        <f t="shared" si="56"/>
        <v>4.1536646715991769E-2</v>
      </c>
      <c r="L274" s="221"/>
      <c r="M274" s="221"/>
      <c r="N274" s="221"/>
      <c r="O274" s="221"/>
      <c r="P274" s="221"/>
      <c r="Q274" s="221"/>
      <c r="Z274" s="42"/>
      <c r="AA274" s="42"/>
      <c r="AB274" s="42"/>
    </row>
    <row r="275" spans="2:28" s="24" customFormat="1" ht="15.75" customHeight="1">
      <c r="D275" s="33"/>
      <c r="E275" s="33"/>
      <c r="F275" s="33"/>
      <c r="G275" s="33"/>
      <c r="H275" s="33"/>
      <c r="I275" s="33"/>
      <c r="J275" s="55"/>
      <c r="K275" s="55"/>
      <c r="L275" s="221"/>
      <c r="M275" s="365"/>
      <c r="O275" s="366"/>
      <c r="P275" s="366"/>
      <c r="Q275" s="366"/>
      <c r="Z275" s="42"/>
      <c r="AA275" s="42"/>
      <c r="AB275" s="42"/>
    </row>
    <row r="276" spans="2:28" s="71" customFormat="1" ht="15.75" customHeight="1">
      <c r="C276" s="20" t="s">
        <v>126</v>
      </c>
      <c r="D276" s="71" t="str">
        <f>IF(Indice_index!$Z$1=1,"janeiro","January")</f>
        <v>January</v>
      </c>
      <c r="E276" s="71">
        <v>2200.3451246000004</v>
      </c>
      <c r="F276" s="71">
        <v>2294.8910662400012</v>
      </c>
      <c r="G276" s="71">
        <v>1766.2502442999996</v>
      </c>
      <c r="H276" s="71">
        <v>2045.6545063899985</v>
      </c>
      <c r="I276" s="71">
        <f t="shared" ref="I276:I287" si="57">IF(F276="","",+F276-H276)</f>
        <v>249.23655985000278</v>
      </c>
      <c r="J276" s="204">
        <f t="shared" ref="J276:J287" si="58">IF(F276="","",IF(E276=0,"-",(F276-E276)/E276))</f>
        <v>4.2968687313172417E-2</v>
      </c>
      <c r="K276" s="204">
        <f t="shared" ref="K276:K287" si="59">IF(H276="","",IF(G276=0,"-",(H276-G276)/G276))</f>
        <v>0.15819064313886752</v>
      </c>
      <c r="L276" s="221"/>
      <c r="M276" s="367"/>
      <c r="O276" s="368"/>
      <c r="P276" s="368"/>
      <c r="Q276" s="366"/>
      <c r="Z276" s="42"/>
      <c r="AA276" s="42"/>
      <c r="AB276" s="42"/>
    </row>
    <row r="277" spans="2:28" s="71" customFormat="1" ht="15.75" customHeight="1">
      <c r="D277" s="71" t="str">
        <f>IF(Indice_index!$Z$1=1,"fevereiro","February")</f>
        <v>February</v>
      </c>
      <c r="E277" s="71">
        <v>4485.5885841599975</v>
      </c>
      <c r="F277" s="71">
        <v>4551.0927634300006</v>
      </c>
      <c r="G277" s="71">
        <v>4215.6919063700034</v>
      </c>
      <c r="H277" s="71">
        <v>4523.6075398199946</v>
      </c>
      <c r="I277" s="71">
        <f t="shared" si="57"/>
        <v>27.48522361000596</v>
      </c>
      <c r="J277" s="204">
        <f t="shared" si="58"/>
        <v>1.4603251734079808E-2</v>
      </c>
      <c r="K277" s="204">
        <f t="shared" si="59"/>
        <v>7.3040355009037522E-2</v>
      </c>
      <c r="L277" s="221"/>
      <c r="M277" s="367"/>
      <c r="O277" s="368"/>
      <c r="P277" s="369"/>
      <c r="Q277" s="368"/>
      <c r="Z277" s="42"/>
      <c r="AA277" s="42"/>
      <c r="AB277" s="42"/>
    </row>
    <row r="278" spans="2:28" s="71" customFormat="1" ht="15.75" customHeight="1">
      <c r="D278" s="71" t="str">
        <f>IF(Indice_index!$Z$1=1,"março","March")</f>
        <v>March</v>
      </c>
      <c r="E278" s="71">
        <v>6850.0793698099988</v>
      </c>
      <c r="F278" s="71">
        <v>6923.2042049500033</v>
      </c>
      <c r="G278" s="71">
        <v>6548.0542979700022</v>
      </c>
      <c r="H278" s="71">
        <v>7120.9170630600038</v>
      </c>
      <c r="I278" s="71">
        <f t="shared" si="57"/>
        <v>-197.71285811000052</v>
      </c>
      <c r="J278" s="204">
        <f t="shared" si="58"/>
        <v>1.0675034724748419E-2</v>
      </c>
      <c r="K278" s="204">
        <f t="shared" si="59"/>
        <v>8.7485952165607103E-2</v>
      </c>
      <c r="L278" s="221"/>
      <c r="M278" s="367"/>
      <c r="O278" s="368"/>
      <c r="P278" s="368"/>
      <c r="Q278" s="368"/>
      <c r="Z278" s="42"/>
      <c r="AA278" s="42"/>
      <c r="AB278" s="42"/>
    </row>
    <row r="279" spans="2:28" s="71" customFormat="1" ht="15.75" customHeight="1">
      <c r="D279" s="71" t="str">
        <f>IF(Indice_index!$Z$1=1,"abril","April")</f>
        <v>April</v>
      </c>
      <c r="E279" s="71">
        <v>8928.1578738900007</v>
      </c>
      <c r="F279" s="71">
        <v>9270.3235209499999</v>
      </c>
      <c r="G279" s="71">
        <v>8772.4927871599939</v>
      </c>
      <c r="H279" s="71">
        <v>9477.6517969100023</v>
      </c>
      <c r="I279" s="71">
        <f t="shared" si="57"/>
        <v>-207.32827596000243</v>
      </c>
      <c r="J279" s="204">
        <f t="shared" si="58"/>
        <v>3.8324327581689313E-2</v>
      </c>
      <c r="K279" s="204">
        <f t="shared" si="59"/>
        <v>8.0382968314562334E-2</v>
      </c>
      <c r="L279" s="221"/>
      <c r="M279" s="367"/>
      <c r="N279" s="221"/>
      <c r="O279" s="221"/>
      <c r="P279" s="221"/>
      <c r="Q279" s="221"/>
      <c r="Z279" s="42"/>
      <c r="AA279" s="42"/>
      <c r="AB279" s="42"/>
    </row>
    <row r="280" spans="2:28" s="71" customFormat="1" ht="15.75" customHeight="1">
      <c r="D280" s="71" t="str">
        <f>IF(Indice_index!$Z$1=1,"maio","May")</f>
        <v>May</v>
      </c>
      <c r="E280" s="71">
        <v>11463.119838459999</v>
      </c>
      <c r="F280" s="71">
        <v>11732.450227889994</v>
      </c>
      <c r="G280" s="71">
        <v>11203.482895810002</v>
      </c>
      <c r="H280" s="71">
        <v>11748.832072149991</v>
      </c>
      <c r="I280" s="71">
        <f t="shared" si="57"/>
        <v>-16.381844259996797</v>
      </c>
      <c r="J280" s="204">
        <f t="shared" si="58"/>
        <v>2.3495382864825574E-2</v>
      </c>
      <c r="K280" s="204">
        <f t="shared" si="59"/>
        <v>4.8676753596325326E-2</v>
      </c>
      <c r="M280" s="221"/>
      <c r="N280" s="221"/>
      <c r="O280" s="221"/>
      <c r="P280" s="221"/>
      <c r="Q280" s="221"/>
      <c r="Z280" s="42"/>
      <c r="AA280" s="42"/>
      <c r="AB280" s="42"/>
    </row>
    <row r="281" spans="2:28" s="71" customFormat="1" ht="15.75" customHeight="1">
      <c r="D281" s="28" t="str">
        <f>IF(Indice_index!$Z$1=1,"junho","June")</f>
        <v>June</v>
      </c>
      <c r="E281" s="28">
        <v>13980.230168699996</v>
      </c>
      <c r="F281" s="28">
        <v>14369.625105599993</v>
      </c>
      <c r="G281" s="28">
        <v>13978.88194391001</v>
      </c>
      <c r="H281" s="28">
        <v>14454.722783969974</v>
      </c>
      <c r="I281" s="28">
        <f t="shared" si="57"/>
        <v>-85.097678369980713</v>
      </c>
      <c r="J281" s="226">
        <f t="shared" si="58"/>
        <v>2.7853256505876674E-2</v>
      </c>
      <c r="K281" s="226">
        <f t="shared" si="59"/>
        <v>3.4039978445290962E-2</v>
      </c>
      <c r="L281" s="221"/>
      <c r="M281" s="221"/>
      <c r="N281" s="221"/>
      <c r="O281" s="221"/>
      <c r="P281" s="221"/>
      <c r="Q281" s="221"/>
      <c r="Z281" s="42"/>
      <c r="AA281" s="42"/>
      <c r="AB281" s="42"/>
    </row>
    <row r="282" spans="2:28" s="71" customFormat="1" ht="15.75" customHeight="1">
      <c r="D282" s="33" t="str">
        <f>IF(Indice_index!$Z$1=1,"julho","July")</f>
        <v>July</v>
      </c>
      <c r="E282" s="33">
        <v>16944.473943220008</v>
      </c>
      <c r="F282" s="33">
        <v>17613.86922244999</v>
      </c>
      <c r="G282" s="33">
        <v>16903.947170790016</v>
      </c>
      <c r="H282" s="33">
        <v>17697.838249330009</v>
      </c>
      <c r="I282" s="33">
        <f t="shared" si="57"/>
        <v>-83.969026880018646</v>
      </c>
      <c r="J282" s="206">
        <f t="shared" si="58"/>
        <v>3.950522639257429E-2</v>
      </c>
      <c r="K282" s="206">
        <f t="shared" si="59"/>
        <v>4.6964834338327509E-2</v>
      </c>
      <c r="L282" s="221"/>
      <c r="M282" s="221"/>
      <c r="N282" s="221"/>
      <c r="O282" s="221"/>
      <c r="P282" s="221"/>
      <c r="Q282" s="221"/>
      <c r="Z282" s="42"/>
      <c r="AA282" s="42"/>
      <c r="AB282" s="42"/>
    </row>
    <row r="283" spans="2:28" s="71" customFormat="1" ht="15.75" customHeight="1">
      <c r="D283" s="33" t="str">
        <f>IF(Indice_index!$Z$1=1,"agosto","August")</f>
        <v>August</v>
      </c>
      <c r="E283" s="33">
        <v>19371.687380290001</v>
      </c>
      <c r="F283" s="33">
        <v>19948.370700149993</v>
      </c>
      <c r="G283" s="33">
        <v>19157.284685619994</v>
      </c>
      <c r="H283" s="33">
        <v>19910.82900137001</v>
      </c>
      <c r="I283" s="33">
        <f t="shared" si="57"/>
        <v>37.541698779983562</v>
      </c>
      <c r="J283" s="206">
        <f t="shared" si="58"/>
        <v>2.9769390169219184E-2</v>
      </c>
      <c r="K283" s="206">
        <f t="shared" si="59"/>
        <v>3.9334609685873059E-2</v>
      </c>
      <c r="L283" s="221"/>
      <c r="M283" s="221"/>
      <c r="N283" s="221"/>
      <c r="O283" s="221"/>
      <c r="P283" s="221"/>
      <c r="Q283" s="221"/>
      <c r="Z283" s="42"/>
      <c r="AA283" s="42"/>
      <c r="AB283" s="42"/>
    </row>
    <row r="284" spans="2:28" s="71" customFormat="1" ht="15.75" customHeight="1">
      <c r="C284" s="33"/>
      <c r="D284" s="33" t="str">
        <f>IF(Indice_index!$Z$1=1,"setembro","September")</f>
        <v>September</v>
      </c>
      <c r="E284" s="33">
        <v>21644.138023769996</v>
      </c>
      <c r="F284" s="33">
        <v>22221.411288299998</v>
      </c>
      <c r="G284" s="33">
        <v>21347.369814170033</v>
      </c>
      <c r="H284" s="33">
        <v>22138.806438629981</v>
      </c>
      <c r="I284" s="33">
        <f t="shared" si="57"/>
        <v>82.604849670016847</v>
      </c>
      <c r="J284" s="206">
        <f t="shared" si="58"/>
        <v>2.6671113624207616E-2</v>
      </c>
      <c r="K284" s="206">
        <f t="shared" si="59"/>
        <v>3.7074198430506654E-2</v>
      </c>
      <c r="L284" s="221"/>
      <c r="M284" s="221"/>
      <c r="N284" s="221"/>
      <c r="O284" s="221"/>
      <c r="P284" s="221"/>
      <c r="Q284" s="221"/>
      <c r="Z284" s="42"/>
      <c r="AA284" s="42"/>
      <c r="AB284" s="42"/>
    </row>
    <row r="285" spans="2:28" s="24" customFormat="1" ht="15.75" customHeight="1">
      <c r="C285" s="33"/>
      <c r="D285" s="33" t="str">
        <f>IF(Indice_index!$Z$1=1,"outubro","October")</f>
        <v>October</v>
      </c>
      <c r="E285" s="33">
        <v>24181.274267580004</v>
      </c>
      <c r="F285" s="33">
        <v>24836.078602149984</v>
      </c>
      <c r="G285" s="33">
        <v>23829.896972150011</v>
      </c>
      <c r="H285" s="33">
        <v>24754.471957190002</v>
      </c>
      <c r="I285" s="33">
        <f t="shared" si="57"/>
        <v>81.606644959982077</v>
      </c>
      <c r="J285" s="206">
        <f t="shared" si="58"/>
        <v>2.70789838171548E-2</v>
      </c>
      <c r="K285" s="206">
        <f t="shared" si="59"/>
        <v>3.8798950164179974E-2</v>
      </c>
      <c r="L285" s="370"/>
      <c r="M285" s="370"/>
      <c r="N285" s="370"/>
      <c r="O285" s="370"/>
      <c r="P285" s="221"/>
      <c r="Q285" s="221"/>
      <c r="Z285" s="42"/>
      <c r="AA285" s="42"/>
      <c r="AB285" s="42"/>
    </row>
    <row r="286" spans="2:28" s="24" customFormat="1" ht="15.75" customHeight="1">
      <c r="C286" s="33"/>
      <c r="D286" s="33" t="str">
        <f>IF(Indice_index!$Z$1=1,"novembro","November")</f>
        <v>November</v>
      </c>
      <c r="E286" s="33">
        <v>26838.84470419</v>
      </c>
      <c r="F286" s="33">
        <v>28125.40258568</v>
      </c>
      <c r="G286" s="33">
        <v>26523.908916129993</v>
      </c>
      <c r="H286" s="33">
        <v>28125.641355680007</v>
      </c>
      <c r="I286" s="33">
        <f t="shared" si="57"/>
        <v>-0.23877000000720727</v>
      </c>
      <c r="J286" s="206">
        <f t="shared" si="58"/>
        <v>4.7936410664097866E-2</v>
      </c>
      <c r="K286" s="206">
        <f t="shared" si="59"/>
        <v>6.0388249884840789E-2</v>
      </c>
      <c r="L286" s="221"/>
      <c r="M286" s="221"/>
      <c r="N286" s="221"/>
      <c r="O286" s="221"/>
      <c r="P286" s="221"/>
      <c r="Q286" s="221"/>
      <c r="Z286" s="42"/>
      <c r="AA286" s="42"/>
      <c r="AB286" s="42"/>
    </row>
    <row r="287" spans="2:28" s="24" customFormat="1" ht="15.75" customHeight="1">
      <c r="C287" s="33"/>
      <c r="D287" s="33" t="str">
        <f>IF(Indice_index!$Z$1=1,"dezembro","December")</f>
        <v>December</v>
      </c>
      <c r="E287" s="33">
        <v>30411.542356790007</v>
      </c>
      <c r="F287" s="33">
        <v>31585.866959619998</v>
      </c>
      <c r="G287" s="33">
        <v>30558.938984520017</v>
      </c>
      <c r="H287" s="33">
        <v>32489.370678879997</v>
      </c>
      <c r="I287" s="33">
        <f t="shared" si="57"/>
        <v>-903.50371925999934</v>
      </c>
      <c r="J287" s="206">
        <f t="shared" si="58"/>
        <v>3.8614437539955901E-2</v>
      </c>
      <c r="K287" s="206">
        <f t="shared" si="59"/>
        <v>6.3170769617945932E-2</v>
      </c>
      <c r="L287" s="221"/>
      <c r="M287" s="221"/>
      <c r="N287" s="221"/>
      <c r="O287" s="221"/>
      <c r="P287" s="221"/>
      <c r="Q287" s="221"/>
      <c r="Z287" s="42"/>
      <c r="AA287" s="42"/>
      <c r="AB287" s="42"/>
    </row>
    <row r="288" spans="2:28" ht="15.75" customHeight="1">
      <c r="B288" s="24"/>
      <c r="C288" s="24"/>
      <c r="D288" s="33"/>
      <c r="E288" s="33"/>
      <c r="F288" s="33"/>
      <c r="G288" s="33"/>
      <c r="H288" s="33"/>
      <c r="I288" s="33"/>
      <c r="J288" s="55"/>
      <c r="K288" s="55"/>
      <c r="M288" s="30"/>
      <c r="O288" s="256"/>
      <c r="P288" s="256"/>
      <c r="Q288" s="256"/>
    </row>
    <row r="289" spans="3:28" s="35" customFormat="1" ht="15.75" customHeight="1">
      <c r="C289" s="20" t="s">
        <v>127</v>
      </c>
      <c r="D289" s="71" t="str">
        <f>IF(Indice_index!$Z$1=1,"janeiro","January")</f>
        <v>January</v>
      </c>
      <c r="E289" s="71">
        <v>2289.5709893700005</v>
      </c>
      <c r="F289" s="71">
        <v>2361.2071501033333</v>
      </c>
      <c r="G289" s="71">
        <v>2031.4151415399999</v>
      </c>
      <c r="H289" s="71">
        <v>1793.6231381400005</v>
      </c>
      <c r="I289" s="71">
        <f t="shared" ref="I289:I300" si="60">IF(F289="","",+F289-H289)</f>
        <v>567.58401196333284</v>
      </c>
      <c r="J289" s="204">
        <f t="shared" ref="J289:J300" si="61">IF(F289="","",IF(E289=0,"-",(F289-E289)/E289))</f>
        <v>3.1288027785958412E-2</v>
      </c>
      <c r="K289" s="204">
        <f t="shared" ref="K289:K300" si="62">IF(H289="","",IF(G289=0,"-",(H289-G289)/G289))</f>
        <v>-0.11705731563058606</v>
      </c>
      <c r="L289"/>
      <c r="M289" s="203"/>
      <c r="O289" s="257"/>
      <c r="P289" s="257"/>
      <c r="Q289" s="256"/>
      <c r="Z289" s="2"/>
      <c r="AA289" s="2"/>
      <c r="AB289" s="2"/>
    </row>
    <row r="290" spans="3:28" s="35" customFormat="1" ht="15.75" customHeight="1">
      <c r="C290" s="71"/>
      <c r="D290" s="71" t="str">
        <f>IF(Indice_index!$Z$1=1,"fevereiro","February")</f>
        <v>February</v>
      </c>
      <c r="E290" s="71">
        <v>4545.7991205799999</v>
      </c>
      <c r="F290" s="71">
        <v>4706.4638890400001</v>
      </c>
      <c r="G290" s="71">
        <v>4515.6071916799983</v>
      </c>
      <c r="H290" s="71">
        <v>4358.4598371099992</v>
      </c>
      <c r="I290" s="71">
        <f t="shared" si="60"/>
        <v>348.00405193000097</v>
      </c>
      <c r="J290" s="204">
        <f t="shared" si="61"/>
        <v>3.5343569787901444E-2</v>
      </c>
      <c r="K290" s="204">
        <f t="shared" si="62"/>
        <v>-3.4800935488707475E-2</v>
      </c>
      <c r="L290"/>
      <c r="M290" s="203"/>
      <c r="O290" s="257"/>
      <c r="P290" s="258"/>
      <c r="Q290" s="257"/>
      <c r="Z290" s="2"/>
      <c r="AA290" s="2"/>
      <c r="AB290" s="2"/>
    </row>
    <row r="291" spans="3:28" s="35" customFormat="1" ht="15.75" customHeight="1">
      <c r="C291" s="71"/>
      <c r="D291" s="71" t="str">
        <f>IF(Indice_index!$Z$1=1,"março","March")</f>
        <v>March</v>
      </c>
      <c r="E291" s="71">
        <v>6920.439665900004</v>
      </c>
      <c r="F291" s="71">
        <v>7014.8262181300042</v>
      </c>
      <c r="G291" s="71">
        <v>7132.754446259999</v>
      </c>
      <c r="H291" s="71">
        <v>6634.6365901400004</v>
      </c>
      <c r="I291" s="71">
        <f t="shared" si="60"/>
        <v>380.18962799000383</v>
      </c>
      <c r="J291" s="204">
        <f t="shared" si="61"/>
        <v>1.3638808628747036E-2</v>
      </c>
      <c r="K291" s="204">
        <f t="shared" si="62"/>
        <v>-6.9835273297706557E-2</v>
      </c>
      <c r="L291"/>
      <c r="M291" s="203"/>
      <c r="O291" s="257"/>
      <c r="P291" s="257"/>
      <c r="Q291" s="257"/>
      <c r="Z291" s="2"/>
      <c r="AA291" s="2"/>
      <c r="AB291" s="2"/>
    </row>
    <row r="292" spans="3:28" s="35" customFormat="1" ht="15.75" customHeight="1">
      <c r="C292" s="71"/>
      <c r="D292" s="71" t="str">
        <f>IF(Indice_index!$Z$1=1,"abril","April")</f>
        <v>April</v>
      </c>
      <c r="E292" s="71">
        <v>9291.6778420099999</v>
      </c>
      <c r="F292" s="71">
        <v>9472.083759663059</v>
      </c>
      <c r="G292" s="71">
        <v>9511.4863787399991</v>
      </c>
      <c r="H292" s="71">
        <v>9010.4348812630633</v>
      </c>
      <c r="I292" s="71">
        <f t="shared" si="60"/>
        <v>461.64887839999574</v>
      </c>
      <c r="J292" s="204">
        <f t="shared" si="61"/>
        <v>1.9415860162240967E-2</v>
      </c>
      <c r="K292" s="204">
        <f t="shared" si="62"/>
        <v>-5.2678569628915435E-2</v>
      </c>
      <c r="L292"/>
      <c r="M292" s="203"/>
      <c r="N292"/>
      <c r="O292"/>
      <c r="P292"/>
      <c r="Q292"/>
      <c r="Z292" s="2"/>
      <c r="AA292" s="2"/>
      <c r="AB292" s="2"/>
    </row>
    <row r="293" spans="3:28" s="35" customFormat="1" ht="15.75" customHeight="1">
      <c r="C293" s="71"/>
      <c r="D293" s="71" t="str">
        <f>IF(Indice_index!$Z$1=1,"maio","May")</f>
        <v>May</v>
      </c>
      <c r="E293" s="71">
        <v>11758.92724759</v>
      </c>
      <c r="F293" s="71">
        <v>12288.675833600006</v>
      </c>
      <c r="G293" s="71">
        <v>11775.981267709998</v>
      </c>
      <c r="H293" s="71">
        <v>11293.545765350005</v>
      </c>
      <c r="I293" s="71">
        <f t="shared" si="60"/>
        <v>995.13006825000048</v>
      </c>
      <c r="J293" s="204">
        <f t="shared" si="61"/>
        <v>4.5050758020343931E-2</v>
      </c>
      <c r="K293" s="204">
        <f t="shared" si="62"/>
        <v>-4.0967753887554297E-2</v>
      </c>
      <c r="M293"/>
      <c r="N293"/>
      <c r="O293"/>
      <c r="P293"/>
      <c r="Q293"/>
      <c r="Z293" s="2"/>
      <c r="AA293" s="2"/>
      <c r="AB293" s="2"/>
    </row>
    <row r="294" spans="3:28" s="35" customFormat="1" ht="15.75" customHeight="1">
      <c r="C294" s="71"/>
      <c r="D294" s="28" t="str">
        <f>IF(Indice_index!$Z$1=1,"junho","June")</f>
        <v>June</v>
      </c>
      <c r="E294" s="28"/>
      <c r="F294" s="28"/>
      <c r="G294" s="28"/>
      <c r="H294" s="28"/>
      <c r="I294" s="28" t="str">
        <f t="shared" si="60"/>
        <v/>
      </c>
      <c r="J294" s="226" t="str">
        <f t="shared" si="61"/>
        <v/>
      </c>
      <c r="K294" s="226" t="str">
        <f t="shared" si="62"/>
        <v/>
      </c>
      <c r="L294"/>
      <c r="M294"/>
      <c r="N294"/>
      <c r="O294"/>
      <c r="P294"/>
      <c r="Q294"/>
      <c r="Z294" s="2"/>
      <c r="AA294" s="2"/>
      <c r="AB294" s="2"/>
    </row>
    <row r="295" spans="3:28" s="35" customFormat="1" ht="15.75" customHeight="1">
      <c r="C295" s="71"/>
      <c r="D295" s="33" t="str">
        <f>IF(Indice_index!$Z$1=1,"julho","July")</f>
        <v>July</v>
      </c>
      <c r="E295" s="33"/>
      <c r="F295" s="33"/>
      <c r="G295" s="33"/>
      <c r="H295" s="33"/>
      <c r="I295" s="33" t="str">
        <f t="shared" si="60"/>
        <v/>
      </c>
      <c r="J295" s="206" t="str">
        <f t="shared" si="61"/>
        <v/>
      </c>
      <c r="K295" s="206" t="str">
        <f t="shared" si="62"/>
        <v/>
      </c>
      <c r="L295"/>
      <c r="M295"/>
      <c r="N295"/>
      <c r="O295"/>
      <c r="P295"/>
      <c r="Q295"/>
      <c r="Z295" s="2"/>
      <c r="AA295" s="2"/>
      <c r="AB295" s="2"/>
    </row>
    <row r="296" spans="3:28" s="35" customFormat="1" ht="15.75" customHeight="1">
      <c r="C296" s="71"/>
      <c r="D296" s="33" t="str">
        <f>IF(Indice_index!$Z$1=1,"agosto","August")</f>
        <v>August</v>
      </c>
      <c r="E296" s="33"/>
      <c r="F296" s="33"/>
      <c r="G296" s="33"/>
      <c r="H296" s="33"/>
      <c r="I296" s="33" t="str">
        <f t="shared" si="60"/>
        <v/>
      </c>
      <c r="J296" s="206" t="str">
        <f t="shared" si="61"/>
        <v/>
      </c>
      <c r="K296" s="206" t="str">
        <f t="shared" si="62"/>
        <v/>
      </c>
      <c r="L296"/>
      <c r="M296"/>
      <c r="N296"/>
      <c r="O296"/>
      <c r="P296"/>
      <c r="Q296"/>
      <c r="Z296" s="2"/>
      <c r="AA296" s="2"/>
      <c r="AB296" s="2"/>
    </row>
    <row r="297" spans="3:28" s="35" customFormat="1" ht="15.75" customHeight="1">
      <c r="C297" s="33"/>
      <c r="D297" s="33" t="str">
        <f>IF(Indice_index!$Z$1=1,"setembro","September")</f>
        <v>September</v>
      </c>
      <c r="E297" s="33"/>
      <c r="F297" s="33"/>
      <c r="G297" s="33"/>
      <c r="H297" s="33"/>
      <c r="I297" s="33" t="str">
        <f t="shared" si="60"/>
        <v/>
      </c>
      <c r="J297" s="206" t="str">
        <f t="shared" si="61"/>
        <v/>
      </c>
      <c r="K297" s="206" t="str">
        <f t="shared" si="62"/>
        <v/>
      </c>
      <c r="L297"/>
      <c r="M297"/>
      <c r="N297"/>
      <c r="O297"/>
      <c r="P297"/>
      <c r="Q297"/>
      <c r="Z297" s="2"/>
      <c r="AA297" s="2"/>
      <c r="AB297" s="2"/>
    </row>
    <row r="298" spans="3:28" ht="15.75" customHeight="1">
      <c r="C298" s="33"/>
      <c r="D298" s="33" t="str">
        <f>IF(Indice_index!$Z$1=1,"outubro","October")</f>
        <v>October</v>
      </c>
      <c r="E298" s="33"/>
      <c r="F298" s="33"/>
      <c r="G298" s="33"/>
      <c r="H298" s="33"/>
      <c r="I298" s="33" t="str">
        <f t="shared" si="60"/>
        <v/>
      </c>
      <c r="J298" s="206" t="str">
        <f t="shared" si="61"/>
        <v/>
      </c>
      <c r="K298" s="206" t="str">
        <f t="shared" si="62"/>
        <v/>
      </c>
      <c r="L298" s="358"/>
      <c r="M298" s="358"/>
      <c r="N298" s="358"/>
      <c r="O298" s="358"/>
      <c r="P298"/>
      <c r="Q298"/>
    </row>
    <row r="299" spans="3:28" s="24" customFormat="1" ht="15.75" customHeight="1">
      <c r="C299" s="33"/>
      <c r="D299" s="33" t="str">
        <f>IF(Indice_index!$Z$1=1,"novembro","November")</f>
        <v>November</v>
      </c>
      <c r="E299" s="33"/>
      <c r="F299" s="33"/>
      <c r="G299" s="33"/>
      <c r="H299" s="33"/>
      <c r="I299" s="33" t="str">
        <f t="shared" si="60"/>
        <v/>
      </c>
      <c r="J299" s="206" t="str">
        <f t="shared" si="61"/>
        <v/>
      </c>
      <c r="K299" s="206" t="str">
        <f t="shared" si="62"/>
        <v/>
      </c>
      <c r="L299" s="221"/>
      <c r="M299" s="221"/>
      <c r="N299" s="221"/>
      <c r="O299" s="221"/>
      <c r="P299" s="221"/>
      <c r="Q299" s="221"/>
      <c r="Z299" s="42"/>
      <c r="AA299" s="42"/>
      <c r="AB299" s="42"/>
    </row>
    <row r="300" spans="3:28" s="24" customFormat="1" ht="15.75" customHeight="1">
      <c r="C300" s="85"/>
      <c r="D300" s="85" t="str">
        <f>IF(Indice_index!$Z$1=1,"dezembro","December")</f>
        <v>December</v>
      </c>
      <c r="E300" s="85"/>
      <c r="F300" s="85"/>
      <c r="G300" s="85"/>
      <c r="H300" s="85"/>
      <c r="I300" s="85" t="str">
        <f t="shared" si="60"/>
        <v/>
      </c>
      <c r="J300" s="252" t="str">
        <f t="shared" si="61"/>
        <v/>
      </c>
      <c r="K300" s="252" t="str">
        <f t="shared" si="62"/>
        <v/>
      </c>
      <c r="L300" s="221"/>
      <c r="M300" s="221"/>
      <c r="N300" s="221"/>
      <c r="O300" s="221"/>
      <c r="P300" s="221"/>
      <c r="Q300" s="221"/>
      <c r="Z300" s="42"/>
      <c r="AA300" s="42"/>
      <c r="AB300" s="42"/>
    </row>
    <row r="301" spans="3:28" ht="14.25" customHeight="1">
      <c r="C301" s="76"/>
      <c r="D301" s="76"/>
      <c r="E301"/>
      <c r="F301"/>
      <c r="G301"/>
      <c r="H301"/>
      <c r="I301"/>
      <c r="J301" s="76"/>
      <c r="K301" s="76"/>
      <c r="M301" s="211"/>
      <c r="N301" s="208"/>
    </row>
    <row r="302" spans="3:28" ht="12" customHeight="1">
      <c r="D302" s="36"/>
      <c r="E302" s="13"/>
      <c r="F302" s="13"/>
      <c r="G302" s="13"/>
      <c r="H302" s="13"/>
      <c r="J302" s="14"/>
    </row>
    <row r="303" spans="3:28" ht="23.25" customHeight="1">
      <c r="C303" s="389" t="str">
        <f>IF(Indice_index!$Z$1=1,"1.3 Evolução da Receita, Despesa e Saldo das Entidades Publicas Reclassificadas (valores acumulados)","1.3 State-Owned Enterprises, Expenditure and Balance Evolution (cumulative values)")</f>
        <v>1.3 State-Owned Enterprises, Expenditure and Balance Evolution (cumulative values)</v>
      </c>
      <c r="D303" s="389"/>
      <c r="E303" s="389"/>
      <c r="F303" s="389"/>
      <c r="G303" s="389"/>
      <c r="H303" s="389"/>
      <c r="I303" s="389"/>
      <c r="J303" s="389"/>
      <c r="K303" s="81" t="str">
        <f>IF(Indice_index!$Z$1=1,"€ Milhões","€ Millions")</f>
        <v>€ Millions</v>
      </c>
    </row>
    <row r="304" spans="3:28" ht="12" customHeight="1">
      <c r="C304" s="72"/>
      <c r="D304" s="78"/>
      <c r="E304" s="379" t="str">
        <f>IF(Indice_index!$Z$1=1,"Receita efetiva","Effective revenue")</f>
        <v>Effective revenue</v>
      </c>
      <c r="F304" s="380"/>
      <c r="G304" s="379" t="str">
        <f>IF(Indice_index!$Z$1=1,"Despesa  efetiva","Effective expenditure")</f>
        <v>Effective expenditure</v>
      </c>
      <c r="H304" s="380"/>
      <c r="I304" s="383" t="str">
        <f>IF(Indice_index!$Z$1=1,"Saldo global","Overall
balance")</f>
        <v>Overall
balance</v>
      </c>
      <c r="J304" s="387" t="str">
        <f>IF(Indice_index!$Z$1=1,"VH (%)","YOY Change Rate (%)")</f>
        <v>YOY Change Rate (%)</v>
      </c>
      <c r="K304" s="388"/>
    </row>
    <row r="305" spans="3:28" ht="12" customHeight="1">
      <c r="C305" s="75"/>
      <c r="D305" s="79"/>
      <c r="E305" s="381"/>
      <c r="F305" s="382"/>
      <c r="G305" s="381"/>
      <c r="H305" s="382"/>
      <c r="I305" s="384"/>
      <c r="J305" s="359" t="str">
        <f>IF(Indice_index!$Z$1=1,"Receita","Revenue")</f>
        <v>Revenue</v>
      </c>
      <c r="K305" s="360" t="str">
        <f>IF(Indice_index!$Z$1=1,"Despesa","Expenditure")</f>
        <v>Expenditure</v>
      </c>
    </row>
    <row r="306" spans="3:28" ht="12" customHeight="1">
      <c r="C306" s="23"/>
      <c r="D306" s="24"/>
      <c r="E306" s="18" t="str">
        <f>IF(Indice_index!$Z$1=1,"Ano n-1","Year n-1")</f>
        <v>Year n-1</v>
      </c>
      <c r="F306" s="18" t="str">
        <f>IF(Indice_index!$Z$1=1,"Ano n","Year n")</f>
        <v>Year n</v>
      </c>
      <c r="G306" s="18" t="str">
        <f>IF(Indice_index!$Z$1=1,"Ano n-1","Year n-1")</f>
        <v>Year n-1</v>
      </c>
      <c r="H306" s="18" t="str">
        <f>IF(Indice_index!$Z$1=1,"Ano n","Year n")</f>
        <v>Year n</v>
      </c>
      <c r="I306" s="18" t="str">
        <f>IF(Indice_index!$Z$1=1,"Ano n","Year n")</f>
        <v>Year n</v>
      </c>
      <c r="J306" s="19" t="str">
        <f>IF(Indice_index!$Z$1=1,"Ano n","Year n")</f>
        <v>Year n</v>
      </c>
      <c r="K306" s="19" t="str">
        <f>IF(Indice_index!$Z$1=1,"Ano n","Year n")</f>
        <v>Year n</v>
      </c>
    </row>
    <row r="307" spans="3:28" ht="15.75" customHeight="1">
      <c r="C307" s="23" t="s">
        <v>5</v>
      </c>
      <c r="D307" s="7" t="str">
        <f>IF(Indice_index!$Z$1=1,"janeiro","January")</f>
        <v>January</v>
      </c>
      <c r="E307" s="44"/>
      <c r="F307" s="44">
        <v>363.71814799999999</v>
      </c>
      <c r="G307" s="44"/>
      <c r="H307" s="44">
        <v>226.42325899999997</v>
      </c>
      <c r="I307" s="7">
        <f>IF(F307="","",+F307-H307)</f>
        <v>137.29488900000001</v>
      </c>
      <c r="J307" s="45" t="s">
        <v>6</v>
      </c>
      <c r="K307" s="45" t="s">
        <v>6</v>
      </c>
      <c r="M307" s="46"/>
    </row>
    <row r="308" spans="3:28" ht="15.75" customHeight="1">
      <c r="C308" s="24"/>
      <c r="D308" s="7" t="str">
        <f>IF(Indice_index!$Z$1=1,"fevereiro","February")</f>
        <v>February</v>
      </c>
      <c r="E308" s="44"/>
      <c r="F308" s="44">
        <v>729.92439000000002</v>
      </c>
      <c r="G308" s="44"/>
      <c r="H308" s="44">
        <v>640.73507399999994</v>
      </c>
      <c r="I308" s="7">
        <f>IF(F308="","",+F308-H308)</f>
        <v>89.189316000000076</v>
      </c>
      <c r="J308" s="45" t="s">
        <v>6</v>
      </c>
      <c r="K308" s="45" t="s">
        <v>6</v>
      </c>
      <c r="M308" s="46"/>
    </row>
    <row r="309" spans="3:28" s="32" customFormat="1" ht="15.75" customHeight="1">
      <c r="C309" s="33"/>
      <c r="D309" s="32" t="str">
        <f>IF(Indice_index!$Z$1=1,"março","March")</f>
        <v>March</v>
      </c>
      <c r="E309" s="44"/>
      <c r="F309" s="44">
        <v>888.73242000000005</v>
      </c>
      <c r="G309" s="44"/>
      <c r="H309" s="44">
        <v>956.87100000000009</v>
      </c>
      <c r="I309" s="32">
        <f>IF(F309="","",+F309-H309)</f>
        <v>-68.138580000000047</v>
      </c>
      <c r="J309" s="47" t="s">
        <v>6</v>
      </c>
      <c r="K309" s="47" t="s">
        <v>6</v>
      </c>
      <c r="L309"/>
      <c r="M309" s="48"/>
      <c r="Z309" s="41"/>
      <c r="AA309" s="41"/>
      <c r="AB309" s="41"/>
    </row>
    <row r="310" spans="3:28" s="32" customFormat="1" ht="15.75" customHeight="1">
      <c r="C310" s="49"/>
      <c r="D310" s="32" t="str">
        <f>IF(Indice_index!$Z$1=1,"abril","April")</f>
        <v>April</v>
      </c>
      <c r="E310" s="44"/>
      <c r="F310" s="44">
        <v>1049.9203269999998</v>
      </c>
      <c r="G310" s="44"/>
      <c r="H310" s="44">
        <v>1209.0980799999998</v>
      </c>
      <c r="I310" s="32">
        <f>IF(F310="","",+F310-H310)</f>
        <v>-159.17775299999994</v>
      </c>
      <c r="J310" s="47" t="s">
        <v>6</v>
      </c>
      <c r="K310" s="47" t="s">
        <v>6</v>
      </c>
      <c r="L310"/>
      <c r="M310" s="48"/>
      <c r="Z310" s="41"/>
      <c r="AA310" s="41"/>
      <c r="AB310" s="41"/>
    </row>
    <row r="311" spans="3:28" s="32" customFormat="1" ht="15.75" customHeight="1">
      <c r="C311" s="49"/>
      <c r="D311" s="32" t="str">
        <f>IF(Indice_index!$Z$1=1,"maio","May")</f>
        <v>May</v>
      </c>
      <c r="E311" s="44"/>
      <c r="F311" s="44">
        <v>1254.573926</v>
      </c>
      <c r="G311" s="44"/>
      <c r="H311" s="44">
        <v>1715.02502</v>
      </c>
      <c r="I311" s="32">
        <v>-460.45109400000001</v>
      </c>
      <c r="J311" s="47" t="s">
        <v>6</v>
      </c>
      <c r="K311" s="47" t="s">
        <v>6</v>
      </c>
      <c r="L311"/>
      <c r="M311" s="48"/>
      <c r="Z311" s="41"/>
      <c r="AA311" s="41"/>
      <c r="AB311" s="41"/>
    </row>
    <row r="312" spans="3:28" s="32" customFormat="1" ht="15.75" customHeight="1">
      <c r="C312" s="49"/>
      <c r="D312" s="32" t="str">
        <f>IF(Indice_index!$Z$1=1,"junho","June")</f>
        <v>June</v>
      </c>
      <c r="E312" s="44"/>
      <c r="F312" s="44">
        <v>1433.9124442</v>
      </c>
      <c r="G312" s="44"/>
      <c r="H312" s="44">
        <v>1906.3989779999997</v>
      </c>
      <c r="I312" s="32">
        <f>IF(F312="","",+F312-H312)</f>
        <v>-472.48653379999973</v>
      </c>
      <c r="J312" s="47" t="s">
        <v>6</v>
      </c>
      <c r="K312" s="47" t="s">
        <v>6</v>
      </c>
      <c r="L312"/>
      <c r="M312" s="48"/>
      <c r="Z312" s="41"/>
      <c r="AA312" s="41"/>
      <c r="AB312" s="41"/>
    </row>
    <row r="313" spans="3:28" s="32" customFormat="1" ht="15.75" customHeight="1">
      <c r="C313" s="49"/>
      <c r="D313" s="32" t="str">
        <f>IF(Indice_index!$Z$1=1,"julho","July")</f>
        <v>July</v>
      </c>
      <c r="E313" s="44"/>
      <c r="F313" s="44">
        <v>1763.316298</v>
      </c>
      <c r="G313" s="44"/>
      <c r="H313" s="44">
        <v>2268.1437459999997</v>
      </c>
      <c r="I313" s="32">
        <f>IF(F313="","",+F313-H313)</f>
        <v>-504.82744799999978</v>
      </c>
      <c r="J313" s="47" t="s">
        <v>6</v>
      </c>
      <c r="K313" s="47" t="s">
        <v>6</v>
      </c>
      <c r="L313"/>
      <c r="M313"/>
      <c r="Z313" s="41"/>
      <c r="AA313" s="41"/>
      <c r="AB313" s="41"/>
    </row>
    <row r="314" spans="3:28" s="32" customFormat="1" ht="15.75" customHeight="1">
      <c r="C314" s="49"/>
      <c r="D314" s="32" t="str">
        <f>IF(Indice_index!$Z$1=1,"agosto","August")</f>
        <v>August</v>
      </c>
      <c r="E314" s="44"/>
      <c r="F314" s="44">
        <v>2009.521786</v>
      </c>
      <c r="G314" s="44"/>
      <c r="H314" s="44">
        <v>2526.054537</v>
      </c>
      <c r="I314" s="32">
        <f>IF(F314="","",+F314-H314)</f>
        <v>-516.53275099999996</v>
      </c>
      <c r="J314" s="47" t="s">
        <v>6</v>
      </c>
      <c r="K314" s="47" t="s">
        <v>6</v>
      </c>
      <c r="L314"/>
      <c r="M314" s="48"/>
      <c r="Z314" s="41"/>
      <c r="AA314" s="41"/>
      <c r="AB314" s="41"/>
    </row>
    <row r="315" spans="3:28" s="32" customFormat="1" ht="15.75" customHeight="1">
      <c r="C315" s="49"/>
      <c r="D315" s="32" t="str">
        <f>IF(Indice_index!$Z$1=1,"setembro","September")</f>
        <v>September</v>
      </c>
      <c r="E315" s="44"/>
      <c r="F315" s="44">
        <v>2203.3200769999999</v>
      </c>
      <c r="G315" s="44"/>
      <c r="H315" s="44">
        <v>2704.6312420000004</v>
      </c>
      <c r="I315" s="32">
        <f>IF(F315="","",+F315-H315)</f>
        <v>-501.31116500000053</v>
      </c>
      <c r="J315" s="47" t="s">
        <v>6</v>
      </c>
      <c r="K315" s="47" t="s">
        <v>6</v>
      </c>
      <c r="L315"/>
      <c r="M315" s="48"/>
      <c r="Z315" s="41"/>
      <c r="AA315" s="41"/>
      <c r="AB315" s="41"/>
    </row>
    <row r="316" spans="3:28" s="32" customFormat="1" ht="15.75" customHeight="1">
      <c r="C316" s="49"/>
      <c r="D316" s="32" t="str">
        <f>IF(Indice_index!$Z$1=1,"outubro","October")</f>
        <v>October</v>
      </c>
      <c r="E316" s="44"/>
      <c r="F316" s="44">
        <v>2426.194477</v>
      </c>
      <c r="G316" s="44"/>
      <c r="H316" s="44">
        <v>3084.4753430000001</v>
      </c>
      <c r="I316" s="32">
        <f>IF(F316="","",+F316-H316)</f>
        <v>-658.28086600000006</v>
      </c>
      <c r="J316" s="47" t="s">
        <v>6</v>
      </c>
      <c r="K316" s="47" t="s">
        <v>6</v>
      </c>
      <c r="L316"/>
      <c r="M316" s="48"/>
      <c r="Z316" s="41"/>
      <c r="AA316" s="41"/>
      <c r="AB316" s="41"/>
    </row>
    <row r="317" spans="3:28" s="32" customFormat="1" ht="15.75" customHeight="1">
      <c r="C317" s="49"/>
      <c r="D317" s="32" t="str">
        <f>IF(Indice_index!$Z$1=1,"novembro","November")</f>
        <v>November</v>
      </c>
      <c r="E317" s="44"/>
      <c r="F317" s="44">
        <v>2673.4880939999998</v>
      </c>
      <c r="G317" s="44"/>
      <c r="H317" s="44">
        <v>3376.816652</v>
      </c>
      <c r="I317" s="32">
        <v>-703.32855800000016</v>
      </c>
      <c r="J317" s="47" t="s">
        <v>6</v>
      </c>
      <c r="K317" s="47" t="s">
        <v>6</v>
      </c>
      <c r="L317"/>
      <c r="M317" s="48"/>
      <c r="Z317" s="41"/>
      <c r="AA317" s="41"/>
      <c r="AB317" s="41"/>
    </row>
    <row r="318" spans="3:28" s="32" customFormat="1" ht="15.75" customHeight="1">
      <c r="C318" s="49"/>
      <c r="D318" s="32" t="str">
        <f>IF(Indice_index!$Z$1=1,"dezembro","December")</f>
        <v>December</v>
      </c>
      <c r="E318" s="44"/>
      <c r="F318" s="27">
        <v>3354.9348999999997</v>
      </c>
      <c r="G318" s="27"/>
      <c r="H318" s="27">
        <v>4211.9003899999998</v>
      </c>
      <c r="I318" s="12">
        <f>IF(F318="","",+F318-H318)</f>
        <v>-856.96549000000005</v>
      </c>
      <c r="J318" s="50" t="s">
        <v>6</v>
      </c>
      <c r="K318" s="50" t="s">
        <v>6</v>
      </c>
      <c r="L318"/>
      <c r="M318" s="48"/>
      <c r="Z318" s="41"/>
      <c r="AA318" s="41"/>
      <c r="AB318" s="41"/>
    </row>
    <row r="319" spans="3:28" ht="15.75" customHeight="1">
      <c r="H319" s="7"/>
    </row>
    <row r="320" spans="3:28" ht="15.75" customHeight="1">
      <c r="C320" s="20">
        <v>2013</v>
      </c>
      <c r="D320" s="24" t="str">
        <f>IF(Indice_index!$Z$1=1,"janeiro","January")</f>
        <v>January</v>
      </c>
      <c r="E320" s="24">
        <v>384.74889600000017</v>
      </c>
      <c r="F320" s="24">
        <v>196.53022899999999</v>
      </c>
      <c r="G320" s="24">
        <v>284.48197055999998</v>
      </c>
      <c r="H320" s="24">
        <v>117.84502918000004</v>
      </c>
      <c r="I320" s="24">
        <f t="shared" ref="I320:I326" si="63">IF(F320="","",+F320-H320)</f>
        <v>78.685199819999951</v>
      </c>
      <c r="J320" s="205">
        <f t="shared" ref="J320:J331" si="64">IF(F320="","",IF(E320=0,"-",(F320-E320)/E320))</f>
        <v>-0.4891987188444073</v>
      </c>
      <c r="K320" s="205">
        <f t="shared" ref="K320:K331" si="65">IF(H320="","",IF(G320=0,"-",(H320-G320)/G320))</f>
        <v>-0.58575571960492523</v>
      </c>
      <c r="L320" s="203"/>
      <c r="M320" s="203"/>
    </row>
    <row r="321" spans="3:14" ht="15.75" customHeight="1">
      <c r="C321" s="49"/>
      <c r="D321" s="32" t="str">
        <f>IF(Indice_index!$Z$1=1,"fevereiro","February")</f>
        <v>February</v>
      </c>
      <c r="E321" s="44">
        <v>729.92439000000002</v>
      </c>
      <c r="F321" s="44">
        <v>377.58224599999994</v>
      </c>
      <c r="G321" s="44">
        <v>640.73507410000002</v>
      </c>
      <c r="H321" s="44">
        <v>499.65955398000006</v>
      </c>
      <c r="I321" s="32">
        <f>IF(F321="","",+F321-H321)</f>
        <v>-122.07730798000011</v>
      </c>
      <c r="J321" s="205">
        <f>IF(F321="","",IF(E321=0,"-",(F321-E321)/E321))</f>
        <v>-0.48271046813492569</v>
      </c>
      <c r="K321" s="205">
        <f>IF(H321="","",IF(G321=0,"-",(H321-G321)/G321))</f>
        <v>-0.22017761446594727</v>
      </c>
      <c r="L321" s="203"/>
      <c r="M321" s="203"/>
    </row>
    <row r="322" spans="3:14" ht="15.75" customHeight="1">
      <c r="C322" s="49"/>
      <c r="D322" s="32" t="str">
        <f>IF(Indice_index!$Z$1=1,"março","March")</f>
        <v>March</v>
      </c>
      <c r="E322" s="44">
        <v>888.73241999999982</v>
      </c>
      <c r="F322" s="44">
        <v>548.317138</v>
      </c>
      <c r="G322" s="44">
        <v>956.87100009999995</v>
      </c>
      <c r="H322" s="44">
        <v>938.30111925999995</v>
      </c>
      <c r="I322" s="32">
        <f t="shared" si="63"/>
        <v>-389.98398125999995</v>
      </c>
      <c r="J322" s="39">
        <f t="shared" si="64"/>
        <v>-0.38303461687602203</v>
      </c>
      <c r="K322" s="39">
        <f t="shared" si="65"/>
        <v>-1.9406880173042457E-2</v>
      </c>
      <c r="L322" s="203"/>
      <c r="M322" s="203"/>
    </row>
    <row r="323" spans="3:14" ht="15.75" customHeight="1">
      <c r="C323" s="49"/>
      <c r="D323" s="32" t="str">
        <f>IF(Indice_index!$Z$1=1,"abril","April")</f>
        <v>April</v>
      </c>
      <c r="E323" s="44">
        <v>1054.7830800000002</v>
      </c>
      <c r="F323" s="44">
        <v>748.14242799999988</v>
      </c>
      <c r="G323" s="44">
        <v>1212.9125664199996</v>
      </c>
      <c r="H323" s="44">
        <v>1069.7627341999998</v>
      </c>
      <c r="I323" s="32">
        <f t="shared" si="63"/>
        <v>-321.62030619999996</v>
      </c>
      <c r="J323" s="39">
        <f t="shared" si="64"/>
        <v>-0.29071442063708514</v>
      </c>
      <c r="K323" s="39">
        <f t="shared" si="65"/>
        <v>-0.11802155916523893</v>
      </c>
    </row>
    <row r="324" spans="3:14" ht="15.75" customHeight="1">
      <c r="C324" s="49"/>
      <c r="D324" s="32" t="str">
        <f>IF(Indice_index!$Z$1=1,"maio","May")</f>
        <v>May</v>
      </c>
      <c r="E324" s="27">
        <v>1254.5739260000003</v>
      </c>
      <c r="F324" s="27">
        <v>976.03336199999967</v>
      </c>
      <c r="G324" s="27">
        <v>1715.0250200799999</v>
      </c>
      <c r="H324" s="27">
        <v>1495.2675044099999</v>
      </c>
      <c r="I324" s="12">
        <f t="shared" si="63"/>
        <v>-519.23414241000023</v>
      </c>
      <c r="J324" s="225">
        <f t="shared" si="64"/>
        <v>-0.2220200485818167</v>
      </c>
      <c r="K324" s="225">
        <f t="shared" si="65"/>
        <v>-0.1281366237209467</v>
      </c>
      <c r="M324" s="208"/>
      <c r="N324" s="208"/>
    </row>
    <row r="325" spans="3:14" ht="15.75" customHeight="1">
      <c r="C325" s="49"/>
      <c r="D325" s="32" t="str">
        <f>IF(Indice_index!$Z$1=1,"junho","June")</f>
        <v>June</v>
      </c>
      <c r="E325" s="27">
        <v>1433.9124450000002</v>
      </c>
      <c r="F325" s="27">
        <v>1158.8187099999998</v>
      </c>
      <c r="G325" s="27">
        <v>1906.3989784400001</v>
      </c>
      <c r="H325" s="27">
        <v>1757.2040095599996</v>
      </c>
      <c r="I325" s="12">
        <f t="shared" si="63"/>
        <v>-598.38529955999979</v>
      </c>
      <c r="J325" s="225">
        <f t="shared" si="64"/>
        <v>-0.19184834887181718</v>
      </c>
      <c r="K325" s="225">
        <f t="shared" si="65"/>
        <v>-7.8260096950999336E-2</v>
      </c>
      <c r="M325" s="208"/>
      <c r="N325" s="208"/>
    </row>
    <row r="326" spans="3:14" ht="15.75" customHeight="1">
      <c r="C326" s="49"/>
      <c r="D326" s="32" t="str">
        <f>IF(Indice_index!$Z$1=1,"julho","July")</f>
        <v>July</v>
      </c>
      <c r="E326" s="44">
        <v>1763.316298</v>
      </c>
      <c r="F326" s="44">
        <v>1378.306781</v>
      </c>
      <c r="G326" s="44">
        <v>2268.1437467299993</v>
      </c>
      <c r="H326" s="44">
        <v>1992.4600410199996</v>
      </c>
      <c r="I326" s="32">
        <f t="shared" si="63"/>
        <v>-614.15326001999961</v>
      </c>
      <c r="J326" s="39">
        <f t="shared" si="64"/>
        <v>-0.21834399048922076</v>
      </c>
      <c r="K326" s="39">
        <f t="shared" si="65"/>
        <v>-0.12154595849908326</v>
      </c>
      <c r="M326" s="208"/>
      <c r="N326" s="208"/>
    </row>
    <row r="327" spans="3:14" ht="15.75" customHeight="1">
      <c r="C327" s="49"/>
      <c r="D327" s="32" t="str">
        <f>IF(Indice_index!$Z$1=1,"agosto","August")</f>
        <v>August</v>
      </c>
      <c r="E327" s="44">
        <v>2009.6945160000007</v>
      </c>
      <c r="F327" s="44">
        <v>1585.2963160000002</v>
      </c>
      <c r="G327" s="44">
        <v>2526.0545366799997</v>
      </c>
      <c r="H327" s="44">
        <v>2141.7741381000005</v>
      </c>
      <c r="I327" s="32">
        <f>IF(F327="","",+F327-H327)</f>
        <v>-556.47782210000037</v>
      </c>
      <c r="J327" s="39">
        <f t="shared" si="64"/>
        <v>-0.21117547797498215</v>
      </c>
      <c r="K327" s="39">
        <f t="shared" si="65"/>
        <v>-0.15212672291907836</v>
      </c>
      <c r="M327" s="208"/>
      <c r="N327" s="208"/>
    </row>
    <row r="328" spans="3:14" ht="15.75" customHeight="1">
      <c r="C328" s="49"/>
      <c r="D328" s="32" t="str">
        <f>IF(Indice_index!$Z$1=1,"setembro","September")</f>
        <v>September</v>
      </c>
      <c r="E328" s="44">
        <v>2208.7182149999994</v>
      </c>
      <c r="F328" s="44">
        <v>1666.7171700000001</v>
      </c>
      <c r="G328" s="44">
        <v>2713.41332861</v>
      </c>
      <c r="H328" s="44">
        <v>2260.1596422800003</v>
      </c>
      <c r="I328" s="32">
        <f>IF(F328="","",+F328-H328)</f>
        <v>-593.44247228000017</v>
      </c>
      <c r="J328" s="39">
        <f t="shared" si="64"/>
        <v>-0.24539166713034033</v>
      </c>
      <c r="K328" s="39">
        <f t="shared" si="65"/>
        <v>-0.16704188836655709</v>
      </c>
      <c r="M328" s="208"/>
      <c r="N328" s="208"/>
    </row>
    <row r="329" spans="3:14" ht="15.75" customHeight="1">
      <c r="C329" s="49"/>
      <c r="D329" s="32" t="str">
        <f>IF(Indice_index!$Z$1=1,"outubro","October")</f>
        <v>October</v>
      </c>
      <c r="E329" s="44">
        <v>2458.4038689999998</v>
      </c>
      <c r="F329" s="44">
        <v>2040.9742699999995</v>
      </c>
      <c r="G329" s="44">
        <v>3115.7079618899998</v>
      </c>
      <c r="H329" s="44">
        <v>2680.2878630299992</v>
      </c>
      <c r="I329" s="32">
        <f>IF(F329="","",+F329-H329)</f>
        <v>-639.31359302999977</v>
      </c>
      <c r="J329" s="39">
        <f t="shared" si="64"/>
        <v>-0.16979699888358754</v>
      </c>
      <c r="K329" s="39">
        <f t="shared" si="65"/>
        <v>-0.13974997149472029</v>
      </c>
      <c r="M329" s="208"/>
      <c r="N329" s="208"/>
    </row>
    <row r="330" spans="3:14" ht="15.75" customHeight="1">
      <c r="C330" s="49"/>
      <c r="D330" s="32" t="str">
        <f>IF(Indice_index!$Z$1=1,"novembro","November")</f>
        <v>November</v>
      </c>
      <c r="E330" s="44">
        <v>2705.6974850000001</v>
      </c>
      <c r="F330" s="44">
        <v>2227.3874999999998</v>
      </c>
      <c r="G330" s="44">
        <v>3408.04927116</v>
      </c>
      <c r="H330" s="44">
        <v>2932.7378868399996</v>
      </c>
      <c r="I330" s="32">
        <f>IF(F330="","",+F330-H330)</f>
        <v>-705.35038683999983</v>
      </c>
      <c r="J330" s="39">
        <f t="shared" si="64"/>
        <v>-0.17677881124984685</v>
      </c>
      <c r="K330" s="39">
        <f t="shared" si="65"/>
        <v>-0.13946728656250273</v>
      </c>
      <c r="M330" s="208"/>
      <c r="N330" s="208"/>
    </row>
    <row r="331" spans="3:14" ht="15.75" customHeight="1">
      <c r="C331" s="49"/>
      <c r="D331" s="32" t="str">
        <f>IF(Indice_index!$Z$1=1,"dezembro","December")</f>
        <v>December</v>
      </c>
      <c r="E331" s="44">
        <v>3424.5587740000001</v>
      </c>
      <c r="F331" s="44">
        <v>2528.4666249999996</v>
      </c>
      <c r="G331" s="44">
        <v>4259.4395073099995</v>
      </c>
      <c r="H331" s="44">
        <v>3501.3474395499993</v>
      </c>
      <c r="I331" s="32">
        <f>IF(F331="","",+F331-H331)</f>
        <v>-972.88081454999974</v>
      </c>
      <c r="J331" s="39">
        <f t="shared" si="64"/>
        <v>-0.2616664534430912</v>
      </c>
      <c r="K331" s="39">
        <f t="shared" si="65"/>
        <v>-0.1779793013749747</v>
      </c>
      <c r="M331" s="208"/>
      <c r="N331" s="208"/>
    </row>
    <row r="332" spans="3:14" ht="15.75" customHeight="1">
      <c r="H332" s="7"/>
    </row>
    <row r="333" spans="3:14" ht="15.75" customHeight="1">
      <c r="C333" s="20" t="s">
        <v>16</v>
      </c>
      <c r="D333" s="24" t="str">
        <f>IF(Indice_index!$Z$1=1,"janeiro","January")</f>
        <v>January</v>
      </c>
      <c r="E333" s="24">
        <v>196.53022899999999</v>
      </c>
      <c r="F333" s="24">
        <v>285.56170900000006</v>
      </c>
      <c r="G333" s="24">
        <v>117.84502918000001</v>
      </c>
      <c r="H333" s="24">
        <v>136.96552657000004</v>
      </c>
      <c r="I333" s="24">
        <f>IF(F333="","",+F333-H333)</f>
        <v>148.59618243000003</v>
      </c>
      <c r="J333" s="205">
        <f>IF(F333="","",IF(E333=0,"-",(F333-E333)/E333))</f>
        <v>0.45301672141235877</v>
      </c>
      <c r="K333" s="205">
        <f t="shared" ref="K333:K342" si="66">IF(H333="","",IF(G333=0,"-",(H333-G333)/G333))</f>
        <v>0.16225119992795631</v>
      </c>
    </row>
    <row r="334" spans="3:14" ht="15.75" customHeight="1">
      <c r="C334" s="49"/>
      <c r="D334" s="32" t="str">
        <f>IF(Indice_index!$Z$1=1,"fevereiro","February")</f>
        <v>February</v>
      </c>
      <c r="E334" s="44">
        <v>384.2</v>
      </c>
      <c r="F334" s="44">
        <v>444.1</v>
      </c>
      <c r="G334" s="44">
        <v>506.5</v>
      </c>
      <c r="H334" s="44">
        <v>599.6</v>
      </c>
      <c r="I334" s="32">
        <f t="shared" ref="I334:I339" si="67">IF(F334="","",+F334-H334)</f>
        <v>-155.5</v>
      </c>
      <c r="J334" s="205">
        <f>IF(F334="","",IF(E334=0,"-",(F334-E334)/E334))</f>
        <v>0.15590838105153576</v>
      </c>
      <c r="K334" s="205">
        <f t="shared" si="66"/>
        <v>0.18381046396841072</v>
      </c>
    </row>
    <row r="335" spans="3:14" ht="15.75" customHeight="1">
      <c r="C335" s="49"/>
      <c r="D335" s="32" t="str">
        <f>IF(Indice_index!$Z$1=1,"março","March")</f>
        <v>March</v>
      </c>
      <c r="E335" s="44">
        <v>548.29999999999995</v>
      </c>
      <c r="F335" s="44">
        <v>628.70000000000005</v>
      </c>
      <c r="G335" s="44">
        <v>938.3</v>
      </c>
      <c r="H335" s="44">
        <v>790.6</v>
      </c>
      <c r="I335" s="32">
        <f t="shared" si="67"/>
        <v>-161.89999999999998</v>
      </c>
      <c r="J335" s="39">
        <f>IF(F335="","",IF(E335=0,"-",(F335-E335)/E335))</f>
        <v>0.14663505380266295</v>
      </c>
      <c r="K335" s="39">
        <f t="shared" si="66"/>
        <v>-0.15741234146861338</v>
      </c>
    </row>
    <row r="336" spans="3:14" ht="15.75" customHeight="1">
      <c r="C336" s="49"/>
      <c r="D336" s="32" t="str">
        <f>IF(Indice_index!$Z$1=1,"abril","April")</f>
        <v>April</v>
      </c>
      <c r="E336" s="44">
        <v>748.65531227999998</v>
      </c>
      <c r="F336" s="44">
        <v>816.21905806999973</v>
      </c>
      <c r="G336" s="44">
        <v>1069.7884276300001</v>
      </c>
      <c r="H336" s="44">
        <v>1099.3722623699996</v>
      </c>
      <c r="I336" s="32">
        <f t="shared" si="67"/>
        <v>-283.15320429999986</v>
      </c>
      <c r="J336" s="39">
        <f t="shared" ref="J336:J342" si="68">IF(F336="","",IF(E336=0,"-",(F336-E336)/E336))</f>
        <v>9.0246799403903316E-2</v>
      </c>
      <c r="K336" s="39">
        <f t="shared" si="66"/>
        <v>2.7653911723030358E-2</v>
      </c>
    </row>
    <row r="337" spans="3:14" ht="15.75" customHeight="1">
      <c r="C337" s="49"/>
      <c r="D337" s="32" t="str">
        <f>IF(Indice_index!$Z$1=1,"maio","May")</f>
        <v>May</v>
      </c>
      <c r="E337" s="27">
        <v>976.1</v>
      </c>
      <c r="F337" s="27">
        <v>1042.7</v>
      </c>
      <c r="G337" s="27">
        <v>1495.4</v>
      </c>
      <c r="H337" s="27">
        <v>1291.0999999999999</v>
      </c>
      <c r="I337" s="12">
        <f t="shared" si="67"/>
        <v>-248.39999999999986</v>
      </c>
      <c r="J337" s="225">
        <f t="shared" si="68"/>
        <v>6.8230714066181766E-2</v>
      </c>
      <c r="K337" s="225">
        <f t="shared" si="66"/>
        <v>-0.13661896482546487</v>
      </c>
      <c r="M337" s="208"/>
      <c r="N337" s="208"/>
    </row>
    <row r="338" spans="3:14" ht="15.75" customHeight="1">
      <c r="C338" s="49"/>
      <c r="D338" s="32" t="str">
        <f>IF(Indice_index!$Z$1=1,"junho","June")</f>
        <v>June</v>
      </c>
      <c r="E338" s="27">
        <v>1158.8858330300002</v>
      </c>
      <c r="F338" s="27">
        <v>1244.1625575700002</v>
      </c>
      <c r="G338" s="27">
        <v>1757.2711336800007</v>
      </c>
      <c r="H338" s="27">
        <v>1649.5970324499995</v>
      </c>
      <c r="I338" s="12">
        <f t="shared" si="67"/>
        <v>-405.43447487999924</v>
      </c>
      <c r="J338" s="225">
        <f t="shared" si="68"/>
        <v>7.3585095364430489E-2</v>
      </c>
      <c r="K338" s="225">
        <f t="shared" si="66"/>
        <v>-6.1273470647932884E-2</v>
      </c>
      <c r="M338" s="208"/>
      <c r="N338" s="208"/>
    </row>
    <row r="339" spans="3:14" ht="15.75" customHeight="1">
      <c r="C339" s="49"/>
      <c r="D339" s="32" t="str">
        <f>IF(Indice_index!$Z$1=1,"julho","July")</f>
        <v>July</v>
      </c>
      <c r="E339" s="44">
        <v>1378.3853927</v>
      </c>
      <c r="F339" s="44">
        <v>1492.8497608200003</v>
      </c>
      <c r="G339" s="44">
        <v>1992.5386508499996</v>
      </c>
      <c r="H339" s="44">
        <v>1899.0740696599992</v>
      </c>
      <c r="I339" s="32">
        <f t="shared" si="67"/>
        <v>-406.22430883999891</v>
      </c>
      <c r="J339" s="39">
        <f t="shared" si="68"/>
        <v>8.3042354283649131E-2</v>
      </c>
      <c r="K339" s="39">
        <f t="shared" si="66"/>
        <v>-4.6907286415813952E-2</v>
      </c>
      <c r="M339" s="208"/>
      <c r="N339" s="208"/>
    </row>
    <row r="340" spans="3:14" ht="15.75" customHeight="1">
      <c r="C340" s="49"/>
      <c r="D340" s="32" t="str">
        <f>IF(Indice_index!$Z$1=1,"agosto","August")</f>
        <v>August</v>
      </c>
      <c r="E340" s="44">
        <v>1585.3797210999999</v>
      </c>
      <c r="F340" s="44">
        <v>1667.4368321100003</v>
      </c>
      <c r="G340" s="44">
        <v>2141.8575433199994</v>
      </c>
      <c r="H340" s="44">
        <v>2176.93178016</v>
      </c>
      <c r="I340" s="32">
        <f>IF(F340="","",+F340-H340)</f>
        <v>-509.49494804999972</v>
      </c>
      <c r="J340" s="39">
        <f t="shared" si="68"/>
        <v>5.175864804998636E-2</v>
      </c>
      <c r="K340" s="39">
        <f t="shared" si="66"/>
        <v>1.6375616085854878E-2</v>
      </c>
      <c r="M340" s="208"/>
      <c r="N340" s="208"/>
    </row>
    <row r="341" spans="3:14" ht="15.75" customHeight="1">
      <c r="C341" s="49"/>
      <c r="D341" s="32" t="str">
        <f>IF(Indice_index!$Z$1=1,"setembro","September")</f>
        <v>September</v>
      </c>
      <c r="E341" s="44">
        <v>1822.8101565100003</v>
      </c>
      <c r="F341" s="44">
        <v>1957.8425881700002</v>
      </c>
      <c r="G341" s="44">
        <v>2421.8915956699993</v>
      </c>
      <c r="H341" s="44">
        <v>2419.1770265200003</v>
      </c>
      <c r="I341" s="32">
        <f>IF(F341="","",+F341-H341)</f>
        <v>-461.33443835000003</v>
      </c>
      <c r="J341" s="39">
        <f t="shared" si="68"/>
        <v>7.407926227410129E-2</v>
      </c>
      <c r="K341" s="39">
        <f t="shared" si="66"/>
        <v>-1.1208466782131562E-3</v>
      </c>
      <c r="M341" s="208"/>
      <c r="N341" s="208"/>
    </row>
    <row r="342" spans="3:14" ht="15.75" customHeight="1">
      <c r="C342" s="49"/>
      <c r="D342" s="32" t="str">
        <f>IF(Indice_index!$Z$1=1,"outubro","October")</f>
        <v>October</v>
      </c>
      <c r="E342" s="44">
        <v>2081.1793107200001</v>
      </c>
      <c r="F342" s="44">
        <v>2200.5354185899996</v>
      </c>
      <c r="G342" s="44">
        <v>2730.186431520001</v>
      </c>
      <c r="H342" s="44">
        <v>2764.1847436399994</v>
      </c>
      <c r="I342" s="32">
        <f>IF(F342="","",+F342-H342)</f>
        <v>-563.64932504999979</v>
      </c>
      <c r="J342" s="39">
        <f t="shared" si="68"/>
        <v>5.7350227947781843E-2</v>
      </c>
      <c r="K342" s="39">
        <f t="shared" si="66"/>
        <v>1.2452743786097517E-2</v>
      </c>
      <c r="M342" s="208"/>
      <c r="N342" s="208"/>
    </row>
    <row r="343" spans="3:14" ht="15.75" customHeight="1">
      <c r="C343" s="49"/>
      <c r="D343" s="32" t="str">
        <f>IF(Indice_index!$Z$1=1,"novembro","November")</f>
        <v>November</v>
      </c>
      <c r="E343" s="44">
        <v>2288.9871650900004</v>
      </c>
      <c r="F343" s="44">
        <v>2462.8353613800009</v>
      </c>
      <c r="G343" s="44">
        <v>3005.9107525500012</v>
      </c>
      <c r="H343" s="44">
        <v>2969.1910647100003</v>
      </c>
      <c r="I343" s="32">
        <f>IF(F343="","",+F343-H343)</f>
        <v>-506.35570332999941</v>
      </c>
      <c r="J343" s="39">
        <f>IF(F343="","",IF(E343=0,"-",(F343-E343)/E343))</f>
        <v>7.5949834468890517E-2</v>
      </c>
      <c r="K343" s="39">
        <f>IF(H343="","",IF(G343=0,"-",(H343-G343)/G343))</f>
        <v>-1.2215827701754133E-2</v>
      </c>
      <c r="M343" s="208"/>
      <c r="N343" s="208"/>
    </row>
    <row r="344" spans="3:14" ht="15.75" customHeight="1">
      <c r="C344" s="49"/>
      <c r="D344" s="32" t="str">
        <f>IF(Indice_index!$Z$1=1,"dezembro","December")</f>
        <v>December</v>
      </c>
      <c r="E344" s="44">
        <v>2623.3902313600001</v>
      </c>
      <c r="F344" s="44">
        <v>2870.7522063900001</v>
      </c>
      <c r="G344" s="44">
        <v>3602.3781566699972</v>
      </c>
      <c r="H344" s="44">
        <v>3940.2366722500014</v>
      </c>
      <c r="I344" s="32">
        <f>IF(F344="","",+F344-H344)</f>
        <v>-1069.4844658600014</v>
      </c>
      <c r="J344" s="39">
        <f>IF(F344="","",IF(E344=0,"-",(F344-E344)/E344))</f>
        <v>9.4290956821076605E-2</v>
      </c>
      <c r="K344" s="39">
        <f>IF(H344="","",IF(G344=0,"-",(H344-G344)/G344))</f>
        <v>9.3787631638405589E-2</v>
      </c>
      <c r="M344" s="208"/>
      <c r="N344" s="208"/>
    </row>
    <row r="345" spans="3:14" ht="15.75" customHeight="1">
      <c r="H345" s="7"/>
    </row>
    <row r="346" spans="3:14" ht="15.75" customHeight="1">
      <c r="C346" s="20" t="s">
        <v>23</v>
      </c>
      <c r="D346" s="24" t="str">
        <f>IF(Indice_index!$Z$1=1,"janeiro","January")</f>
        <v>January</v>
      </c>
      <c r="E346" s="24">
        <v>292.13767832999997</v>
      </c>
      <c r="F346" s="24">
        <v>645.83405739</v>
      </c>
      <c r="G346" s="24">
        <v>137.92994911000011</v>
      </c>
      <c r="H346" s="24">
        <v>493.11772235000001</v>
      </c>
      <c r="I346" s="24">
        <f>IF(F346="","",+F346-H346)</f>
        <v>152.71633503999999</v>
      </c>
      <c r="J346" s="205">
        <f t="shared" ref="J346:J347" si="69">IF(F346="","",IF(E346=0,"-",(F346-E346)/E346))</f>
        <v>1.2107181144243335</v>
      </c>
      <c r="K346" s="205">
        <f t="shared" ref="K346:K355" si="70">IF(H346="","",IF(G346=0,"-",(H346-G346)/G346))</f>
        <v>2.5751316195783929</v>
      </c>
    </row>
    <row r="347" spans="3:14" ht="15.75" customHeight="1">
      <c r="C347" s="49"/>
      <c r="D347" s="32" t="str">
        <f>IF(Indice_index!$Z$1=1,"fevereiro","February")</f>
        <v>February</v>
      </c>
      <c r="E347" s="44">
        <v>448.29580216000005</v>
      </c>
      <c r="F347" s="44">
        <v>1193.5485113699995</v>
      </c>
      <c r="G347" s="44">
        <v>599.53688321999994</v>
      </c>
      <c r="H347" s="44">
        <v>1406.5246103300005</v>
      </c>
      <c r="I347" s="32">
        <f t="shared" ref="I347:I352" si="71">IF(F347="","",+F347-H347)</f>
        <v>-212.97609896000108</v>
      </c>
      <c r="J347" s="205">
        <f t="shared" si="69"/>
        <v>1.6624128658336472</v>
      </c>
      <c r="K347" s="205">
        <f t="shared" si="70"/>
        <v>1.3460184847608061</v>
      </c>
    </row>
    <row r="348" spans="3:14" ht="15.75" customHeight="1">
      <c r="C348" s="49"/>
      <c r="D348" s="32" t="str">
        <f>IF(Indice_index!$Z$1=1,"março","March")</f>
        <v>March</v>
      </c>
      <c r="E348" s="44">
        <v>628.13112568000008</v>
      </c>
      <c r="F348" s="44">
        <v>1985.5705614400006</v>
      </c>
      <c r="G348" s="44">
        <v>791.24882556000011</v>
      </c>
      <c r="H348" s="44">
        <v>2181.9649241699999</v>
      </c>
      <c r="I348" s="32">
        <f t="shared" si="71"/>
        <v>-196.39436272999933</v>
      </c>
      <c r="J348" s="39">
        <f>IF(F348="","",IF(E348=0,"-",(F348-E348)/E348))</f>
        <v>2.161076533646487</v>
      </c>
      <c r="K348" s="39">
        <f t="shared" si="70"/>
        <v>1.7576216907819502</v>
      </c>
    </row>
    <row r="349" spans="3:14" ht="15.75" customHeight="1">
      <c r="C349" s="49"/>
      <c r="D349" s="32" t="str">
        <f>IF(Indice_index!$Z$1=1,"abril","April")</f>
        <v>April</v>
      </c>
      <c r="E349" s="44">
        <v>811.40760794000005</v>
      </c>
      <c r="F349" s="44">
        <v>2941.7585741999992</v>
      </c>
      <c r="G349" s="44">
        <v>1101.9011582899998</v>
      </c>
      <c r="H349" s="44">
        <v>2909.3673294300006</v>
      </c>
      <c r="I349" s="32">
        <f t="shared" si="71"/>
        <v>32.391244769998593</v>
      </c>
      <c r="J349" s="39">
        <f t="shared" ref="J349:J355" si="72">IF(F349="","",IF(E349=0,"-",(F349-E349)/E349))</f>
        <v>2.6255003593921553</v>
      </c>
      <c r="K349" s="39">
        <f t="shared" si="70"/>
        <v>1.6403160642329677</v>
      </c>
    </row>
    <row r="350" spans="3:14" ht="15.75" customHeight="1">
      <c r="C350" s="49"/>
      <c r="D350" s="32" t="str">
        <f>IF(Indice_index!$Z$1=1,"maio","May")</f>
        <v>May</v>
      </c>
      <c r="E350" s="27">
        <v>1031.3356857599999</v>
      </c>
      <c r="F350" s="27">
        <v>3496.1540265600015</v>
      </c>
      <c r="G350" s="27">
        <v>1290.1122856700008</v>
      </c>
      <c r="H350" s="27">
        <v>3750.9115424300016</v>
      </c>
      <c r="I350" s="12">
        <f t="shared" si="71"/>
        <v>-254.75751587000013</v>
      </c>
      <c r="J350" s="225">
        <f t="shared" si="72"/>
        <v>2.3899282986447385</v>
      </c>
      <c r="K350" s="225">
        <f t="shared" si="70"/>
        <v>1.907430294318933</v>
      </c>
      <c r="M350" s="208"/>
      <c r="N350" s="208"/>
    </row>
    <row r="351" spans="3:14" ht="15.75" customHeight="1">
      <c r="C351" s="49"/>
      <c r="D351" s="32" t="str">
        <f>IF(Indice_index!$Z$1=1,"junho","June")</f>
        <v>June</v>
      </c>
      <c r="E351" s="27">
        <v>1244.17907057</v>
      </c>
      <c r="F351" s="27">
        <v>4018.8973822499993</v>
      </c>
      <c r="G351" s="27">
        <v>1649.2309814499997</v>
      </c>
      <c r="H351" s="27">
        <v>4656.9846053499996</v>
      </c>
      <c r="I351" s="12">
        <f t="shared" si="71"/>
        <v>-638.0872231000003</v>
      </c>
      <c r="J351" s="225">
        <f t="shared" si="72"/>
        <v>2.2301599322104075</v>
      </c>
      <c r="K351" s="225">
        <f t="shared" si="70"/>
        <v>1.823730973847939</v>
      </c>
      <c r="M351" s="208"/>
      <c r="N351" s="208"/>
    </row>
    <row r="352" spans="3:14" ht="15.75" customHeight="1">
      <c r="C352" s="49"/>
      <c r="D352" s="32" t="str">
        <f>IF(Indice_index!$Z$1=1,"julho","July")</f>
        <v>July</v>
      </c>
      <c r="E352" s="44">
        <v>1492.83604382</v>
      </c>
      <c r="F352" s="44">
        <v>4883.3290786300004</v>
      </c>
      <c r="G352" s="44">
        <v>1898.7216468699985</v>
      </c>
      <c r="H352" s="44">
        <v>5434.4205562199995</v>
      </c>
      <c r="I352" s="32">
        <f t="shared" si="71"/>
        <v>-551.09147758999916</v>
      </c>
      <c r="J352" s="39">
        <f t="shared" si="72"/>
        <v>2.2711757589494619</v>
      </c>
      <c r="K352" s="39">
        <f t="shared" si="70"/>
        <v>1.8621470478195286</v>
      </c>
      <c r="M352" s="208"/>
      <c r="N352" s="208"/>
    </row>
    <row r="353" spans="3:14" ht="15.75" customHeight="1">
      <c r="C353" s="49"/>
      <c r="D353" s="32" t="str">
        <f>IF(Indice_index!$Z$1=1,"agosto","August")</f>
        <v>August</v>
      </c>
      <c r="E353" s="44">
        <v>1701.8608737199997</v>
      </c>
      <c r="F353" s="44">
        <v>5659.6051353599987</v>
      </c>
      <c r="G353" s="44">
        <v>2175.1681550199992</v>
      </c>
      <c r="H353" s="44">
        <v>6356.7605349799942</v>
      </c>
      <c r="I353" s="32">
        <f>IF(F353="","",+F353-H353)</f>
        <v>-697.15539961999548</v>
      </c>
      <c r="J353" s="39">
        <f t="shared" si="72"/>
        <v>2.3255392510370094</v>
      </c>
      <c r="K353" s="39">
        <f t="shared" si="70"/>
        <v>1.9224225815872833</v>
      </c>
      <c r="M353" s="208"/>
      <c r="N353" s="208"/>
    </row>
    <row r="354" spans="3:14" ht="15.75" customHeight="1">
      <c r="C354" s="49"/>
      <c r="D354" s="32" t="str">
        <f>IF(Indice_index!$Z$1=1,"setembro","September")</f>
        <v>September</v>
      </c>
      <c r="E354" s="44">
        <v>1957.8374881299999</v>
      </c>
      <c r="F354" s="44">
        <v>6337.8488907899982</v>
      </c>
      <c r="G354" s="44">
        <v>2419.1731611799996</v>
      </c>
      <c r="H354" s="44">
        <v>7135.78610897</v>
      </c>
      <c r="I354" s="32">
        <f>IF(F354="","",+F354-H354)</f>
        <v>-797.93721818000176</v>
      </c>
      <c r="J354" s="39">
        <f t="shared" si="72"/>
        <v>2.2371680127769458</v>
      </c>
      <c r="K354" s="39">
        <f t="shared" si="70"/>
        <v>1.9496797597942013</v>
      </c>
      <c r="M354" s="208"/>
      <c r="N354" s="208"/>
    </row>
    <row r="355" spans="3:14" ht="15.75" customHeight="1">
      <c r="C355" s="49"/>
      <c r="D355" s="32" t="str">
        <f>IF(Indice_index!$Z$1=1,"outubro","October")</f>
        <v>October</v>
      </c>
      <c r="E355" s="44">
        <v>2200.6407796599997</v>
      </c>
      <c r="F355" s="44">
        <v>7130.860065259998</v>
      </c>
      <c r="G355" s="44">
        <v>2765.53608115</v>
      </c>
      <c r="H355" s="44">
        <v>8069.1487617100047</v>
      </c>
      <c r="I355" s="32">
        <f>IF(F355="","",+F355-H355)</f>
        <v>-938.28869645000668</v>
      </c>
      <c r="J355" s="39">
        <f t="shared" si="72"/>
        <v>2.2403562322251069</v>
      </c>
      <c r="K355" s="39">
        <f t="shared" si="70"/>
        <v>1.9177521192761262</v>
      </c>
      <c r="M355" s="208"/>
      <c r="N355" s="208"/>
    </row>
    <row r="356" spans="3:14" ht="15.75" customHeight="1">
      <c r="C356" s="49"/>
      <c r="D356" s="32" t="str">
        <f>IF(Indice_index!$Z$1=1,"novembro","November")</f>
        <v>November</v>
      </c>
      <c r="E356" s="44">
        <v>2452.2535533</v>
      </c>
      <c r="F356" s="44">
        <v>7861.9771235099979</v>
      </c>
      <c r="G356" s="44">
        <v>2969.187911</v>
      </c>
      <c r="H356" s="44">
        <v>8850.7989832900021</v>
      </c>
      <c r="I356" s="32">
        <f>IF(F356="","",+F356-H356)</f>
        <v>-988.82185978000416</v>
      </c>
      <c r="J356" s="39">
        <f>IF(F356="","",IF(E356=0,"-",(F356-E356)/E356))</f>
        <v>2.2060212994411312</v>
      </c>
      <c r="K356" s="39">
        <f>IF(H356="","",IF(G356=0,"-",(H356-G356)/G356))</f>
        <v>1.9808820622299785</v>
      </c>
      <c r="M356" s="208"/>
      <c r="N356" s="208"/>
    </row>
    <row r="357" spans="3:14" ht="15.75" customHeight="1">
      <c r="C357" s="49"/>
      <c r="D357" s="32" t="str">
        <f>IF(Indice_index!$Z$1=1,"dezembro","December")</f>
        <v>December</v>
      </c>
      <c r="E357" s="44">
        <v>2866.5655480300002</v>
      </c>
      <c r="F357" s="44">
        <v>8968.8835898400012</v>
      </c>
      <c r="G357" s="44">
        <v>3974.8509525999993</v>
      </c>
      <c r="H357" s="44">
        <v>10159.104559719999</v>
      </c>
      <c r="I357" s="32">
        <f>IF(F357="","",+F357-H357)</f>
        <v>-1190.2209698799979</v>
      </c>
      <c r="J357" s="39">
        <f>IF(F357="","",IF(E357=0,"-",(F357-E357)/E357))</f>
        <v>2.128790686821628</v>
      </c>
      <c r="K357" s="39">
        <f>IF(H357="","",IF(G357=0,"-",(H357-G357)/G357))</f>
        <v>1.5558454092661769</v>
      </c>
      <c r="M357" s="208"/>
      <c r="N357" s="208"/>
    </row>
    <row r="358" spans="3:14" ht="15.75" customHeight="1">
      <c r="H358" s="7"/>
    </row>
    <row r="359" spans="3:14" ht="15.75" customHeight="1">
      <c r="C359" s="20" t="s">
        <v>97</v>
      </c>
      <c r="D359" s="24" t="str">
        <f>IF(Indice_index!$Z$1=1,"janeiro","January")</f>
        <v>January</v>
      </c>
      <c r="E359" s="24">
        <v>648.43616753000015</v>
      </c>
      <c r="F359" s="24">
        <v>650.42857262999985</v>
      </c>
      <c r="G359" s="24">
        <v>484.11165283999986</v>
      </c>
      <c r="H359" s="24">
        <v>467.86333549999966</v>
      </c>
      <c r="I359" s="24">
        <f>IF(F359="","",+F359-H359)</f>
        <v>182.56523713000018</v>
      </c>
      <c r="J359" s="205">
        <f t="shared" ref="J359:J368" si="73">IF(F359="","",IF(E359=0,"-",(F359-E359)/E359))</f>
        <v>3.0726310464592051E-3</v>
      </c>
      <c r="K359" s="205">
        <f t="shared" ref="K359:K368" si="74">IF(H359="","",IF(G359=0,"-",(H359-G359)/G359))</f>
        <v>-3.3563160987100445E-2</v>
      </c>
    </row>
    <row r="360" spans="3:14" ht="15.75" customHeight="1">
      <c r="C360" s="49"/>
      <c r="D360" s="32" t="str">
        <f>IF(Indice_index!$Z$1=1,"fevereiro","February")</f>
        <v>February</v>
      </c>
      <c r="E360" s="44">
        <v>1210.2566374400001</v>
      </c>
      <c r="F360" s="44">
        <v>1309.9899990800002</v>
      </c>
      <c r="G360" s="44">
        <v>1414.651175850001</v>
      </c>
      <c r="H360" s="44">
        <v>1374.0738650799999</v>
      </c>
      <c r="I360" s="32">
        <f t="shared" ref="I360:I365" si="75">IF(F360="","",+F360-H360)</f>
        <v>-64.083865999999716</v>
      </c>
      <c r="J360" s="205">
        <f t="shared" si="73"/>
        <v>8.2406787580989002E-2</v>
      </c>
      <c r="K360" s="205">
        <f t="shared" si="74"/>
        <v>-2.8683615765292794E-2</v>
      </c>
    </row>
    <row r="361" spans="3:14" ht="15.75" customHeight="1">
      <c r="C361" s="49"/>
      <c r="D361" s="32" t="str">
        <f>IF(Indice_index!$Z$1=1,"março","March")</f>
        <v>March</v>
      </c>
      <c r="E361" s="44">
        <v>2016.1963310000003</v>
      </c>
      <c r="F361" s="44">
        <v>1935.3758986499997</v>
      </c>
      <c r="G361" s="44">
        <v>2213.8752386800011</v>
      </c>
      <c r="H361" s="44">
        <v>2188.8519310499978</v>
      </c>
      <c r="I361" s="32">
        <f t="shared" si="75"/>
        <v>-253.47603239999808</v>
      </c>
      <c r="J361" s="39">
        <f>IF(F361="","",IF(E361=0,"-",(F361-E361)/E361))</f>
        <v>-4.0085596381338018E-2</v>
      </c>
      <c r="K361" s="39">
        <f t="shared" si="74"/>
        <v>-1.1302943902531358E-2</v>
      </c>
    </row>
    <row r="362" spans="3:14" ht="15.75" customHeight="1">
      <c r="C362" s="49"/>
      <c r="D362" s="32" t="str">
        <f>IF(Indice_index!$Z$1=1,"abril","April")</f>
        <v>April</v>
      </c>
      <c r="E362" s="44">
        <v>2938.7665748699992</v>
      </c>
      <c r="F362" s="44">
        <v>2671.6884775399994</v>
      </c>
      <c r="G362" s="44">
        <v>2951.724612269998</v>
      </c>
      <c r="H362" s="44">
        <v>3079.3702207299993</v>
      </c>
      <c r="I362" s="32">
        <f t="shared" si="75"/>
        <v>-407.68174318999991</v>
      </c>
      <c r="J362" s="39">
        <f t="shared" si="73"/>
        <v>-9.0881017775906334E-2</v>
      </c>
      <c r="K362" s="39">
        <f t="shared" si="74"/>
        <v>4.3244416477537372E-2</v>
      </c>
    </row>
    <row r="363" spans="3:14" ht="15.75" customHeight="1">
      <c r="C363" s="49"/>
      <c r="D363" s="32" t="str">
        <f>IF(Indice_index!$Z$1=1,"maio","May")</f>
        <v>May</v>
      </c>
      <c r="E363" s="27">
        <v>3494.303918560001</v>
      </c>
      <c r="F363" s="27">
        <v>3341.3897874799991</v>
      </c>
      <c r="G363" s="27">
        <v>3749.497626999997</v>
      </c>
      <c r="H363" s="27">
        <v>3676.3742494699991</v>
      </c>
      <c r="I363" s="12">
        <f t="shared" si="75"/>
        <v>-334.98446199</v>
      </c>
      <c r="J363" s="225">
        <f t="shared" si="73"/>
        <v>-4.3760970609281642E-2</v>
      </c>
      <c r="K363" s="225">
        <f t="shared" si="74"/>
        <v>-1.9502179972975344E-2</v>
      </c>
      <c r="M363" s="208"/>
      <c r="N363" s="208"/>
    </row>
    <row r="364" spans="3:14" ht="15.75" customHeight="1">
      <c r="C364" s="49"/>
      <c r="D364" s="32" t="str">
        <f>IF(Indice_index!$Z$1=1,"junho","June")</f>
        <v>June</v>
      </c>
      <c r="E364" s="27">
        <v>4009.9053587200001</v>
      </c>
      <c r="F364" s="27">
        <v>4117.5489933600002</v>
      </c>
      <c r="G364" s="27">
        <v>4655.508461620002</v>
      </c>
      <c r="H364" s="27">
        <v>4598.7729694300006</v>
      </c>
      <c r="I364" s="12">
        <f t="shared" si="75"/>
        <v>-481.22397607000039</v>
      </c>
      <c r="J364" s="225">
        <f t="shared" si="73"/>
        <v>2.6844432726053399E-2</v>
      </c>
      <c r="K364" s="225">
        <f t="shared" si="74"/>
        <v>-1.2186744510879671E-2</v>
      </c>
      <c r="M364" s="208"/>
      <c r="N364" s="208"/>
    </row>
    <row r="365" spans="3:14" ht="15.75" customHeight="1">
      <c r="C365" s="49"/>
      <c r="D365" s="32" t="str">
        <f>IF(Indice_index!$Z$1=1,"julho","July")</f>
        <v>July</v>
      </c>
      <c r="E365" s="44">
        <v>4679.5154892800001</v>
      </c>
      <c r="F365" s="44">
        <v>4900.9647819099991</v>
      </c>
      <c r="G365" s="44">
        <v>5407.1853012899992</v>
      </c>
      <c r="H365" s="44">
        <v>5600.7334392799994</v>
      </c>
      <c r="I365" s="32">
        <f t="shared" si="75"/>
        <v>-699.76865737000026</v>
      </c>
      <c r="J365" s="39">
        <f t="shared" si="73"/>
        <v>4.7323124186104931E-2</v>
      </c>
      <c r="K365" s="39">
        <f t="shared" si="74"/>
        <v>3.5794619049549711E-2</v>
      </c>
      <c r="M365" s="208"/>
      <c r="N365" s="208"/>
    </row>
    <row r="366" spans="3:14" ht="15.75" customHeight="1">
      <c r="C366" s="49"/>
      <c r="D366" s="32" t="str">
        <f>IF(Indice_index!$Z$1=1,"agosto","August")</f>
        <v>August</v>
      </c>
      <c r="E366" s="44">
        <v>5428.1510933500031</v>
      </c>
      <c r="F366" s="44">
        <v>5564.5769605999985</v>
      </c>
      <c r="G366" s="44">
        <v>6270.0042153899985</v>
      </c>
      <c r="H366" s="44">
        <v>6314.1140641799957</v>
      </c>
      <c r="I366" s="32">
        <f>IF(F366="","",+F366-H366)</f>
        <v>-749.53710357999717</v>
      </c>
      <c r="J366" s="39">
        <f t="shared" si="73"/>
        <v>2.5133026863811882E-2</v>
      </c>
      <c r="K366" s="39">
        <f t="shared" si="74"/>
        <v>7.0350588731228625E-3</v>
      </c>
      <c r="M366" s="208"/>
      <c r="N366" s="208"/>
    </row>
    <row r="367" spans="3:14" ht="15.75" customHeight="1">
      <c r="C367" s="49"/>
      <c r="D367" s="32" t="str">
        <f>IF(Indice_index!$Z$1=1,"setembro","September")</f>
        <v>September</v>
      </c>
      <c r="E367" s="44">
        <v>6282.7049089800012</v>
      </c>
      <c r="F367" s="44">
        <v>6506.6881331574305</v>
      </c>
      <c r="G367" s="44">
        <v>7077.9842946800036</v>
      </c>
      <c r="H367" s="44">
        <v>7275.703592447433</v>
      </c>
      <c r="I367" s="32">
        <f>IF(F367="","",+F367-H367)</f>
        <v>-769.01545929000258</v>
      </c>
      <c r="J367" s="39">
        <f t="shared" si="73"/>
        <v>3.565076307456131E-2</v>
      </c>
      <c r="K367" s="39">
        <f t="shared" si="74"/>
        <v>2.7934407528431564E-2</v>
      </c>
      <c r="M367" s="208"/>
      <c r="N367" s="208"/>
    </row>
    <row r="368" spans="3:14" ht="15.75" customHeight="1">
      <c r="C368" s="49"/>
      <c r="D368" s="32" t="str">
        <f>IF(Indice_index!$Z$1=1,"outubro","October")</f>
        <v>October</v>
      </c>
      <c r="E368" s="44">
        <v>7048.0210914500021</v>
      </c>
      <c r="F368" s="44">
        <v>7091.4605809999994</v>
      </c>
      <c r="G368" s="44">
        <v>7985.6037374200023</v>
      </c>
      <c r="H368" s="44">
        <v>7910.9671862600007</v>
      </c>
      <c r="I368" s="32">
        <f>IF(F368="","",+F368-H368)</f>
        <v>-819.50660526000138</v>
      </c>
      <c r="J368" s="39">
        <f t="shared" si="73"/>
        <v>6.1633597553636642E-3</v>
      </c>
      <c r="K368" s="39">
        <f t="shared" si="74"/>
        <v>-9.3463880270266454E-3</v>
      </c>
      <c r="M368" s="208"/>
      <c r="N368" s="208"/>
    </row>
    <row r="369" spans="2:28" ht="15.75" customHeight="1">
      <c r="C369" s="49"/>
      <c r="D369" s="32" t="str">
        <f>IF(Indice_index!$Z$1=1,"novembro","November")</f>
        <v>November</v>
      </c>
      <c r="E369" s="44">
        <v>7756.1018196999985</v>
      </c>
      <c r="F369" s="44">
        <v>7918.3238814099977</v>
      </c>
      <c r="G369" s="44">
        <v>8710.4943230000063</v>
      </c>
      <c r="H369" s="44">
        <v>8634.5047891700033</v>
      </c>
      <c r="I369" s="32">
        <f>IF(F369="","",+F369-H369)</f>
        <v>-716.18090776000554</v>
      </c>
      <c r="J369" s="39">
        <f>IF(F369="","",IF(E369=0,"-",(F369-E369)/E369))</f>
        <v>2.0915411566409001E-2</v>
      </c>
      <c r="K369" s="39">
        <f>IF(H369="","",IF(G369=0,"-",(H369-G369)/G369))</f>
        <v>-8.7239060163730418E-3</v>
      </c>
      <c r="M369" s="208"/>
      <c r="N369" s="208"/>
    </row>
    <row r="370" spans="2:28" ht="15.75" customHeight="1">
      <c r="C370" s="49"/>
      <c r="D370" s="32" t="str">
        <f>IF(Indice_index!$Z$1=1,"dezembro","December")</f>
        <v>December</v>
      </c>
      <c r="E370" s="44">
        <v>8968.883589840003</v>
      </c>
      <c r="F370" s="44">
        <v>9179.6857596399987</v>
      </c>
      <c r="G370" s="44">
        <v>10159.104559720001</v>
      </c>
      <c r="H370" s="44">
        <v>10179.574335309999</v>
      </c>
      <c r="I370" s="32">
        <f>IF(F370="","",+F370-H370)</f>
        <v>-999.88857567000014</v>
      </c>
      <c r="J370" s="39">
        <f>IF(F370="","",IF(E370=0,"-",(F370-E370)/E370))</f>
        <v>2.3503724592745686E-2</v>
      </c>
      <c r="K370" s="39">
        <f>IF(H370="","",IF(G370=0,"-",(H370-G370)/G370))</f>
        <v>2.0149192745942224E-3</v>
      </c>
      <c r="M370" s="208"/>
      <c r="N370" s="208"/>
    </row>
    <row r="371" spans="2:28" ht="15.75" customHeight="1">
      <c r="B371" s="24"/>
      <c r="C371" s="24"/>
      <c r="D371" s="33"/>
      <c r="E371" s="33"/>
      <c r="F371" s="33"/>
      <c r="G371" s="33"/>
      <c r="H371" s="33"/>
      <c r="I371" s="33"/>
      <c r="J371" s="55"/>
      <c r="K371" s="55"/>
      <c r="M371" s="30"/>
      <c r="O371" s="256"/>
      <c r="P371" s="256"/>
      <c r="Q371" s="256"/>
    </row>
    <row r="372" spans="2:28" s="35" customFormat="1" ht="15.75" customHeight="1">
      <c r="C372" s="20" t="s">
        <v>114</v>
      </c>
      <c r="D372" s="71" t="str">
        <f>IF(Indice_index!$Z$1=1,"janeiro","January")</f>
        <v>January</v>
      </c>
      <c r="E372" s="71">
        <v>593.13570087999994</v>
      </c>
      <c r="F372" s="71">
        <v>597.56674292000002</v>
      </c>
      <c r="G372" s="71">
        <v>429.01755796999947</v>
      </c>
      <c r="H372" s="71">
        <v>470.44507028999982</v>
      </c>
      <c r="I372" s="71">
        <f t="shared" ref="I372:I383" si="76">IF(F372="","",+F372-H372)</f>
        <v>127.12167263000021</v>
      </c>
      <c r="J372" s="204">
        <f t="shared" ref="J372:J383" si="77">IF(F372="","",IF(E372=0,"-",(F372-E372)/E372))</f>
        <v>7.470536731183113E-3</v>
      </c>
      <c r="K372" s="204">
        <f t="shared" ref="K372:K383" si="78">IF(H372="","",IF(G372=0,"-",(H372-G372)/G372))</f>
        <v>9.6563675659394124E-2</v>
      </c>
      <c r="L372"/>
      <c r="M372" s="203"/>
      <c r="O372" s="257"/>
      <c r="P372" s="257"/>
      <c r="Q372" s="256"/>
      <c r="Z372" s="2"/>
      <c r="AA372" s="2"/>
      <c r="AB372" s="2"/>
    </row>
    <row r="373" spans="2:28" s="35" customFormat="1" ht="15.75" customHeight="1">
      <c r="C373" s="71"/>
      <c r="D373" s="71" t="str">
        <f>IF(Indice_index!$Z$1=1,"fevereiro","February")</f>
        <v>February</v>
      </c>
      <c r="E373" s="71">
        <v>1200.0495790800005</v>
      </c>
      <c r="F373" s="71">
        <v>1192.3228386100002</v>
      </c>
      <c r="G373" s="71">
        <v>1298.2173830800002</v>
      </c>
      <c r="H373" s="71">
        <v>1440.6853193099996</v>
      </c>
      <c r="I373" s="71">
        <f t="shared" si="76"/>
        <v>-248.36248069999942</v>
      </c>
      <c r="J373" s="204">
        <f t="shared" si="77"/>
        <v>-6.4386843716273028E-3</v>
      </c>
      <c r="K373" s="204">
        <f t="shared" si="78"/>
        <v>0.10974120211824345</v>
      </c>
      <c r="L373"/>
      <c r="M373" s="203"/>
      <c r="O373" s="257"/>
      <c r="P373" s="258"/>
      <c r="Q373" s="257"/>
      <c r="Z373" s="2"/>
      <c r="AA373" s="2"/>
      <c r="AB373" s="2"/>
    </row>
    <row r="374" spans="2:28" s="35" customFormat="1" ht="15.75" customHeight="1">
      <c r="C374" s="71"/>
      <c r="D374" s="71" t="str">
        <f>IF(Indice_index!$Z$1=1,"março","March")</f>
        <v>March</v>
      </c>
      <c r="E374" s="71">
        <v>1893.5304666500003</v>
      </c>
      <c r="F374" s="71">
        <v>1968.9888977599996</v>
      </c>
      <c r="G374" s="71">
        <v>2137.7103450499999</v>
      </c>
      <c r="H374" s="71">
        <v>2222.9918475800005</v>
      </c>
      <c r="I374" s="71">
        <f t="shared" si="76"/>
        <v>-254.00294982000082</v>
      </c>
      <c r="J374" s="204">
        <f t="shared" si="77"/>
        <v>3.9850655925013447E-2</v>
      </c>
      <c r="K374" s="204">
        <f t="shared" si="78"/>
        <v>3.989385312536619E-2</v>
      </c>
      <c r="L374"/>
      <c r="M374" s="203"/>
      <c r="O374" s="257"/>
      <c r="P374" s="257"/>
      <c r="Q374" s="257"/>
      <c r="Z374" s="2"/>
      <c r="AA374" s="2"/>
      <c r="AB374" s="2"/>
    </row>
    <row r="375" spans="2:28" s="35" customFormat="1" ht="15.75" customHeight="1">
      <c r="C375" s="71"/>
      <c r="D375" s="71" t="str">
        <f>IF(Indice_index!$Z$1=1,"abril","April")</f>
        <v>April</v>
      </c>
      <c r="E375" s="71">
        <v>2527.8086274599996</v>
      </c>
      <c r="F375" s="71">
        <v>2624.4590183943355</v>
      </c>
      <c r="G375" s="71">
        <v>2932.5400303199986</v>
      </c>
      <c r="H375" s="71">
        <v>2992.3908002343378</v>
      </c>
      <c r="I375" s="71">
        <f t="shared" si="76"/>
        <v>-367.93178184000226</v>
      </c>
      <c r="J375" s="204">
        <f t="shared" si="77"/>
        <v>3.8234852862043006E-2</v>
      </c>
      <c r="K375" s="204">
        <f t="shared" si="78"/>
        <v>2.04091911092543E-2</v>
      </c>
      <c r="L375"/>
      <c r="M375" s="203"/>
      <c r="N375"/>
      <c r="O375"/>
      <c r="P375"/>
      <c r="Q375"/>
      <c r="Z375" s="2"/>
      <c r="AA375" s="2"/>
      <c r="AB375" s="2"/>
    </row>
    <row r="376" spans="2:28" s="35" customFormat="1" ht="15.75" customHeight="1">
      <c r="C376" s="71"/>
      <c r="D376" s="71" t="str">
        <f>IF(Indice_index!$Z$1=1,"maio","May")</f>
        <v>May</v>
      </c>
      <c r="E376" s="71">
        <v>3180.5127251499998</v>
      </c>
      <c r="F376" s="71">
        <v>3453.0054591200005</v>
      </c>
      <c r="G376" s="71">
        <v>3506.3432289599996</v>
      </c>
      <c r="H376" s="71">
        <v>3898.2173020399996</v>
      </c>
      <c r="I376" s="71">
        <f t="shared" si="76"/>
        <v>-445.21184291999907</v>
      </c>
      <c r="J376" s="204">
        <f t="shared" si="77"/>
        <v>8.5675725116663187E-2</v>
      </c>
      <c r="K376" s="204">
        <f t="shared" si="78"/>
        <v>0.11176146985366062</v>
      </c>
      <c r="M376"/>
      <c r="N376"/>
      <c r="O376"/>
      <c r="P376"/>
      <c r="Q376"/>
      <c r="Z376" s="2"/>
      <c r="AA376" s="2"/>
      <c r="AB376" s="2"/>
    </row>
    <row r="377" spans="2:28" s="35" customFormat="1" ht="15.75" customHeight="1">
      <c r="C377" s="71"/>
      <c r="D377" s="28" t="str">
        <f>IF(Indice_index!$Z$1=1,"junho","June")</f>
        <v>June</v>
      </c>
      <c r="E377" s="28">
        <v>4106.0747264599995</v>
      </c>
      <c r="F377" s="28">
        <v>4293.2354523700014</v>
      </c>
      <c r="G377" s="28">
        <v>4553.9881566500026</v>
      </c>
      <c r="H377" s="28">
        <v>5034.8187951999998</v>
      </c>
      <c r="I377" s="28">
        <f t="shared" si="76"/>
        <v>-741.5833428299984</v>
      </c>
      <c r="J377" s="226">
        <f t="shared" si="77"/>
        <v>4.558142225320877E-2</v>
      </c>
      <c r="K377" s="226">
        <f t="shared" si="78"/>
        <v>0.10558451669397953</v>
      </c>
      <c r="L377"/>
      <c r="M377"/>
      <c r="N377"/>
      <c r="O377"/>
      <c r="P377"/>
      <c r="Q377"/>
      <c r="Z377" s="2"/>
      <c r="AA377" s="2"/>
      <c r="AB377" s="2"/>
    </row>
    <row r="378" spans="2:28" s="35" customFormat="1" ht="15.75" customHeight="1">
      <c r="C378" s="71"/>
      <c r="D378" s="33" t="str">
        <f>IF(Indice_index!$Z$1=1,"julho","July")</f>
        <v>July</v>
      </c>
      <c r="E378" s="33">
        <v>4886.795906360001</v>
      </c>
      <c r="F378" s="33">
        <v>4979.9272551300019</v>
      </c>
      <c r="G378" s="33">
        <v>5550.4574405999992</v>
      </c>
      <c r="H378" s="33">
        <v>5750.6084295600031</v>
      </c>
      <c r="I378" s="33">
        <f t="shared" si="76"/>
        <v>-770.68117443000119</v>
      </c>
      <c r="J378" s="206">
        <f t="shared" si="77"/>
        <v>1.9057752882372991E-2</v>
      </c>
      <c r="K378" s="206">
        <f t="shared" si="78"/>
        <v>3.606026910430065E-2</v>
      </c>
      <c r="L378"/>
      <c r="M378"/>
      <c r="N378"/>
      <c r="O378"/>
      <c r="P378"/>
      <c r="Q378"/>
      <c r="Z378" s="2"/>
      <c r="AA378" s="2"/>
      <c r="AB378" s="2"/>
    </row>
    <row r="379" spans="2:28" s="35" customFormat="1" ht="15.75" customHeight="1">
      <c r="C379" s="71"/>
      <c r="D379" s="33" t="str">
        <f>IF(Indice_index!$Z$1=1,"agosto","August")</f>
        <v>August</v>
      </c>
      <c r="E379" s="33">
        <v>5549.6600380399996</v>
      </c>
      <c r="F379" s="33">
        <v>5726.8893815899992</v>
      </c>
      <c r="G379" s="33">
        <v>6258.01937516</v>
      </c>
      <c r="H379" s="33">
        <v>6479.3793837300009</v>
      </c>
      <c r="I379" s="33">
        <f t="shared" si="76"/>
        <v>-752.49000214000171</v>
      </c>
      <c r="J379" s="206">
        <f t="shared" si="77"/>
        <v>3.1935171224036378E-2</v>
      </c>
      <c r="K379" s="206">
        <f t="shared" si="78"/>
        <v>3.5372215280867737E-2</v>
      </c>
      <c r="L379"/>
      <c r="M379"/>
      <c r="N379"/>
      <c r="O379"/>
      <c r="P379"/>
      <c r="Q379"/>
      <c r="Z379" s="2"/>
      <c r="AA379" s="2"/>
      <c r="AB379" s="2"/>
    </row>
    <row r="380" spans="2:28" s="35" customFormat="1" ht="15.75" customHeight="1">
      <c r="C380" s="33"/>
      <c r="D380" s="33" t="str">
        <f>IF(Indice_index!$Z$1=1,"setembro","September")</f>
        <v>September</v>
      </c>
      <c r="E380" s="33">
        <v>6488.0088481999983</v>
      </c>
      <c r="F380" s="33">
        <v>6360.4404072499992</v>
      </c>
      <c r="G380" s="33">
        <v>7220.5925660999992</v>
      </c>
      <c r="H380" s="33">
        <v>7187.8782135199972</v>
      </c>
      <c r="I380" s="33">
        <f t="shared" si="76"/>
        <v>-827.43780626999796</v>
      </c>
      <c r="J380" s="206">
        <f t="shared" si="77"/>
        <v>-1.9662186648433905E-2</v>
      </c>
      <c r="K380" s="206">
        <f t="shared" si="78"/>
        <v>-4.5307019168472143E-3</v>
      </c>
      <c r="L380"/>
      <c r="M380"/>
      <c r="N380"/>
      <c r="O380"/>
      <c r="P380"/>
      <c r="Q380"/>
      <c r="Z380" s="2"/>
      <c r="AA380" s="2"/>
      <c r="AB380" s="2"/>
    </row>
    <row r="381" spans="2:28" ht="15.75" customHeight="1">
      <c r="C381" s="33"/>
      <c r="D381" s="33" t="str">
        <f>IF(Indice_index!$Z$1=1,"outubro","October")</f>
        <v>October</v>
      </c>
      <c r="E381" s="33">
        <v>7072.5318029999999</v>
      </c>
      <c r="F381" s="33">
        <v>7066.2713356100021</v>
      </c>
      <c r="G381" s="33">
        <v>7985.1577932599994</v>
      </c>
      <c r="H381" s="33">
        <v>7946.8783264399972</v>
      </c>
      <c r="I381" s="33">
        <f t="shared" si="76"/>
        <v>-880.60699082999508</v>
      </c>
      <c r="J381" s="206">
        <f t="shared" si="77"/>
        <v>-8.8518052154141114E-4</v>
      </c>
      <c r="K381" s="206">
        <f t="shared" si="78"/>
        <v>-4.7938272243427168E-3</v>
      </c>
      <c r="L381" s="358"/>
      <c r="M381" s="358"/>
      <c r="N381" s="358"/>
      <c r="O381" s="358"/>
      <c r="P381"/>
      <c r="Q381"/>
    </row>
    <row r="382" spans="2:28" s="24" customFormat="1" ht="15.75" customHeight="1">
      <c r="C382" s="33"/>
      <c r="D382" s="33" t="str">
        <f>IF(Indice_index!$Z$1=1,"novembro","November")</f>
        <v>November</v>
      </c>
      <c r="E382" s="33">
        <v>7898.6234714100019</v>
      </c>
      <c r="F382" s="33">
        <v>7788.4320409499996</v>
      </c>
      <c r="G382" s="33">
        <v>8703.1270271699959</v>
      </c>
      <c r="H382" s="33">
        <v>8677.6922302800031</v>
      </c>
      <c r="I382" s="33">
        <f t="shared" si="76"/>
        <v>-889.26018933000341</v>
      </c>
      <c r="J382" s="206">
        <f t="shared" si="77"/>
        <v>-1.3950713166522386E-2</v>
      </c>
      <c r="K382" s="206">
        <f t="shared" si="78"/>
        <v>-2.9224894466769059E-3</v>
      </c>
      <c r="L382" s="221"/>
      <c r="M382" s="221"/>
      <c r="N382" s="221"/>
      <c r="O382" s="221"/>
      <c r="P382" s="221"/>
      <c r="Q382" s="221"/>
      <c r="Z382" s="42"/>
      <c r="AA382" s="42"/>
      <c r="AB382" s="42"/>
    </row>
    <row r="383" spans="2:28" s="24" customFormat="1" ht="15.75" customHeight="1">
      <c r="C383" s="33"/>
      <c r="D383" s="33" t="str">
        <f>IF(Indice_index!$Z$1=1,"dezembro","December")</f>
        <v>December</v>
      </c>
      <c r="E383" s="33">
        <v>9179.6857596400041</v>
      </c>
      <c r="F383" s="33">
        <v>9318.0409290200023</v>
      </c>
      <c r="G383" s="33">
        <v>10179.574335310004</v>
      </c>
      <c r="H383" s="33">
        <v>10469.178622609998</v>
      </c>
      <c r="I383" s="33">
        <f t="shared" si="76"/>
        <v>-1151.1376935899953</v>
      </c>
      <c r="J383" s="206">
        <f t="shared" si="77"/>
        <v>1.5071885138846408E-2</v>
      </c>
      <c r="K383" s="206">
        <f t="shared" si="78"/>
        <v>2.844954786522258E-2</v>
      </c>
      <c r="L383" s="221"/>
      <c r="M383" s="221"/>
      <c r="N383" s="221"/>
      <c r="O383" s="221"/>
      <c r="P383" s="221"/>
      <c r="Q383" s="221"/>
      <c r="Z383" s="42"/>
      <c r="AA383" s="42"/>
      <c r="AB383" s="42"/>
    </row>
    <row r="384" spans="2:28" s="24" customFormat="1" ht="15.75" customHeight="1">
      <c r="C384" s="33"/>
      <c r="D384" s="33"/>
      <c r="E384" s="33"/>
      <c r="F384" s="33"/>
      <c r="G384" s="33"/>
      <c r="H384" s="33"/>
      <c r="I384" s="33"/>
      <c r="J384" s="206"/>
      <c r="K384" s="206"/>
      <c r="L384" s="221"/>
      <c r="M384" s="221"/>
      <c r="N384" s="221"/>
      <c r="O384" s="221"/>
      <c r="P384" s="221"/>
      <c r="Q384" s="221"/>
      <c r="Z384" s="42"/>
      <c r="AA384" s="42"/>
      <c r="AB384" s="42"/>
    </row>
    <row r="385" spans="3:28" s="35" customFormat="1" ht="15.75" customHeight="1">
      <c r="C385" s="20" t="s">
        <v>126</v>
      </c>
      <c r="D385" s="71" t="str">
        <f>IF(Indice_index!$Z$1=1,"janeiro","January")</f>
        <v>January</v>
      </c>
      <c r="E385" s="71">
        <v>598.54998020000028</v>
      </c>
      <c r="F385" s="71">
        <v>549.45067003634381</v>
      </c>
      <c r="G385" s="71">
        <v>470.54850865999992</v>
      </c>
      <c r="H385" s="71">
        <v>690.15216545634428</v>
      </c>
      <c r="I385" s="71">
        <f t="shared" ref="I385:I396" si="79">IF(F385="","",+F385-H385)</f>
        <v>-140.70149542000047</v>
      </c>
      <c r="J385" s="204">
        <f t="shared" ref="J385:J396" si="80">IF(F385="","",IF(E385=0,"-",(F385-E385)/E385))</f>
        <v>-8.2030426510498522E-2</v>
      </c>
      <c r="K385" s="204">
        <f t="shared" ref="K385:K396" si="81">IF(H385="","",IF(G385=0,"-",(H385-G385)/G385))</f>
        <v>0.46669716884603163</v>
      </c>
      <c r="L385"/>
      <c r="M385" s="203"/>
      <c r="O385" s="257"/>
      <c r="P385" s="257"/>
      <c r="Q385" s="256"/>
      <c r="Z385" s="2"/>
      <c r="AA385" s="2"/>
      <c r="AB385" s="2"/>
    </row>
    <row r="386" spans="3:28" s="35" customFormat="1" ht="15.75" customHeight="1">
      <c r="C386" s="71"/>
      <c r="D386" s="71" t="str">
        <f>IF(Indice_index!$Z$1=1,"fevereiro","February")</f>
        <v>February</v>
      </c>
      <c r="E386" s="71">
        <v>1192.2954750000001</v>
      </c>
      <c r="F386" s="71">
        <v>1269.2476927863531</v>
      </c>
      <c r="G386" s="71">
        <v>1439.9015545300006</v>
      </c>
      <c r="H386" s="71">
        <v>1698.4020990163535</v>
      </c>
      <c r="I386" s="71">
        <f t="shared" si="79"/>
        <v>-429.1544062300004</v>
      </c>
      <c r="J386" s="204">
        <f t="shared" si="80"/>
        <v>6.4541231095717272E-2</v>
      </c>
      <c r="K386" s="204">
        <f t="shared" si="81"/>
        <v>0.17952654032013343</v>
      </c>
      <c r="L386"/>
      <c r="M386" s="203"/>
      <c r="O386" s="257"/>
      <c r="P386" s="258"/>
      <c r="Q386" s="257"/>
      <c r="Z386" s="2"/>
      <c r="AA386" s="2"/>
      <c r="AB386" s="2"/>
    </row>
    <row r="387" spans="3:28" s="35" customFormat="1" ht="15.75" customHeight="1">
      <c r="C387" s="71"/>
      <c r="D387" s="71" t="str">
        <f>IF(Indice_index!$Z$1=1,"março","March")</f>
        <v>March</v>
      </c>
      <c r="E387" s="71">
        <v>1962.7129437599997</v>
      </c>
      <c r="F387" s="71">
        <v>1898.9315005045307</v>
      </c>
      <c r="G387" s="71">
        <v>2221.0037119899989</v>
      </c>
      <c r="H387" s="71">
        <v>2796.8625452345286</v>
      </c>
      <c r="I387" s="71">
        <f t="shared" si="79"/>
        <v>-897.93104472999789</v>
      </c>
      <c r="J387" s="204">
        <f t="shared" si="80"/>
        <v>-3.249657238887E-2</v>
      </c>
      <c r="K387" s="204">
        <f t="shared" si="81"/>
        <v>0.2592786451169708</v>
      </c>
      <c r="L387"/>
      <c r="M387" s="203"/>
      <c r="O387" s="257"/>
      <c r="P387" s="257"/>
      <c r="Q387" s="257"/>
      <c r="Z387" s="2"/>
      <c r="AA387" s="2"/>
      <c r="AB387" s="2"/>
    </row>
    <row r="388" spans="3:28" s="35" customFormat="1" ht="15.75" customHeight="1">
      <c r="C388" s="71"/>
      <c r="D388" s="71" t="str">
        <f>IF(Indice_index!$Z$1=1,"abril","April")</f>
        <v>April</v>
      </c>
      <c r="E388" s="71">
        <v>2622.8219943499989</v>
      </c>
      <c r="F388" s="71">
        <v>2672.1609393227068</v>
      </c>
      <c r="G388" s="71">
        <v>2990.1547998499996</v>
      </c>
      <c r="H388" s="71">
        <v>3674.5765242427074</v>
      </c>
      <c r="I388" s="71">
        <f t="shared" si="79"/>
        <v>-1002.4155849200006</v>
      </c>
      <c r="J388" s="204">
        <f t="shared" si="80"/>
        <v>1.8811396686085544E-2</v>
      </c>
      <c r="K388" s="204">
        <f t="shared" si="81"/>
        <v>0.22889173645024721</v>
      </c>
      <c r="L388"/>
      <c r="M388" s="203"/>
      <c r="N388"/>
      <c r="O388"/>
      <c r="P388"/>
      <c r="Q388"/>
      <c r="Z388" s="2"/>
      <c r="AA388" s="2"/>
      <c r="AB388" s="2"/>
    </row>
    <row r="389" spans="3:28" s="35" customFormat="1" ht="15.75" customHeight="1">
      <c r="C389" s="71"/>
      <c r="D389" s="71" t="str">
        <f>IF(Indice_index!$Z$1=1,"maio","May")</f>
        <v>May</v>
      </c>
      <c r="E389" s="71">
        <v>3446.1032853400011</v>
      </c>
      <c r="F389" s="71">
        <v>3498.3596016608822</v>
      </c>
      <c r="G389" s="71">
        <v>3898.9374758099984</v>
      </c>
      <c r="H389" s="71">
        <v>4407.8111910708867</v>
      </c>
      <c r="I389" s="71">
        <f t="shared" si="79"/>
        <v>-909.45158941000454</v>
      </c>
      <c r="J389" s="204">
        <f t="shared" si="80"/>
        <v>1.5163885697559797E-2</v>
      </c>
      <c r="K389" s="204">
        <f t="shared" si="81"/>
        <v>0.13051599786302562</v>
      </c>
      <c r="M389"/>
      <c r="N389"/>
      <c r="O389"/>
      <c r="P389"/>
      <c r="Q389"/>
      <c r="Z389" s="2"/>
      <c r="AA389" s="2"/>
      <c r="AB389" s="2"/>
    </row>
    <row r="390" spans="3:28" s="35" customFormat="1" ht="15.75" customHeight="1">
      <c r="C390" s="71"/>
      <c r="D390" s="28" t="str">
        <f>IF(Indice_index!$Z$1=1,"junho","June")</f>
        <v>June</v>
      </c>
      <c r="E390" s="28">
        <v>4286.817844799999</v>
      </c>
      <c r="F390" s="28">
        <v>4467.2205804999985</v>
      </c>
      <c r="G390" s="28">
        <v>5036.0305324399969</v>
      </c>
      <c r="H390" s="28">
        <v>5509.1989945699979</v>
      </c>
      <c r="I390" s="28">
        <f t="shared" si="79"/>
        <v>-1041.9784140699994</v>
      </c>
      <c r="J390" s="226">
        <f t="shared" si="80"/>
        <v>4.2083135377173043E-2</v>
      </c>
      <c r="K390" s="226">
        <f t="shared" si="81"/>
        <v>9.3956630938205832E-2</v>
      </c>
      <c r="L390"/>
      <c r="M390"/>
      <c r="N390"/>
      <c r="O390"/>
      <c r="P390"/>
      <c r="Q390"/>
      <c r="Z390" s="2"/>
      <c r="AA390" s="2"/>
      <c r="AB390" s="2"/>
    </row>
    <row r="391" spans="3:28" s="35" customFormat="1" ht="15.75" customHeight="1">
      <c r="C391" s="71"/>
      <c r="D391" s="33" t="str">
        <f>IF(Indice_index!$Z$1=1,"julho","July")</f>
        <v>July</v>
      </c>
      <c r="E391" s="33">
        <v>4968.101007090002</v>
      </c>
      <c r="F391" s="33">
        <v>5282.5570624599995</v>
      </c>
      <c r="G391" s="33">
        <v>5751.3852130699997</v>
      </c>
      <c r="H391" s="33">
        <v>6452.9700449200009</v>
      </c>
      <c r="I391" s="33">
        <f t="shared" si="79"/>
        <v>-1170.4129824600013</v>
      </c>
      <c r="J391" s="206">
        <f t="shared" si="80"/>
        <v>6.3295020556392828E-2</v>
      </c>
      <c r="K391" s="206">
        <f t="shared" si="81"/>
        <v>0.12198536628283087</v>
      </c>
      <c r="L391"/>
      <c r="M391"/>
      <c r="N391"/>
      <c r="O391"/>
      <c r="P391"/>
      <c r="Q391"/>
      <c r="Z391" s="2"/>
      <c r="AA391" s="2"/>
      <c r="AB391" s="2"/>
    </row>
    <row r="392" spans="3:28" s="35" customFormat="1" ht="15.75" customHeight="1">
      <c r="C392" s="71"/>
      <c r="D392" s="33" t="str">
        <f>IF(Indice_index!$Z$1=1,"agosto","August")</f>
        <v>August</v>
      </c>
      <c r="E392" s="33">
        <v>5712.4113543900003</v>
      </c>
      <c r="F392" s="33">
        <v>6022.5329914599988</v>
      </c>
      <c r="G392" s="33">
        <v>6484.9639892499981</v>
      </c>
      <c r="H392" s="33">
        <v>7238.1903434799988</v>
      </c>
      <c r="I392" s="33">
        <f t="shared" si="79"/>
        <v>-1215.65735202</v>
      </c>
      <c r="J392" s="206">
        <f t="shared" si="80"/>
        <v>5.4289094014854059E-2</v>
      </c>
      <c r="K392" s="206">
        <f t="shared" si="81"/>
        <v>0.11614965873035066</v>
      </c>
      <c r="L392"/>
      <c r="M392"/>
      <c r="N392"/>
      <c r="O392"/>
      <c r="P392"/>
      <c r="Q392"/>
      <c r="Z392" s="2"/>
      <c r="AA392" s="2"/>
      <c r="AB392" s="2"/>
    </row>
    <row r="393" spans="3:28" s="35" customFormat="1" ht="15.75" customHeight="1">
      <c r="C393" s="33"/>
      <c r="D393" s="33" t="str">
        <f>IF(Indice_index!$Z$1=1,"setembro","September")</f>
        <v>September</v>
      </c>
      <c r="E393" s="33">
        <v>6354.0312881600012</v>
      </c>
      <c r="F393" s="33">
        <v>6842.6539306200002</v>
      </c>
      <c r="G393" s="33">
        <v>7186.3495778899978</v>
      </c>
      <c r="H393" s="33">
        <v>7997.4739838300047</v>
      </c>
      <c r="I393" s="33">
        <f t="shared" si="79"/>
        <v>-1154.8200532100045</v>
      </c>
      <c r="J393" s="206">
        <f t="shared" si="80"/>
        <v>7.6899628015759156E-2</v>
      </c>
      <c r="K393" s="206">
        <f t="shared" si="81"/>
        <v>0.11287015711503463</v>
      </c>
      <c r="L393"/>
      <c r="M393"/>
      <c r="N393"/>
      <c r="O393"/>
      <c r="P393"/>
      <c r="Q393"/>
      <c r="Z393" s="2"/>
      <c r="AA393" s="2"/>
      <c r="AB393" s="2"/>
    </row>
    <row r="394" spans="3:28" ht="15.75" customHeight="1">
      <c r="C394" s="33"/>
      <c r="D394" s="33" t="str">
        <f>IF(Indice_index!$Z$1=1,"outubro","October")</f>
        <v>October</v>
      </c>
      <c r="E394" s="33">
        <v>7059.1700652799991</v>
      </c>
      <c r="F394" s="33">
        <v>7625.7228252800005</v>
      </c>
      <c r="G394" s="33">
        <v>7945.2546417599997</v>
      </c>
      <c r="H394" s="33">
        <v>8895.587589140001</v>
      </c>
      <c r="I394" s="33">
        <f t="shared" si="79"/>
        <v>-1269.8647638600005</v>
      </c>
      <c r="J394" s="206">
        <f t="shared" si="80"/>
        <v>8.0257700942289067E-2</v>
      </c>
      <c r="K394" s="206">
        <f t="shared" si="81"/>
        <v>0.11961013085535135</v>
      </c>
      <c r="L394" s="358"/>
      <c r="M394" s="358"/>
      <c r="N394" s="358"/>
      <c r="O394" s="358"/>
      <c r="P394"/>
      <c r="Q394"/>
    </row>
    <row r="395" spans="3:28" s="24" customFormat="1" ht="15.75" customHeight="1">
      <c r="C395" s="33"/>
      <c r="D395" s="33" t="str">
        <f>IF(Indice_index!$Z$1=1,"novembro","November")</f>
        <v>November</v>
      </c>
      <c r="E395" s="33">
        <v>7780.9854947799995</v>
      </c>
      <c r="F395" s="33">
        <v>8514.1633441300019</v>
      </c>
      <c r="G395" s="33">
        <v>8676.3155229000004</v>
      </c>
      <c r="H395" s="33">
        <v>9804.0120772900009</v>
      </c>
      <c r="I395" s="33">
        <f t="shared" si="79"/>
        <v>-1289.848733159999</v>
      </c>
      <c r="J395" s="206">
        <f t="shared" si="80"/>
        <v>9.4226862373907094E-2</v>
      </c>
      <c r="K395" s="206">
        <f t="shared" si="81"/>
        <v>0.12997412915811934</v>
      </c>
      <c r="L395" s="221"/>
      <c r="M395" s="221"/>
      <c r="N395" s="221"/>
      <c r="O395" s="221"/>
      <c r="P395" s="221"/>
      <c r="Q395" s="221"/>
      <c r="Z395" s="42"/>
      <c r="AA395" s="42"/>
      <c r="AB395" s="42"/>
    </row>
    <row r="396" spans="3:28" s="24" customFormat="1" ht="15.75" customHeight="1">
      <c r="C396" s="33"/>
      <c r="D396" s="33" t="str">
        <f>IF(Indice_index!$Z$1=1,"dezembro","December")</f>
        <v>December</v>
      </c>
      <c r="E396" s="33">
        <v>9318.0409290199987</v>
      </c>
      <c r="F396" s="33">
        <v>9624.3872952500024</v>
      </c>
      <c r="G396" s="33">
        <v>10469.178622609998</v>
      </c>
      <c r="H396" s="33">
        <v>11688.697798260004</v>
      </c>
      <c r="I396" s="33">
        <f t="shared" si="79"/>
        <v>-2064.3105030100014</v>
      </c>
      <c r="J396" s="206">
        <f t="shared" si="80"/>
        <v>3.2876692489718751E-2</v>
      </c>
      <c r="K396" s="206">
        <f t="shared" si="81"/>
        <v>0.11648661462478481</v>
      </c>
      <c r="L396" s="221"/>
      <c r="M396" s="221"/>
      <c r="N396" s="221"/>
      <c r="O396" s="221"/>
      <c r="P396" s="221"/>
      <c r="Q396" s="221"/>
      <c r="Z396" s="42"/>
      <c r="AA396" s="42"/>
      <c r="AB396" s="42"/>
    </row>
    <row r="397" spans="3:28" s="24" customFormat="1" ht="15.75" customHeight="1">
      <c r="C397" s="33"/>
      <c r="D397" s="33"/>
      <c r="E397" s="33"/>
      <c r="F397" s="33"/>
      <c r="G397" s="33"/>
      <c r="H397" s="33"/>
      <c r="I397" s="33"/>
      <c r="J397" s="206"/>
      <c r="K397" s="206"/>
      <c r="L397" s="221"/>
      <c r="M397" s="221"/>
      <c r="N397" s="221"/>
      <c r="O397" s="221"/>
      <c r="P397" s="221"/>
      <c r="Q397" s="221"/>
      <c r="Z397" s="42"/>
      <c r="AA397" s="42"/>
      <c r="AB397" s="42"/>
    </row>
    <row r="398" spans="3:28" s="35" customFormat="1" ht="15.75" customHeight="1">
      <c r="C398" s="20" t="s">
        <v>127</v>
      </c>
      <c r="D398" s="71" t="str">
        <f>IF(Indice_index!$Z$1=1,"janeiro","January")</f>
        <v>January</v>
      </c>
      <c r="E398" s="71">
        <v>558.22232510000003</v>
      </c>
      <c r="F398" s="71">
        <v>619.11378943910745</v>
      </c>
      <c r="G398" s="71">
        <v>685.66133834000004</v>
      </c>
      <c r="H398" s="71">
        <v>527.37698282577401</v>
      </c>
      <c r="I398" s="71">
        <f t="shared" ref="I398:I409" si="82">IF(F398="","",+F398-H398)</f>
        <v>91.736806613333442</v>
      </c>
      <c r="J398" s="204">
        <f t="shared" ref="J398:J409" si="83">IF(F398="","",IF(E398=0,"-",(F398-E398)/E398))</f>
        <v>0.1090810266826919</v>
      </c>
      <c r="K398" s="204">
        <f t="shared" ref="K398:K409" si="84">IF(H398="","",IF(G398=0,"-",(H398-G398)/G398))</f>
        <v>-0.23084917679249009</v>
      </c>
      <c r="L398"/>
      <c r="M398" s="203"/>
      <c r="O398" s="257"/>
      <c r="P398" s="257"/>
      <c r="Q398" s="256"/>
      <c r="Z398" s="2"/>
      <c r="AA398" s="2"/>
      <c r="AB398" s="2"/>
    </row>
    <row r="399" spans="3:28" s="35" customFormat="1" ht="15.75" customHeight="1">
      <c r="C399" s="71"/>
      <c r="D399" s="71" t="str">
        <f>IF(Indice_index!$Z$1=1,"fevereiro","February")</f>
        <v>February</v>
      </c>
      <c r="E399" s="71">
        <v>1264.46302846</v>
      </c>
      <c r="F399" s="71">
        <v>1275.5097537669515</v>
      </c>
      <c r="G399" s="71">
        <v>1691.0338383999999</v>
      </c>
      <c r="H399" s="71">
        <v>1579.9714017469519</v>
      </c>
      <c r="I399" s="71">
        <f t="shared" si="82"/>
        <v>-304.46164798000041</v>
      </c>
      <c r="J399" s="204">
        <f t="shared" si="83"/>
        <v>8.7362975890290188E-3</v>
      </c>
      <c r="K399" s="204">
        <f t="shared" si="84"/>
        <v>-6.567724082809108E-2</v>
      </c>
      <c r="L399"/>
      <c r="M399" s="203"/>
      <c r="O399" s="257"/>
      <c r="P399" s="258"/>
      <c r="Q399" s="257"/>
      <c r="Z399" s="2"/>
      <c r="AA399" s="2"/>
      <c r="AB399" s="2"/>
    </row>
    <row r="400" spans="3:28" s="35" customFormat="1" ht="15.75" customHeight="1">
      <c r="C400" s="71"/>
      <c r="D400" s="71" t="str">
        <f>IF(Indice_index!$Z$1=1,"março","March")</f>
        <v>March</v>
      </c>
      <c r="E400" s="71">
        <v>1894.4777275500001</v>
      </c>
      <c r="F400" s="71">
        <v>2036.6609971473229</v>
      </c>
      <c r="G400" s="71">
        <v>2807.0160867899995</v>
      </c>
      <c r="H400" s="71">
        <v>2353.408628227322</v>
      </c>
      <c r="I400" s="71">
        <f t="shared" si="82"/>
        <v>-316.74763107999911</v>
      </c>
      <c r="J400" s="204">
        <f t="shared" si="83"/>
        <v>7.5051433716879223E-2</v>
      </c>
      <c r="K400" s="204">
        <f t="shared" si="84"/>
        <v>-0.16159774099528099</v>
      </c>
      <c r="L400"/>
      <c r="M400" s="203"/>
      <c r="O400" s="257"/>
      <c r="P400" s="257"/>
      <c r="Q400" s="257"/>
      <c r="Z400" s="2"/>
      <c r="AA400" s="2"/>
      <c r="AB400" s="2"/>
    </row>
    <row r="401" spans="3:28" s="35" customFormat="1" ht="15.75" customHeight="1">
      <c r="C401" s="71"/>
      <c r="D401" s="71" t="str">
        <f>IF(Indice_index!$Z$1=1,"abril","April")</f>
        <v>April</v>
      </c>
      <c r="E401" s="71">
        <v>2674.7988965499999</v>
      </c>
      <c r="F401" s="71">
        <v>2835.3479390154835</v>
      </c>
      <c r="G401" s="71">
        <v>3689.6947422399994</v>
      </c>
      <c r="H401" s="71">
        <v>3164.1081697154832</v>
      </c>
      <c r="I401" s="71">
        <f t="shared" si="82"/>
        <v>-328.76023069999974</v>
      </c>
      <c r="J401" s="204">
        <f t="shared" si="83"/>
        <v>6.0022846081087593E-2</v>
      </c>
      <c r="K401" s="204">
        <f t="shared" si="84"/>
        <v>-0.14244716954699474</v>
      </c>
      <c r="L401"/>
      <c r="M401" s="203"/>
      <c r="N401"/>
      <c r="O401"/>
      <c r="P401"/>
      <c r="Q401"/>
      <c r="Z401" s="2"/>
      <c r="AA401" s="2"/>
      <c r="AB401" s="2"/>
    </row>
    <row r="402" spans="3:28" s="35" customFormat="1" ht="15.75" customHeight="1">
      <c r="C402" s="71"/>
      <c r="D402" s="71" t="str">
        <f>IF(Indice_index!$Z$1=1,"maio","May")</f>
        <v>May</v>
      </c>
      <c r="E402" s="71">
        <v>3490.6171144200007</v>
      </c>
      <c r="F402" s="71">
        <v>3904.6416464759254</v>
      </c>
      <c r="G402" s="71">
        <v>4400.7408796899999</v>
      </c>
      <c r="H402" s="71">
        <v>3869.6345941359255</v>
      </c>
      <c r="I402" s="71">
        <f t="shared" si="82"/>
        <v>35.007052339999973</v>
      </c>
      <c r="J402" s="204">
        <f t="shared" si="83"/>
        <v>0.11861069790369112</v>
      </c>
      <c r="K402" s="204">
        <f t="shared" si="84"/>
        <v>-0.12068565272843036</v>
      </c>
      <c r="M402"/>
      <c r="N402"/>
      <c r="O402"/>
      <c r="P402"/>
      <c r="Q402"/>
      <c r="Z402" s="2"/>
      <c r="AA402" s="2"/>
      <c r="AB402" s="2"/>
    </row>
    <row r="403" spans="3:28" s="35" customFormat="1" ht="15.75" customHeight="1">
      <c r="C403" s="71"/>
      <c r="D403" s="28" t="str">
        <f>IF(Indice_index!$Z$1=1,"junho","June")</f>
        <v>June</v>
      </c>
      <c r="E403" s="28"/>
      <c r="F403" s="28"/>
      <c r="G403" s="28"/>
      <c r="H403" s="28"/>
      <c r="I403" s="28" t="str">
        <f t="shared" si="82"/>
        <v/>
      </c>
      <c r="J403" s="226" t="str">
        <f t="shared" si="83"/>
        <v/>
      </c>
      <c r="K403" s="226" t="str">
        <f t="shared" si="84"/>
        <v/>
      </c>
      <c r="L403"/>
      <c r="M403"/>
      <c r="N403"/>
      <c r="O403"/>
      <c r="P403"/>
      <c r="Q403"/>
      <c r="Z403" s="2"/>
      <c r="AA403" s="2"/>
      <c r="AB403" s="2"/>
    </row>
    <row r="404" spans="3:28" s="35" customFormat="1" ht="15.75" customHeight="1">
      <c r="C404" s="71"/>
      <c r="D404" s="33" t="str">
        <f>IF(Indice_index!$Z$1=1,"julho","July")</f>
        <v>July</v>
      </c>
      <c r="E404" s="33"/>
      <c r="F404" s="33"/>
      <c r="G404" s="33"/>
      <c r="H404" s="33"/>
      <c r="I404" s="33" t="str">
        <f t="shared" si="82"/>
        <v/>
      </c>
      <c r="J404" s="206" t="str">
        <f t="shared" si="83"/>
        <v/>
      </c>
      <c r="K404" s="206" t="str">
        <f t="shared" si="84"/>
        <v/>
      </c>
      <c r="L404"/>
      <c r="M404"/>
      <c r="N404"/>
      <c r="O404"/>
      <c r="P404"/>
      <c r="Q404"/>
      <c r="Z404" s="2"/>
      <c r="AA404" s="2"/>
      <c r="AB404" s="2"/>
    </row>
    <row r="405" spans="3:28" s="35" customFormat="1" ht="15.75" customHeight="1">
      <c r="C405" s="71"/>
      <c r="D405" s="33" t="str">
        <f>IF(Indice_index!$Z$1=1,"agosto","August")</f>
        <v>August</v>
      </c>
      <c r="E405" s="33"/>
      <c r="F405" s="33"/>
      <c r="G405" s="33"/>
      <c r="H405" s="33"/>
      <c r="I405" s="33" t="str">
        <f t="shared" si="82"/>
        <v/>
      </c>
      <c r="J405" s="206" t="str">
        <f t="shared" si="83"/>
        <v/>
      </c>
      <c r="K405" s="206" t="str">
        <f t="shared" si="84"/>
        <v/>
      </c>
      <c r="L405"/>
      <c r="M405"/>
      <c r="N405"/>
      <c r="O405"/>
      <c r="P405"/>
      <c r="Q405"/>
      <c r="Z405" s="2"/>
      <c r="AA405" s="2"/>
      <c r="AB405" s="2"/>
    </row>
    <row r="406" spans="3:28" s="35" customFormat="1" ht="15.75" customHeight="1">
      <c r="C406" s="33"/>
      <c r="D406" s="33" t="str">
        <f>IF(Indice_index!$Z$1=1,"setembro","September")</f>
        <v>September</v>
      </c>
      <c r="E406" s="33"/>
      <c r="F406" s="33"/>
      <c r="G406" s="33"/>
      <c r="H406" s="33"/>
      <c r="I406" s="33" t="str">
        <f t="shared" si="82"/>
        <v/>
      </c>
      <c r="J406" s="206" t="str">
        <f t="shared" si="83"/>
        <v/>
      </c>
      <c r="K406" s="206" t="str">
        <f t="shared" si="84"/>
        <v/>
      </c>
      <c r="L406"/>
      <c r="M406"/>
      <c r="N406"/>
      <c r="O406"/>
      <c r="P406"/>
      <c r="Q406"/>
      <c r="Z406" s="2"/>
      <c r="AA406" s="2"/>
      <c r="AB406" s="2"/>
    </row>
    <row r="407" spans="3:28" ht="15.75" customHeight="1">
      <c r="C407" s="33"/>
      <c r="D407" s="33" t="str">
        <f>IF(Indice_index!$Z$1=1,"outubro","October")</f>
        <v>October</v>
      </c>
      <c r="E407" s="33"/>
      <c r="F407" s="33"/>
      <c r="G407" s="33"/>
      <c r="H407" s="33"/>
      <c r="I407" s="33" t="str">
        <f t="shared" si="82"/>
        <v/>
      </c>
      <c r="J407" s="206" t="str">
        <f t="shared" si="83"/>
        <v/>
      </c>
      <c r="K407" s="206" t="str">
        <f t="shared" si="84"/>
        <v/>
      </c>
      <c r="L407" s="358"/>
      <c r="M407" s="358"/>
      <c r="N407" s="358"/>
      <c r="O407" s="358"/>
      <c r="P407"/>
      <c r="Q407"/>
    </row>
    <row r="408" spans="3:28" s="24" customFormat="1" ht="15.75" customHeight="1">
      <c r="C408" s="33"/>
      <c r="D408" s="33" t="str">
        <f>IF(Indice_index!$Z$1=1,"novembro","November")</f>
        <v>November</v>
      </c>
      <c r="E408" s="33"/>
      <c r="F408" s="33"/>
      <c r="G408" s="33"/>
      <c r="H408" s="33"/>
      <c r="I408" s="33" t="str">
        <f t="shared" si="82"/>
        <v/>
      </c>
      <c r="J408" s="206" t="str">
        <f t="shared" si="83"/>
        <v/>
      </c>
      <c r="K408" s="206" t="str">
        <f t="shared" si="84"/>
        <v/>
      </c>
      <c r="L408" s="221"/>
      <c r="M408" s="221"/>
      <c r="N408" s="221"/>
      <c r="O408" s="221"/>
      <c r="P408" s="221"/>
      <c r="Q408" s="221"/>
      <c r="Z408" s="42"/>
      <c r="AA408" s="42"/>
      <c r="AB408" s="42"/>
    </row>
    <row r="409" spans="3:28" s="24" customFormat="1" ht="15.75" customHeight="1">
      <c r="C409" s="85"/>
      <c r="D409" s="85" t="str">
        <f>IF(Indice_index!$Z$1=1,"dezembro","December")</f>
        <v>December</v>
      </c>
      <c r="E409" s="85"/>
      <c r="F409" s="85"/>
      <c r="G409" s="85"/>
      <c r="H409" s="85"/>
      <c r="I409" s="85" t="str">
        <f t="shared" si="82"/>
        <v/>
      </c>
      <c r="J409" s="252" t="str">
        <f t="shared" si="83"/>
        <v/>
      </c>
      <c r="K409" s="252" t="str">
        <f t="shared" si="84"/>
        <v/>
      </c>
      <c r="L409" s="221"/>
      <c r="M409" s="221"/>
      <c r="N409" s="221"/>
      <c r="O409" s="221"/>
      <c r="P409" s="221"/>
      <c r="Q409" s="221"/>
      <c r="Z409" s="42"/>
      <c r="AA409" s="42"/>
      <c r="AB409" s="42"/>
    </row>
    <row r="410" spans="3:28" ht="24" customHeight="1">
      <c r="C410" s="285"/>
      <c r="D410" s="285"/>
      <c r="E410" s="285"/>
      <c r="F410" s="285"/>
      <c r="G410" s="285"/>
      <c r="H410" s="285"/>
      <c r="I410" s="285"/>
      <c r="J410" s="285"/>
      <c r="K410" s="285"/>
    </row>
    <row r="411" spans="3:28" ht="15" customHeight="1">
      <c r="C411" s="43"/>
      <c r="D411" s="43"/>
      <c r="E411" s="43"/>
      <c r="F411" s="43"/>
      <c r="G411" s="43"/>
      <c r="H411" s="43"/>
      <c r="I411" s="43"/>
      <c r="J411" s="43"/>
      <c r="K411" s="43"/>
    </row>
    <row r="412" spans="3:28" ht="15" customHeight="1">
      <c r="C412" s="77" t="str">
        <f>IF(Indice_index!$Z$1=1,"1.4 Evolução da Receita, Despesa e Saldo da Segurança Social (valores acumulados)","1.4 Social Security Revenue, Expenditure and Balance Evolution (cumulative values)")</f>
        <v>1.4 Social Security Revenue, Expenditure and Balance Evolution (cumulative values)</v>
      </c>
      <c r="D412" s="37"/>
      <c r="E412" s="37"/>
      <c r="F412" s="37"/>
      <c r="G412" s="37"/>
      <c r="H412" s="37"/>
      <c r="I412" s="37"/>
      <c r="J412" s="38"/>
      <c r="K412" s="81" t="str">
        <f>IF(Indice_index!$Z$1=1,"€ Milhões","€ Millions")</f>
        <v>€ Millions</v>
      </c>
    </row>
    <row r="413" spans="3:28" ht="15" customHeight="1">
      <c r="C413" s="72"/>
      <c r="D413" s="72"/>
      <c r="E413" s="383" t="str">
        <f>IF(Indice_index!$Z$1=1,"Receita efetiva","Effective revenue")</f>
        <v>Effective revenue</v>
      </c>
      <c r="F413" s="383"/>
      <c r="G413" s="383" t="str">
        <f>IF(Indice_index!$Z$1=1,"Despesa  efetiva","Effective expenditure")</f>
        <v>Effective expenditure</v>
      </c>
      <c r="H413" s="383"/>
      <c r="I413" s="383" t="str">
        <f>IF(Indice_index!$Z$1=1,"Saldo global","Overall
balance")</f>
        <v>Overall
balance</v>
      </c>
      <c r="J413" s="385" t="str">
        <f>IF(Indice_index!$Z$1=1,"VH (%)","YOY Change Rate (%)")</f>
        <v>YOY Change Rate (%)</v>
      </c>
      <c r="K413" s="385"/>
    </row>
    <row r="414" spans="3:28" ht="15" customHeight="1">
      <c r="C414" s="73"/>
      <c r="D414" s="75"/>
      <c r="E414" s="384"/>
      <c r="F414" s="384"/>
      <c r="G414" s="384"/>
      <c r="H414" s="384"/>
      <c r="I414" s="384"/>
      <c r="J414" s="60" t="str">
        <f>IF(Indice_index!$Z$1=1,"Receita","Revenue")</f>
        <v>Revenue</v>
      </c>
      <c r="K414" s="74" t="str">
        <f>IF(Indice_index!$Z$1=1,"Despesa","Expenditure")</f>
        <v>Expenditure</v>
      </c>
    </row>
    <row r="415" spans="3:28" s="15" customFormat="1" ht="15.75" customHeight="1">
      <c r="C415" s="23"/>
      <c r="D415" s="24"/>
      <c r="E415" s="18" t="str">
        <f>IF(Indice_index!$Z$1=1,"Ano n-1","Year n-1")</f>
        <v>Year n-1</v>
      </c>
      <c r="F415" s="18" t="str">
        <f>IF(Indice_index!$Z$1=1,"Ano n","Year n")</f>
        <v>Year n</v>
      </c>
      <c r="G415" s="18" t="str">
        <f>IF(Indice_index!$Z$1=1,"Ano n-1","Year n-1")</f>
        <v>Year n-1</v>
      </c>
      <c r="H415" s="18" t="str">
        <f>IF(Indice_index!$Z$1=1,"Ano n","Year n")</f>
        <v>Year n</v>
      </c>
      <c r="I415" s="18" t="str">
        <f>IF(Indice_index!$Z$1=1,"Ano n","Year n")</f>
        <v>Year n</v>
      </c>
      <c r="J415" s="19" t="str">
        <f>IF(Indice_index!$Z$1=1,"Ano n","Year n")</f>
        <v>Year n</v>
      </c>
      <c r="K415" s="19" t="str">
        <f>IF(Indice_index!$Z$1=1,"Ano n","Year n")</f>
        <v>Year n</v>
      </c>
      <c r="L415"/>
      <c r="M415" s="16"/>
      <c r="Z415" s="2"/>
      <c r="AA415" s="2"/>
      <c r="AB415" s="2"/>
    </row>
    <row r="416" spans="3:28" s="15" customFormat="1" ht="15.75" customHeight="1">
      <c r="C416" s="20" t="s">
        <v>2</v>
      </c>
      <c r="D416" s="7" t="str">
        <f>IF(Indice_index!$Z$1=1,"janeiro","January")</f>
        <v>January</v>
      </c>
      <c r="E416" s="27">
        <v>1996.8926432999999</v>
      </c>
      <c r="F416" s="27">
        <v>1926.3779698999999</v>
      </c>
      <c r="G416" s="27">
        <v>1425.6979074999999</v>
      </c>
      <c r="H416" s="27">
        <v>1541.5801919</v>
      </c>
      <c r="I416" s="7">
        <f t="shared" ref="I416:I426" si="85">IF(F416="","",+F416-H416)</f>
        <v>384.79777799999988</v>
      </c>
      <c r="J416" s="22">
        <f t="shared" ref="J416:J427" si="86">IF(F416="","",IF(E416=0,"-",(F416-E416)/E416))</f>
        <v>-3.5312200501409895E-2</v>
      </c>
      <c r="K416" s="22">
        <f t="shared" ref="K416:K427" si="87">IF(H416="","",IF(G416=0,"-",(H416-G416)/G416))</f>
        <v>8.1281093133679955E-2</v>
      </c>
      <c r="L416"/>
      <c r="M416" s="16"/>
      <c r="Z416" s="2"/>
      <c r="AA416" s="2"/>
      <c r="AB416" s="2"/>
    </row>
    <row r="417" spans="3:28" s="15" customFormat="1" ht="15.75" customHeight="1">
      <c r="C417" s="23"/>
      <c r="D417" s="7" t="str">
        <f>IF(Indice_index!$Z$1=1,"fevereiro","February")</f>
        <v>February</v>
      </c>
      <c r="E417" s="27">
        <v>3644.4642370000001</v>
      </c>
      <c r="F417" s="27">
        <v>3710.6738088000002</v>
      </c>
      <c r="G417" s="27">
        <v>2949.9491103</v>
      </c>
      <c r="H417" s="27">
        <v>3105.0225473999999</v>
      </c>
      <c r="I417" s="7">
        <f t="shared" si="85"/>
        <v>605.65126140000029</v>
      </c>
      <c r="J417" s="22">
        <f t="shared" si="86"/>
        <v>1.8167161891126563E-2</v>
      </c>
      <c r="K417" s="22">
        <f t="shared" si="87"/>
        <v>5.2568173653758189E-2</v>
      </c>
      <c r="L417"/>
      <c r="M417" s="16"/>
      <c r="Z417" s="2"/>
      <c r="AA417" s="2"/>
      <c r="AB417" s="2"/>
    </row>
    <row r="418" spans="3:28" s="15" customFormat="1" ht="15.75" customHeight="1">
      <c r="C418" s="23"/>
      <c r="D418" s="7" t="str">
        <f>IF(Indice_index!$Z$1=1,"março","March")</f>
        <v>March</v>
      </c>
      <c r="E418" s="27">
        <v>5291.5660819000004</v>
      </c>
      <c r="F418" s="27">
        <v>5389.3182770000003</v>
      </c>
      <c r="G418" s="27">
        <v>4390.3603233000003</v>
      </c>
      <c r="H418" s="27">
        <v>4684.8547854999997</v>
      </c>
      <c r="I418" s="7">
        <f t="shared" si="85"/>
        <v>704.4634915000006</v>
      </c>
      <c r="J418" s="22">
        <f t="shared" si="86"/>
        <v>1.8473206908322458E-2</v>
      </c>
      <c r="K418" s="22">
        <f t="shared" si="87"/>
        <v>6.7077515400522647E-2</v>
      </c>
      <c r="L418"/>
      <c r="M418" s="16"/>
      <c r="Z418" s="2"/>
      <c r="AA418" s="2"/>
      <c r="AB418" s="2"/>
    </row>
    <row r="419" spans="3:28" s="15" customFormat="1" ht="15.75" customHeight="1">
      <c r="C419" s="23"/>
      <c r="D419" s="7" t="str">
        <f>IF(Indice_index!$Z$1=1,"abril","April")</f>
        <v>April</v>
      </c>
      <c r="E419" s="27">
        <v>7195.8011182</v>
      </c>
      <c r="F419" s="27">
        <v>7235.3765729999996</v>
      </c>
      <c r="G419" s="27">
        <v>5850.3945984000002</v>
      </c>
      <c r="H419" s="27">
        <v>6350.9868558999997</v>
      </c>
      <c r="I419" s="7">
        <f t="shared" si="85"/>
        <v>884.38971709999987</v>
      </c>
      <c r="J419" s="22">
        <f t="shared" si="86"/>
        <v>5.4997983059736329E-3</v>
      </c>
      <c r="K419" s="22">
        <f t="shared" si="87"/>
        <v>8.5565554439166275E-2</v>
      </c>
      <c r="L419"/>
      <c r="M419" s="16"/>
      <c r="Z419" s="2"/>
      <c r="AA419" s="2"/>
      <c r="AB419" s="2"/>
    </row>
    <row r="420" spans="3:28" s="15" customFormat="1" ht="15.75" customHeight="1">
      <c r="C420" s="23"/>
      <c r="D420" s="7" t="str">
        <f>IF(Indice_index!$Z$1=1,"maio","May")</f>
        <v>May</v>
      </c>
      <c r="E420" s="27">
        <v>8870.5789127000007</v>
      </c>
      <c r="F420" s="27">
        <v>9122.5059395999997</v>
      </c>
      <c r="G420" s="27">
        <v>7308.8957681000002</v>
      </c>
      <c r="H420" s="27">
        <v>8018.3076363</v>
      </c>
      <c r="I420" s="7">
        <f t="shared" si="85"/>
        <v>1104.1983032999997</v>
      </c>
      <c r="J420" s="22">
        <f t="shared" si="86"/>
        <v>2.8400291500627454E-2</v>
      </c>
      <c r="K420" s="22">
        <f t="shared" si="87"/>
        <v>9.7061429073357353E-2</v>
      </c>
      <c r="L420"/>
      <c r="M420" s="16"/>
      <c r="Z420" s="2"/>
      <c r="AA420" s="2"/>
      <c r="AB420" s="2"/>
    </row>
    <row r="421" spans="3:28" s="15" customFormat="1" ht="15.75" customHeight="1">
      <c r="C421" s="23"/>
      <c r="D421" s="7" t="str">
        <f>IF(Indice_index!$Z$1=1,"junho","June")</f>
        <v>June</v>
      </c>
      <c r="E421" s="27">
        <v>10649.4351677</v>
      </c>
      <c r="F421" s="27">
        <v>10933.299807400001</v>
      </c>
      <c r="G421" s="27">
        <v>8817.4813711999996</v>
      </c>
      <c r="H421" s="27">
        <v>9754.5895715999995</v>
      </c>
      <c r="I421" s="7">
        <f t="shared" si="85"/>
        <v>1178.7102358000011</v>
      </c>
      <c r="J421" s="22">
        <f t="shared" si="86"/>
        <v>2.6655370470817983E-2</v>
      </c>
      <c r="K421" s="22">
        <f t="shared" si="87"/>
        <v>0.10627844403060711</v>
      </c>
      <c r="L421"/>
      <c r="M421" s="16"/>
      <c r="Z421" s="2"/>
      <c r="AA421" s="2"/>
      <c r="AB421" s="2"/>
    </row>
    <row r="422" spans="3:28" s="15" customFormat="1" ht="15.75" customHeight="1">
      <c r="C422" s="23"/>
      <c r="D422" s="7" t="str">
        <f>IF(Indice_index!$Z$1=1,"julho","July")</f>
        <v>July</v>
      </c>
      <c r="E422" s="27">
        <v>12529.9083878</v>
      </c>
      <c r="F422" s="27">
        <v>12876.901144400001</v>
      </c>
      <c r="G422" s="27">
        <v>11268.075950300001</v>
      </c>
      <c r="H422" s="27">
        <v>12410.4073787</v>
      </c>
      <c r="I422" s="7">
        <f t="shared" si="85"/>
        <v>466.49376570000095</v>
      </c>
      <c r="J422" s="22">
        <f t="shared" si="86"/>
        <v>2.7693159906728219E-2</v>
      </c>
      <c r="K422" s="22">
        <f t="shared" si="87"/>
        <v>0.10137768270629961</v>
      </c>
      <c r="L422"/>
      <c r="M422" s="16"/>
      <c r="Z422" s="2"/>
      <c r="AA422" s="2"/>
      <c r="AB422" s="2"/>
    </row>
    <row r="423" spans="3:28" s="15" customFormat="1" ht="15.75" customHeight="1">
      <c r="C423" s="23"/>
      <c r="D423" s="7" t="str">
        <f>IF(Indice_index!$Z$1=1,"agosto","August")</f>
        <v>August</v>
      </c>
      <c r="E423" s="27">
        <v>14344.0476053</v>
      </c>
      <c r="F423" s="27">
        <v>14762.7927158</v>
      </c>
      <c r="G423" s="27">
        <v>12810.0709405</v>
      </c>
      <c r="H423" s="27">
        <v>14134.7054721</v>
      </c>
      <c r="I423" s="7">
        <f t="shared" si="85"/>
        <v>628.08724369999982</v>
      </c>
      <c r="J423" s="22">
        <f t="shared" si="86"/>
        <v>2.9192953204176298E-2</v>
      </c>
      <c r="K423" s="22">
        <f t="shared" si="87"/>
        <v>0.10340571396931685</v>
      </c>
      <c r="L423"/>
      <c r="M423" s="16"/>
      <c r="Z423" s="2"/>
      <c r="AA423" s="2"/>
      <c r="AB423" s="2"/>
    </row>
    <row r="424" spans="3:28" s="15" customFormat="1" ht="15.75" customHeight="1">
      <c r="C424" s="23"/>
      <c r="D424" s="7" t="str">
        <f>IF(Indice_index!$Z$1=1,"setembro","September")</f>
        <v>September</v>
      </c>
      <c r="E424" s="27">
        <v>16032.2500896</v>
      </c>
      <c r="F424" s="27">
        <v>16879.888337</v>
      </c>
      <c r="G424" s="27">
        <v>14311.266007</v>
      </c>
      <c r="H424" s="27">
        <v>15878.000359600001</v>
      </c>
      <c r="I424" s="7">
        <f t="shared" si="85"/>
        <v>1001.8879773999997</v>
      </c>
      <c r="J424" s="22">
        <f t="shared" si="86"/>
        <v>5.2870822414993184E-2</v>
      </c>
      <c r="K424" s="22">
        <f t="shared" si="87"/>
        <v>0.10947559439071786</v>
      </c>
      <c r="L424"/>
      <c r="M424" s="16"/>
      <c r="Z424" s="2"/>
      <c r="AA424" s="2"/>
      <c r="AB424" s="2"/>
    </row>
    <row r="425" spans="3:28" s="15" customFormat="1" ht="15.75" customHeight="1">
      <c r="C425" s="23"/>
      <c r="D425" s="7" t="str">
        <f>IF(Indice_index!$Z$1=1,"outubro","October")</f>
        <v>October</v>
      </c>
      <c r="E425" s="27">
        <v>17821.041336599999</v>
      </c>
      <c r="F425" s="27">
        <v>18666.800604600001</v>
      </c>
      <c r="G425" s="27">
        <v>15917.8420093</v>
      </c>
      <c r="H425" s="27">
        <v>17667.823152500001</v>
      </c>
      <c r="I425" s="7">
        <f t="shared" si="85"/>
        <v>998.97745209999994</v>
      </c>
      <c r="J425" s="22">
        <f t="shared" si="86"/>
        <v>4.7458465082117388E-2</v>
      </c>
      <c r="K425" s="22">
        <f t="shared" si="87"/>
        <v>0.10993834102496897</v>
      </c>
      <c r="L425"/>
      <c r="M425" s="16"/>
      <c r="Z425" s="2"/>
      <c r="AA425" s="2"/>
      <c r="AB425" s="2"/>
    </row>
    <row r="426" spans="3:28" s="15" customFormat="1" ht="15.75" customHeight="1">
      <c r="C426" s="23"/>
      <c r="D426" s="7" t="str">
        <f>IF(Indice_index!$Z$1=1,"novembro","November")</f>
        <v>November</v>
      </c>
      <c r="E426" s="27">
        <v>19497.4580078</v>
      </c>
      <c r="F426" s="27">
        <v>20568.999378699998</v>
      </c>
      <c r="G426" s="27">
        <v>17574.267047099998</v>
      </c>
      <c r="H426" s="27">
        <v>19471.912109299999</v>
      </c>
      <c r="I426" s="7">
        <f t="shared" si="85"/>
        <v>1097.0872693999991</v>
      </c>
      <c r="J426" s="22">
        <f t="shared" si="86"/>
        <v>5.4958003780355681E-2</v>
      </c>
      <c r="K426" s="22">
        <f t="shared" si="87"/>
        <v>0.10797861766378128</v>
      </c>
      <c r="L426"/>
      <c r="M426" s="16"/>
      <c r="Z426" s="2"/>
      <c r="AA426" s="2"/>
      <c r="AB426" s="2"/>
    </row>
    <row r="427" spans="3:28" s="15" customFormat="1" ht="15.75" customHeight="1">
      <c r="C427" s="23"/>
      <c r="D427" s="24" t="str">
        <f>IF(Indice_index!$Z$1=1,"dezembro","December")</f>
        <v>December</v>
      </c>
      <c r="E427" s="27">
        <v>21649.9</v>
      </c>
      <c r="F427" s="27">
        <v>22849.1</v>
      </c>
      <c r="G427" s="27">
        <v>20038.5</v>
      </c>
      <c r="H427" s="27">
        <v>22269.7</v>
      </c>
      <c r="I427" s="24">
        <f>IF(F427="","",+F427-H427)</f>
        <v>579.39999999999782</v>
      </c>
      <c r="J427" s="22">
        <f t="shared" si="86"/>
        <v>5.5390556076471344E-2</v>
      </c>
      <c r="K427" s="22">
        <f t="shared" si="87"/>
        <v>0.11134565960525991</v>
      </c>
      <c r="L427"/>
      <c r="M427" s="16"/>
      <c r="Z427" s="2"/>
      <c r="AA427" s="2"/>
      <c r="AB427" s="2"/>
    </row>
    <row r="428" spans="3:28" ht="15.75" customHeight="1">
      <c r="C428" s="23"/>
      <c r="D428" s="24"/>
      <c r="E428" s="27"/>
      <c r="F428" s="27"/>
      <c r="G428" s="27"/>
      <c r="H428" s="27"/>
      <c r="I428" s="24"/>
      <c r="J428" s="25"/>
      <c r="K428" s="25"/>
    </row>
    <row r="429" spans="3:28" ht="15.75" customHeight="1">
      <c r="C429" s="20" t="s">
        <v>3</v>
      </c>
      <c r="D429" s="7" t="str">
        <f>IF(Indice_index!$Z$1=1,"janeiro","January")</f>
        <v>January</v>
      </c>
      <c r="E429" s="27">
        <v>1926.9506584000001</v>
      </c>
      <c r="F429" s="27">
        <v>1981.8487273999999</v>
      </c>
      <c r="G429" s="27">
        <v>1543.2234023999999</v>
      </c>
      <c r="H429" s="27">
        <v>1617.6272065000001</v>
      </c>
      <c r="I429" s="7">
        <f t="shared" ref="I429:I437" si="88">IF(F429="","",+F429-H429)</f>
        <v>364.22152089999986</v>
      </c>
      <c r="J429" s="22">
        <f t="shared" ref="J429:J437" si="89">IF(F429="","",IF(E429=0,"-",(F429-E429)/E429))</f>
        <v>2.8489608055446123E-2</v>
      </c>
      <c r="K429" s="22">
        <f>IF(H429="","",IF(G429=0,"-",(H429-G429)/G429))</f>
        <v>4.8213242479532348E-2</v>
      </c>
    </row>
    <row r="430" spans="3:28" ht="15.75" customHeight="1">
      <c r="D430" s="7" t="str">
        <f>IF(Indice_index!$Z$1=1,"fevereiro","February")</f>
        <v>February</v>
      </c>
      <c r="E430" s="27">
        <v>3705.0036458</v>
      </c>
      <c r="F430" s="27">
        <v>3720.4210883000001</v>
      </c>
      <c r="G430" s="27">
        <v>3105.1773079999998</v>
      </c>
      <c r="H430" s="27">
        <v>3310.9460838</v>
      </c>
      <c r="I430" s="7">
        <f t="shared" si="88"/>
        <v>409.47500450000007</v>
      </c>
      <c r="J430" s="22">
        <f t="shared" si="89"/>
        <v>4.1612489416784654E-3</v>
      </c>
      <c r="K430" s="22">
        <f t="shared" ref="K430:K437" si="90">IF(H430="","",IF(G430=0,"-",(H430-G430)/G430))</f>
        <v>6.6266353058123076E-2</v>
      </c>
    </row>
    <row r="431" spans="3:28" ht="15.75" customHeight="1">
      <c r="D431" s="7" t="str">
        <f>IF(Indice_index!$Z$1=1,"março","March")</f>
        <v>March</v>
      </c>
      <c r="E431" s="27">
        <v>5389.4</v>
      </c>
      <c r="F431" s="27">
        <v>5570.6</v>
      </c>
      <c r="G431" s="27">
        <v>4685</v>
      </c>
      <c r="H431" s="27">
        <v>5068</v>
      </c>
      <c r="I431" s="7">
        <f t="shared" si="88"/>
        <v>502.60000000000036</v>
      </c>
      <c r="J431" s="22">
        <f t="shared" si="89"/>
        <v>3.36215534196758E-2</v>
      </c>
      <c r="K431" s="22">
        <f t="shared" si="90"/>
        <v>8.1750266808964786E-2</v>
      </c>
    </row>
    <row r="432" spans="3:28" ht="15.75" customHeight="1">
      <c r="D432" s="7" t="str">
        <f>IF(Indice_index!$Z$1=1,"abril","April")</f>
        <v>April</v>
      </c>
      <c r="E432" s="27">
        <v>7236.0886313000001</v>
      </c>
      <c r="F432" s="27">
        <v>7451.0844378800011</v>
      </c>
      <c r="G432" s="27">
        <v>6356.0472554299995</v>
      </c>
      <c r="H432" s="27">
        <v>6974.99659634</v>
      </c>
      <c r="I432" s="7">
        <f t="shared" si="88"/>
        <v>476.08784154000114</v>
      </c>
      <c r="J432" s="22">
        <f t="shared" si="89"/>
        <v>2.9711604920098382E-2</v>
      </c>
      <c r="K432" s="31">
        <f t="shared" si="90"/>
        <v>9.737960025096247E-2</v>
      </c>
    </row>
    <row r="433" spans="3:28" ht="15.75" customHeight="1">
      <c r="D433" s="7" t="str">
        <f>IF(Indice_index!$Z$1=1,"maio","May")</f>
        <v>May</v>
      </c>
      <c r="E433" s="27">
        <v>9122.7491869199985</v>
      </c>
      <c r="F433" s="27">
        <v>9503.5908958999989</v>
      </c>
      <c r="G433" s="27">
        <v>8018.583124939998</v>
      </c>
      <c r="H433" s="27">
        <v>8783.5905385900023</v>
      </c>
      <c r="I433" s="7">
        <f t="shared" si="88"/>
        <v>720.00035730999662</v>
      </c>
      <c r="J433" s="22">
        <f t="shared" si="89"/>
        <v>4.1746375042957785E-2</v>
      </c>
      <c r="K433" s="31">
        <f t="shared" si="90"/>
        <v>9.5404312922892934E-2</v>
      </c>
    </row>
    <row r="434" spans="3:28" ht="15.75" customHeight="1">
      <c r="D434" s="7" t="str">
        <f>IF(Indice_index!$Z$1=1,"junho","June")</f>
        <v>June</v>
      </c>
      <c r="E434" s="27">
        <v>10933.17429768</v>
      </c>
      <c r="F434" s="27">
        <v>11484.108591630002</v>
      </c>
      <c r="G434" s="27">
        <v>9754.8667649600029</v>
      </c>
      <c r="H434" s="27">
        <v>10535.90807539</v>
      </c>
      <c r="I434" s="7">
        <f t="shared" si="88"/>
        <v>948.20051624000189</v>
      </c>
      <c r="J434" s="22">
        <f t="shared" si="89"/>
        <v>5.039106474932073E-2</v>
      </c>
      <c r="K434" s="31">
        <f t="shared" si="90"/>
        <v>8.0066835278113549E-2</v>
      </c>
    </row>
    <row r="435" spans="3:28" ht="15.75" customHeight="1">
      <c r="D435" s="7" t="str">
        <f>IF(Indice_index!$Z$1=1,"julho","July")</f>
        <v>July</v>
      </c>
      <c r="E435" s="27">
        <v>12875.741117740003</v>
      </c>
      <c r="F435" s="27">
        <v>13808.567682090003</v>
      </c>
      <c r="G435" s="27">
        <v>12410.989768690004</v>
      </c>
      <c r="H435" s="27">
        <v>13334.453361359998</v>
      </c>
      <c r="I435" s="7">
        <f t="shared" si="88"/>
        <v>474.11432073000469</v>
      </c>
      <c r="J435" s="22">
        <f t="shared" si="89"/>
        <v>7.2448378374489489E-2</v>
      </c>
      <c r="K435" s="31">
        <f t="shared" si="90"/>
        <v>7.4406925626485848E-2</v>
      </c>
    </row>
    <row r="436" spans="3:28" ht="15.75" customHeight="1">
      <c r="D436" s="7" t="str">
        <f>IF(Indice_index!$Z$1=1,"agosto","August")</f>
        <v>August</v>
      </c>
      <c r="E436" s="27">
        <v>14763.395171010003</v>
      </c>
      <c r="F436" s="27">
        <v>15765.101172139997</v>
      </c>
      <c r="G436" s="27">
        <v>14134.761505630002</v>
      </c>
      <c r="H436" s="27">
        <v>15104.623455269995</v>
      </c>
      <c r="I436" s="7">
        <f t="shared" si="88"/>
        <v>660.47771687000204</v>
      </c>
      <c r="J436" s="22">
        <f t="shared" si="89"/>
        <v>6.7850652883490153E-2</v>
      </c>
      <c r="K436" s="31">
        <f t="shared" si="90"/>
        <v>6.8615374179018765E-2</v>
      </c>
    </row>
    <row r="437" spans="3:28" ht="15.75" customHeight="1">
      <c r="D437" s="7" t="str">
        <f>IF(Indice_index!$Z$1=1,"setembro","September")</f>
        <v>September</v>
      </c>
      <c r="E437" s="21">
        <v>16880.61526817</v>
      </c>
      <c r="F437" s="21">
        <v>17725.393157790004</v>
      </c>
      <c r="G437" s="21">
        <v>15878.031074769999</v>
      </c>
      <c r="H437" s="21">
        <v>16838.51344947</v>
      </c>
      <c r="I437" s="7">
        <f t="shared" si="88"/>
        <v>886.87970832000428</v>
      </c>
      <c r="J437" s="22">
        <f t="shared" si="89"/>
        <v>5.0044259418251899E-2</v>
      </c>
      <c r="K437" s="31">
        <f t="shared" si="90"/>
        <v>6.0491276920738364E-2</v>
      </c>
    </row>
    <row r="438" spans="3:28" ht="15.75" customHeight="1">
      <c r="D438" s="7" t="str">
        <f>IF(Indice_index!$Z$1=1,"outubro","October")</f>
        <v>October</v>
      </c>
      <c r="E438" s="27">
        <v>18666.163600649998</v>
      </c>
      <c r="F438" s="21">
        <v>19600.069190310005</v>
      </c>
      <c r="G438" s="27">
        <v>17667.846427690005</v>
      </c>
      <c r="H438" s="21">
        <v>18601.218263229999</v>
      </c>
      <c r="I438" s="7">
        <f>IF(F438="","",+F438-H438)</f>
        <v>998.85092708000593</v>
      </c>
      <c r="J438" s="22">
        <f>IF(F438="","",IF(E438=0,"-",(F438-E438)/E438))</f>
        <v>5.0032004949720189E-2</v>
      </c>
      <c r="K438" s="31">
        <f>IF(H438="","",IF(G438=0,"-",(H438-G438)/G438))</f>
        <v>5.2828840196231464E-2</v>
      </c>
    </row>
    <row r="439" spans="3:28" ht="15.75" customHeight="1">
      <c r="D439" s="7" t="str">
        <f>IF(Indice_index!$Z$1=1,"novembro","November")</f>
        <v>November</v>
      </c>
      <c r="E439" s="27">
        <v>20570.630313219994</v>
      </c>
      <c r="F439" s="21">
        <v>21586.383254069999</v>
      </c>
      <c r="G439" s="27">
        <v>19471.997256470007</v>
      </c>
      <c r="H439" s="21">
        <v>20382.286394319995</v>
      </c>
      <c r="I439" s="7">
        <f>IF(F439="","",+F439-H439)</f>
        <v>1204.0968597500032</v>
      </c>
      <c r="J439" s="22">
        <f>IF(F439="","",IF(E439=0,"-",(F439-E439)/E439))</f>
        <v>4.937879517465333E-2</v>
      </c>
      <c r="K439" s="31">
        <f>IF(H439="","",IF(G439=0,"-",(H439-G439)/G439))</f>
        <v>4.6748627059688193E-2</v>
      </c>
    </row>
    <row r="440" spans="3:28" s="15" customFormat="1" ht="15.75" customHeight="1">
      <c r="C440" s="7"/>
      <c r="D440" s="24" t="str">
        <f>IF(Indice_index!$Z$1=1,"dezembro","December")</f>
        <v>December</v>
      </c>
      <c r="E440" s="21">
        <v>22849.15056654</v>
      </c>
      <c r="F440" s="21">
        <v>23836.246570160001</v>
      </c>
      <c r="G440" s="21">
        <v>22269.774235569992</v>
      </c>
      <c r="H440" s="21">
        <v>23185.252108010001</v>
      </c>
      <c r="I440" s="7">
        <f>IF(F440="","",+F440-H440)</f>
        <v>650.99446214999989</v>
      </c>
      <c r="J440" s="22">
        <f>IF(F440="","",IF(E440=0,"-",(F440-E440)/E440))</f>
        <v>4.3200555781950679E-2</v>
      </c>
      <c r="K440" s="31">
        <f>IF(H440="","",IF(G440=0,"-",(H440-G440)/G440))</f>
        <v>4.1108538539999163E-2</v>
      </c>
      <c r="L440"/>
      <c r="M440" s="16"/>
      <c r="Z440" s="2"/>
      <c r="AA440" s="2"/>
      <c r="AB440" s="2"/>
    </row>
    <row r="441" spans="3:28" ht="15.75" customHeight="1">
      <c r="C441" s="23"/>
      <c r="D441" s="24"/>
      <c r="E441" s="12"/>
      <c r="F441" s="12"/>
      <c r="G441" s="28"/>
      <c r="H441" s="28"/>
      <c r="I441" s="24"/>
      <c r="J441" s="22"/>
      <c r="K441" s="31"/>
    </row>
    <row r="442" spans="3:28" ht="15.75" customHeight="1">
      <c r="C442" s="20" t="s">
        <v>4</v>
      </c>
      <c r="D442" s="7" t="str">
        <f>IF(Indice_index!$Z$1=1,"janeiro","January")</f>
        <v>January</v>
      </c>
      <c r="E442" s="12">
        <v>1980.7018442399997</v>
      </c>
      <c r="F442" s="12">
        <v>1994.8362822399995</v>
      </c>
      <c r="G442" s="12">
        <v>1617.8829799100001</v>
      </c>
      <c r="H442" s="29">
        <v>1684.3354851299994</v>
      </c>
      <c r="I442" s="7">
        <f t="shared" ref="I442:I452" si="91">IF(F442="","",+F442-H442)</f>
        <v>310.50079711000012</v>
      </c>
      <c r="J442" s="22">
        <f t="shared" ref="J442:J452" si="92">IF(F442="","",IF(E442=0,"-",(F442-E442)/E442))</f>
        <v>7.1360755487271423E-3</v>
      </c>
      <c r="K442" s="31">
        <f t="shared" ref="K442:K452" si="93">IF(H442="","",IF(G442=0,"-",(H442-G442)/G442))</f>
        <v>4.1073740218032249E-2</v>
      </c>
    </row>
    <row r="443" spans="3:28" ht="15.75" customHeight="1">
      <c r="C443" s="20"/>
      <c r="D443" s="7" t="str">
        <f>IF(Indice_index!$Z$1=1,"fevereiro","February")</f>
        <v>February</v>
      </c>
      <c r="E443" s="12">
        <v>3721.1972781100003</v>
      </c>
      <c r="F443" s="12">
        <v>3852.9162513799993</v>
      </c>
      <c r="G443" s="12">
        <v>3311.30113596</v>
      </c>
      <c r="H443" s="29">
        <v>3371.5302627799992</v>
      </c>
      <c r="I443" s="7">
        <f t="shared" si="91"/>
        <v>481.38598860000002</v>
      </c>
      <c r="J443" s="22">
        <f t="shared" si="92"/>
        <v>3.5396933681758246E-2</v>
      </c>
      <c r="K443" s="31">
        <f t="shared" si="93"/>
        <v>1.8188960878829232E-2</v>
      </c>
    </row>
    <row r="444" spans="3:28" ht="15.75" customHeight="1">
      <c r="C444" s="20"/>
      <c r="D444" s="7" t="str">
        <f>IF(Indice_index!$Z$1=1,"março","March")</f>
        <v>March</v>
      </c>
      <c r="E444" s="12">
        <v>5572.441765630002</v>
      </c>
      <c r="F444" s="12">
        <v>5746.6450140199986</v>
      </c>
      <c r="G444" s="12">
        <v>5069.3282613400015</v>
      </c>
      <c r="H444" s="29">
        <v>5166.9702897599964</v>
      </c>
      <c r="I444" s="7">
        <f t="shared" si="91"/>
        <v>579.67472426000222</v>
      </c>
      <c r="J444" s="22">
        <f t="shared" si="92"/>
        <v>3.1261564627638912E-2</v>
      </c>
      <c r="K444" s="31">
        <f t="shared" si="93"/>
        <v>1.9261334714628372E-2</v>
      </c>
    </row>
    <row r="445" spans="3:28" ht="15.75" customHeight="1">
      <c r="C445" s="20"/>
      <c r="D445" s="7" t="str">
        <f>IF(Indice_index!$Z$1=1,"abril","April")</f>
        <v>April</v>
      </c>
      <c r="E445" s="28">
        <v>7452.4987227299998</v>
      </c>
      <c r="F445" s="28">
        <v>7632.4804911299998</v>
      </c>
      <c r="G445" s="28">
        <v>6976.3941192099983</v>
      </c>
      <c r="H445" s="28">
        <v>6906.118306829997</v>
      </c>
      <c r="I445" s="7">
        <f t="shared" si="91"/>
        <v>726.36218430000281</v>
      </c>
      <c r="J445" s="22">
        <f t="shared" si="92"/>
        <v>2.4150526567828654E-2</v>
      </c>
      <c r="K445" s="31">
        <f t="shared" si="93"/>
        <v>-1.0073371885124988E-2</v>
      </c>
    </row>
    <row r="446" spans="3:28" ht="15.75" customHeight="1">
      <c r="C446" s="20"/>
      <c r="D446" s="7" t="str">
        <f>IF(Indice_index!$Z$1=1,"maio","May")</f>
        <v>May</v>
      </c>
      <c r="E446" s="28">
        <v>9505.1711755499982</v>
      </c>
      <c r="F446" s="28">
        <v>9505.6429989400003</v>
      </c>
      <c r="G446" s="28">
        <v>8785.1211316799981</v>
      </c>
      <c r="H446" s="28">
        <v>8762.4121646799977</v>
      </c>
      <c r="I446" s="7">
        <f t="shared" si="91"/>
        <v>743.23083426000267</v>
      </c>
      <c r="J446" s="22">
        <f t="shared" si="92"/>
        <v>4.9638600009199661E-5</v>
      </c>
      <c r="K446" s="31">
        <f t="shared" si="93"/>
        <v>-2.5849349894686994E-3</v>
      </c>
    </row>
    <row r="447" spans="3:28" ht="15.75" customHeight="1">
      <c r="C447" s="20"/>
      <c r="D447" s="7" t="str">
        <f>IF(Indice_index!$Z$1=1,"junho","June")</f>
        <v>June</v>
      </c>
      <c r="E447" s="28">
        <v>11485.62458926</v>
      </c>
      <c r="F447" s="28">
        <v>11648.67225729</v>
      </c>
      <c r="G447" s="28">
        <v>10537.428734409999</v>
      </c>
      <c r="H447" s="28">
        <v>10567.59654454</v>
      </c>
      <c r="I447" s="7">
        <f>IF(F447="","",+F447-H447)</f>
        <v>1081.0757127500001</v>
      </c>
      <c r="J447" s="22">
        <f>IF(F447="","",IF(E447=0,"-",(F447-E447)/E447))</f>
        <v>1.4195803350778396E-2</v>
      </c>
      <c r="K447" s="31">
        <f>IF(H447="","",IF(G447=0,"-",(H447-G447)/G447))</f>
        <v>2.8629194930151511E-3</v>
      </c>
      <c r="M447" s="30"/>
    </row>
    <row r="448" spans="3:28" ht="15.75" customHeight="1">
      <c r="C448" s="24"/>
      <c r="D448" s="7" t="str">
        <f>IF(Indice_index!$Z$1=1,"julho","July")</f>
        <v>July</v>
      </c>
      <c r="E448" s="28">
        <v>13810.051159730001</v>
      </c>
      <c r="F448" s="28">
        <v>13634.385427020001</v>
      </c>
      <c r="G448" s="28">
        <v>13335.982814590001</v>
      </c>
      <c r="H448" s="28">
        <v>13333.67963488</v>
      </c>
      <c r="I448" s="7">
        <f t="shared" si="91"/>
        <v>300.70579214000099</v>
      </c>
      <c r="J448" s="22">
        <f t="shared" si="92"/>
        <v>-1.2720136274530251E-2</v>
      </c>
      <c r="K448" s="31">
        <f t="shared" si="93"/>
        <v>-1.7270416001746627E-4</v>
      </c>
      <c r="M448" s="30"/>
    </row>
    <row r="449" spans="3:13" ht="15.75" customHeight="1">
      <c r="C449" s="24"/>
      <c r="D449" s="7" t="str">
        <f>IF(Indice_index!$Z$1=1,"agosto","August")</f>
        <v>August</v>
      </c>
      <c r="E449" s="28">
        <v>15766.616709869997</v>
      </c>
      <c r="F449" s="28">
        <v>15810.292052830002</v>
      </c>
      <c r="G449" s="28">
        <v>15106.152937070001</v>
      </c>
      <c r="H449" s="28">
        <v>15076.206869899997</v>
      </c>
      <c r="I449" s="7">
        <f t="shared" si="91"/>
        <v>734.08518293000452</v>
      </c>
      <c r="J449" s="22">
        <f t="shared" si="92"/>
        <v>2.7701150959459696E-3</v>
      </c>
      <c r="K449" s="31">
        <f t="shared" si="93"/>
        <v>-1.9823754793662162E-3</v>
      </c>
      <c r="M449" s="30"/>
    </row>
    <row r="450" spans="3:13" ht="15.75" customHeight="1">
      <c r="C450" s="24"/>
      <c r="D450" s="7" t="str">
        <f>IF(Indice_index!$Z$1=1,"setembro","September")</f>
        <v>September</v>
      </c>
      <c r="E450" s="28">
        <v>17728.279283700002</v>
      </c>
      <c r="F450" s="28">
        <v>17635.31778085</v>
      </c>
      <c r="G450" s="28">
        <v>16839.98155153</v>
      </c>
      <c r="H450" s="28">
        <v>16831.648052839999</v>
      </c>
      <c r="I450" s="7">
        <f t="shared" si="91"/>
        <v>803.66972801000156</v>
      </c>
      <c r="J450" s="22">
        <f t="shared" si="92"/>
        <v>-5.2436844750902122E-3</v>
      </c>
      <c r="K450" s="31">
        <f t="shared" si="93"/>
        <v>-4.9486388476736246E-4</v>
      </c>
      <c r="M450" s="30"/>
    </row>
    <row r="451" spans="3:13" ht="15.75" customHeight="1">
      <c r="C451" s="24"/>
      <c r="D451" s="7" t="str">
        <f>IF(Indice_index!$Z$1=1,"outubro","October")</f>
        <v>October</v>
      </c>
      <c r="E451" s="7">
        <v>19603.361217230002</v>
      </c>
      <c r="F451" s="7">
        <v>19602.812945870006</v>
      </c>
      <c r="G451" s="7">
        <v>18601.964430969998</v>
      </c>
      <c r="H451" s="11">
        <v>18563.868724019998</v>
      </c>
      <c r="I451" s="7">
        <f t="shared" si="91"/>
        <v>1038.944221850008</v>
      </c>
      <c r="J451" s="22">
        <f t="shared" si="92"/>
        <v>-2.7968232280184626E-5</v>
      </c>
      <c r="K451" s="31">
        <f t="shared" si="93"/>
        <v>-2.0479399953359403E-3</v>
      </c>
      <c r="M451" s="30"/>
    </row>
    <row r="452" spans="3:13" ht="15.75" customHeight="1">
      <c r="C452" s="24"/>
      <c r="D452" s="7" t="str">
        <f>IF(Indice_index!$Z$1=1,"novembro","November")</f>
        <v>November</v>
      </c>
      <c r="E452" s="7">
        <v>21586.432200529998</v>
      </c>
      <c r="F452" s="7">
        <v>21327.869570660005</v>
      </c>
      <c r="G452" s="7">
        <v>20382.261737689998</v>
      </c>
      <c r="H452" s="11">
        <v>20364.780081529996</v>
      </c>
      <c r="I452" s="7">
        <f t="shared" si="91"/>
        <v>963.08948913000859</v>
      </c>
      <c r="J452" s="22">
        <f t="shared" si="92"/>
        <v>-1.1978015980966285E-2</v>
      </c>
      <c r="K452" s="31">
        <f t="shared" si="93"/>
        <v>-8.5768971005192971E-4</v>
      </c>
      <c r="M452" s="30"/>
    </row>
    <row r="453" spans="3:13" ht="15.75" customHeight="1">
      <c r="C453" s="24"/>
      <c r="D453" s="12" t="str">
        <f>IF(Indice_index!$Z$1=1,"dezembro","December")</f>
        <v>December</v>
      </c>
      <c r="E453" s="7">
        <v>23857.400163380004</v>
      </c>
      <c r="F453" s="7">
        <v>23537.59332172</v>
      </c>
      <c r="G453" s="7">
        <v>23168.251252540009</v>
      </c>
      <c r="H453" s="7">
        <v>23108.325992809998</v>
      </c>
      <c r="I453" s="7">
        <v>429.26732891000211</v>
      </c>
      <c r="J453" s="7">
        <v>-1.3404932619225297E-2</v>
      </c>
      <c r="K453" s="7">
        <v>-2.5865249421205766E-3</v>
      </c>
      <c r="M453" s="30"/>
    </row>
    <row r="454" spans="3:13" ht="15.75" customHeight="1">
      <c r="C454" s="24"/>
      <c r="D454" s="12"/>
      <c r="H454" s="7"/>
      <c r="M454" s="30"/>
    </row>
    <row r="455" spans="3:13" ht="15.75" customHeight="1">
      <c r="C455" s="23" t="s">
        <v>5</v>
      </c>
      <c r="D455" s="7" t="str">
        <f>IF(Indice_index!$Z$1=1,"janeiro","January")</f>
        <v>January</v>
      </c>
      <c r="E455" s="28">
        <v>1993.7978470399999</v>
      </c>
      <c r="F455" s="28">
        <v>2016.9395548599996</v>
      </c>
      <c r="G455" s="28">
        <v>1683.5343674699993</v>
      </c>
      <c r="H455" s="28">
        <v>1787.9919711900002</v>
      </c>
      <c r="I455" s="12">
        <f t="shared" ref="I455:I465" si="94">IF(F455="","",+F455-H455)</f>
        <v>228.9475836699994</v>
      </c>
      <c r="J455" s="51">
        <f t="shared" ref="J455:J460" si="95">IF(F455="","",IF(E455=0,"-",(F455-E455)/E455))</f>
        <v>1.1606847632199026E-2</v>
      </c>
      <c r="K455" s="52">
        <f t="shared" ref="K455:K460" si="96">IF(H455="","",IF(G455=0,"-",(H455-G455)/G455))</f>
        <v>6.2046612019556711E-2</v>
      </c>
      <c r="M455" s="30"/>
    </row>
    <row r="456" spans="3:13" ht="15.75" customHeight="1">
      <c r="C456" s="23"/>
      <c r="D456" s="7" t="str">
        <f>IF(Indice_index!$Z$1=1,"fevereiro","February")</f>
        <v>February</v>
      </c>
      <c r="E456" s="28">
        <v>3850.9437128099989</v>
      </c>
      <c r="F456" s="28">
        <v>4056.71971162</v>
      </c>
      <c r="G456" s="28">
        <v>3369.6808819499993</v>
      </c>
      <c r="H456" s="28">
        <v>3643.2719772299997</v>
      </c>
      <c r="I456" s="12">
        <f t="shared" si="94"/>
        <v>413.44773439000028</v>
      </c>
      <c r="J456" s="51">
        <f t="shared" si="95"/>
        <v>5.3435213328487774E-2</v>
      </c>
      <c r="K456" s="52">
        <f t="shared" si="96"/>
        <v>8.1191989646709845E-2</v>
      </c>
      <c r="M456" s="30"/>
    </row>
    <row r="457" spans="3:13" ht="15.75" customHeight="1">
      <c r="C457" s="23"/>
      <c r="D457" s="7" t="str">
        <f>IF(Indice_index!$Z$1=1,"março","March")</f>
        <v>March</v>
      </c>
      <c r="E457" s="28">
        <v>5743.6893594099993</v>
      </c>
      <c r="F457" s="28">
        <v>5806.3899459200002</v>
      </c>
      <c r="G457" s="28">
        <v>5164.0147880199984</v>
      </c>
      <c r="H457" s="28">
        <v>5528.1775774400003</v>
      </c>
      <c r="I457" s="12">
        <f t="shared" si="94"/>
        <v>278.2123684799999</v>
      </c>
      <c r="J457" s="51">
        <f t="shared" si="95"/>
        <v>1.0916430640051468E-2</v>
      </c>
      <c r="K457" s="52">
        <f t="shared" si="96"/>
        <v>7.0519315758898179E-2</v>
      </c>
      <c r="M457" s="30"/>
    </row>
    <row r="458" spans="3:13" ht="15.75" customHeight="1">
      <c r="C458" s="23"/>
      <c r="D458" s="7" t="str">
        <f>IF(Indice_index!$Z$1=1,"abril","April")</f>
        <v>April</v>
      </c>
      <c r="E458" s="28">
        <v>7628.567588529997</v>
      </c>
      <c r="F458" s="28">
        <v>7697.4166158300004</v>
      </c>
      <c r="G458" s="28">
        <v>6902.2067657199996</v>
      </c>
      <c r="H458" s="28">
        <v>7422.1091030899997</v>
      </c>
      <c r="I458" s="12">
        <f t="shared" si="94"/>
        <v>275.30751274000067</v>
      </c>
      <c r="J458" s="51">
        <f t="shared" si="95"/>
        <v>9.0251579344360778E-3</v>
      </c>
      <c r="K458" s="52">
        <f t="shared" si="96"/>
        <v>7.5324074606415659E-2</v>
      </c>
      <c r="M458" s="30"/>
    </row>
    <row r="459" spans="3:13" ht="15.75" customHeight="1">
      <c r="C459" s="23"/>
      <c r="D459" s="7" t="str">
        <f>IF(Indice_index!$Z$1=1,"maio","May")</f>
        <v>May</v>
      </c>
      <c r="E459" s="28">
        <v>9500.7615218400024</v>
      </c>
      <c r="F459" s="28">
        <v>9598.6801275299986</v>
      </c>
      <c r="G459" s="28">
        <v>8757.5230634500003</v>
      </c>
      <c r="H459" s="28">
        <v>9283.4096435299998</v>
      </c>
      <c r="I459" s="12">
        <f t="shared" si="94"/>
        <v>315.27048399999876</v>
      </c>
      <c r="J459" s="51">
        <f t="shared" si="95"/>
        <v>1.0306395488919965E-2</v>
      </c>
      <c r="K459" s="52">
        <f t="shared" si="96"/>
        <v>6.0049693991080171E-2</v>
      </c>
      <c r="M459" s="30"/>
    </row>
    <row r="460" spans="3:13" ht="15.75" customHeight="1">
      <c r="C460" s="23"/>
      <c r="D460" s="7" t="str">
        <f>IF(Indice_index!$Z$1=1,"junho","June")</f>
        <v>June</v>
      </c>
      <c r="E460" s="28">
        <v>11642.775585049998</v>
      </c>
      <c r="F460" s="28">
        <v>11429.84272599</v>
      </c>
      <c r="G460" s="28">
        <v>10561.693882630001</v>
      </c>
      <c r="H460" s="28">
        <v>11156.007194150001</v>
      </c>
      <c r="I460" s="12">
        <f t="shared" si="94"/>
        <v>273.83553183999902</v>
      </c>
      <c r="J460" s="51">
        <f t="shared" si="95"/>
        <v>-1.8288839933788315E-2</v>
      </c>
      <c r="K460" s="52">
        <f t="shared" si="96"/>
        <v>5.6270643527873955E-2</v>
      </c>
      <c r="M460" s="30"/>
    </row>
    <row r="461" spans="3:13" ht="15.75" customHeight="1">
      <c r="C461" s="23"/>
      <c r="D461" s="7" t="str">
        <f>IF(Indice_index!$Z$1=1,"julho","July")</f>
        <v>July</v>
      </c>
      <c r="E461" s="28">
        <v>13628.31883907</v>
      </c>
      <c r="F461" s="28">
        <v>13874.462689139998</v>
      </c>
      <c r="G461" s="28">
        <v>13325.895956390001</v>
      </c>
      <c r="H461" s="28">
        <v>13734.814966610002</v>
      </c>
      <c r="I461" s="12">
        <f t="shared" si="94"/>
        <v>139.64772252999683</v>
      </c>
      <c r="J461" s="51">
        <f t="shared" ref="J461:J466" si="97">IF(F461="","",IF(E461=0,"-",(F461-E461)/E461))</f>
        <v>1.8061204245115509E-2</v>
      </c>
      <c r="K461" s="52">
        <f t="shared" ref="K461:K466" si="98">IF(H461="","",IF(G461=0,"-",(H461-G461)/G461))</f>
        <v>3.0686042541396032E-2</v>
      </c>
      <c r="M461" s="30"/>
    </row>
    <row r="462" spans="3:13" ht="15.75" customHeight="1">
      <c r="C462" s="23"/>
      <c r="D462" s="7" t="str">
        <f>IF(Indice_index!$Z$1=1,"agosto","August")</f>
        <v>August</v>
      </c>
      <c r="E462" s="28">
        <v>15795.19962802</v>
      </c>
      <c r="F462" s="28">
        <v>15911.097511919997</v>
      </c>
      <c r="G462" s="28">
        <v>15067.51715743</v>
      </c>
      <c r="H462" s="28">
        <v>15642.34336234</v>
      </c>
      <c r="I462" s="12">
        <f t="shared" si="94"/>
        <v>268.75414957999783</v>
      </c>
      <c r="J462" s="51">
        <f t="shared" si="97"/>
        <v>7.3375384059343931E-3</v>
      </c>
      <c r="K462" s="52">
        <f t="shared" si="98"/>
        <v>3.8150028229869626E-2</v>
      </c>
      <c r="M462" s="30"/>
    </row>
    <row r="463" spans="3:13" ht="15.75" customHeight="1">
      <c r="C463" s="23"/>
      <c r="D463" s="7" t="str">
        <f>IF(Indice_index!$Z$1=1,"setembro","September")</f>
        <v>September</v>
      </c>
      <c r="E463" s="28">
        <v>17625.833886320004</v>
      </c>
      <c r="F463" s="28">
        <v>17678.502423180002</v>
      </c>
      <c r="G463" s="28">
        <v>16822.158317509999</v>
      </c>
      <c r="H463" s="28">
        <v>17434.273757959996</v>
      </c>
      <c r="I463" s="12">
        <f t="shared" si="94"/>
        <v>244.2286652200055</v>
      </c>
      <c r="J463" s="51">
        <f t="shared" si="97"/>
        <v>2.9881444021139453E-3</v>
      </c>
      <c r="K463" s="52">
        <f t="shared" si="98"/>
        <v>3.6387449749111761E-2</v>
      </c>
      <c r="M463" s="30"/>
    </row>
    <row r="464" spans="3:13" ht="15.75" customHeight="1">
      <c r="C464" s="23"/>
      <c r="D464" s="7" t="str">
        <f>IF(Indice_index!$Z$1=1,"outubro","October")</f>
        <v>October</v>
      </c>
      <c r="E464" s="28">
        <v>19592.183923100001</v>
      </c>
      <c r="F464" s="28">
        <v>19492.85743806</v>
      </c>
      <c r="G464" s="28">
        <v>18553.239701250004</v>
      </c>
      <c r="H464" s="28">
        <v>19256.160851750003</v>
      </c>
      <c r="I464" s="12">
        <f t="shared" si="94"/>
        <v>236.69658630999766</v>
      </c>
      <c r="J464" s="51">
        <f t="shared" si="97"/>
        <v>-5.0696995000588437E-3</v>
      </c>
      <c r="K464" s="52">
        <f t="shared" si="98"/>
        <v>3.7886706678652994E-2</v>
      </c>
      <c r="M464" s="30"/>
    </row>
    <row r="465" spans="3:15" ht="15.75" customHeight="1">
      <c r="C465" s="23"/>
      <c r="D465" s="7" t="str">
        <f>IF(Indice_index!$Z$1=1,"novembro","November")</f>
        <v>November</v>
      </c>
      <c r="E465" s="28">
        <v>21316.245875430002</v>
      </c>
      <c r="F465" s="28">
        <v>21236.805954370004</v>
      </c>
      <c r="G465" s="28">
        <v>20353.15681524</v>
      </c>
      <c r="H465" s="28">
        <v>21121.645655999997</v>
      </c>
      <c r="I465" s="12">
        <f t="shared" si="94"/>
        <v>115.16029837000679</v>
      </c>
      <c r="J465" s="51">
        <f t="shared" si="97"/>
        <v>-3.7267313167730146E-3</v>
      </c>
      <c r="K465" s="52">
        <f t="shared" si="98"/>
        <v>3.7757722191997745E-2</v>
      </c>
      <c r="M465" s="30"/>
    </row>
    <row r="466" spans="3:15" ht="15.75" customHeight="1">
      <c r="C466" s="23"/>
      <c r="D466" s="32" t="str">
        <f>IF(Indice_index!$Z$1=1,"dezembro","December")</f>
        <v>December</v>
      </c>
      <c r="E466" s="28">
        <v>23542.592549230001</v>
      </c>
      <c r="F466" s="28">
        <v>24180.345967390003</v>
      </c>
      <c r="G466" s="28">
        <v>23103.15896791</v>
      </c>
      <c r="H466" s="28">
        <v>23767.325134610001</v>
      </c>
      <c r="I466" s="12">
        <f>IF(F466="","",+F466-H466)</f>
        <v>413.02083278000282</v>
      </c>
      <c r="J466" s="51">
        <f t="shared" si="97"/>
        <v>2.7089345271825677E-2</v>
      </c>
      <c r="K466" s="52">
        <f t="shared" si="98"/>
        <v>2.8747850786228813E-2</v>
      </c>
      <c r="M466" s="68"/>
    </row>
    <row r="467" spans="3:15" ht="15.75" customHeight="1">
      <c r="E467" s="28"/>
      <c r="F467" s="28"/>
      <c r="G467" s="28"/>
      <c r="H467" s="28"/>
      <c r="I467" s="12"/>
      <c r="J467" s="51"/>
      <c r="K467" s="52"/>
      <c r="M467" s="68"/>
    </row>
    <row r="468" spans="3:15" ht="15.75" customHeight="1">
      <c r="C468" s="20">
        <v>2013</v>
      </c>
      <c r="D468" s="24" t="str">
        <f>IF(Indice_index!$Z$1=1,"janeiro","January")</f>
        <v>January</v>
      </c>
      <c r="E468" s="24">
        <v>2016.92845751</v>
      </c>
      <c r="F468" s="24">
        <v>2068.1436699599999</v>
      </c>
      <c r="G468" s="24">
        <v>1788.1393527299999</v>
      </c>
      <c r="H468" s="24">
        <v>1927.0954650299998</v>
      </c>
      <c r="I468" s="24">
        <f t="shared" ref="I468:I479" si="99">IF(F468="","",+F468-H468)</f>
        <v>141.04820493000011</v>
      </c>
      <c r="J468" s="205">
        <f t="shared" ref="J468:J479" si="100">IF(F468="","",IF(E468=0,"-",(F468-E468)/E468))</f>
        <v>2.5392676799864095E-2</v>
      </c>
      <c r="K468" s="205">
        <f t="shared" ref="K468:K479" si="101">IF(H468="","",IF(G468=0,"-",(H468-G468)/G468))</f>
        <v>7.7709889941100993E-2</v>
      </c>
      <c r="M468" s="68"/>
      <c r="N468"/>
      <c r="O468"/>
    </row>
    <row r="469" spans="3:15" ht="15.75" customHeight="1">
      <c r="C469" s="23"/>
      <c r="D469" s="7" t="str">
        <f>IF(Indice_index!$Z$1=1,"fevereiro","February")</f>
        <v>February</v>
      </c>
      <c r="E469" s="28">
        <v>4056.7198456199999</v>
      </c>
      <c r="F469" s="28">
        <v>3986.9205790600004</v>
      </c>
      <c r="G469" s="28">
        <v>3643.2742183399992</v>
      </c>
      <c r="H469" s="28">
        <v>3922.3945441699998</v>
      </c>
      <c r="I469" s="12">
        <f t="shared" si="99"/>
        <v>64.526034890000574</v>
      </c>
      <c r="J469" s="51">
        <f t="shared" si="100"/>
        <v>-1.7205838513931669E-2</v>
      </c>
      <c r="K469" s="52">
        <f t="shared" si="101"/>
        <v>7.6612494449341081E-2</v>
      </c>
      <c r="M469" s="68"/>
      <c r="N469"/>
      <c r="O469"/>
    </row>
    <row r="470" spans="3:15" ht="15.75" customHeight="1">
      <c r="C470" s="20"/>
      <c r="D470" s="24" t="str">
        <f>IF(Indice_index!$Z$1=1,"março","March")</f>
        <v>March</v>
      </c>
      <c r="E470" s="24">
        <v>5806.3899461199999</v>
      </c>
      <c r="F470" s="24">
        <v>6134.0282257500003</v>
      </c>
      <c r="G470" s="24">
        <v>5528.1774671299991</v>
      </c>
      <c r="H470" s="24">
        <v>5999.31502877</v>
      </c>
      <c r="I470" s="24">
        <f t="shared" si="99"/>
        <v>134.71319698000025</v>
      </c>
      <c r="J470" s="205">
        <f t="shared" si="100"/>
        <v>5.6427191881753984E-2</v>
      </c>
      <c r="K470" s="205">
        <f t="shared" si="101"/>
        <v>8.5224753445658843E-2</v>
      </c>
      <c r="M470" s="69"/>
      <c r="N470"/>
      <c r="O470"/>
    </row>
    <row r="471" spans="3:15" ht="15.75" customHeight="1">
      <c r="C471" s="20"/>
      <c r="D471" s="24" t="str">
        <f>IF(Indice_index!$Z$1=1,"abril","April")</f>
        <v>April</v>
      </c>
      <c r="E471" s="24">
        <v>7697.4214663899984</v>
      </c>
      <c r="F471" s="24">
        <v>8121.5230206799988</v>
      </c>
      <c r="G471" s="24">
        <v>7422.1091030899997</v>
      </c>
      <c r="H471" s="24">
        <v>8063.1269530600011</v>
      </c>
      <c r="I471" s="24">
        <f t="shared" si="99"/>
        <v>58.396067619997666</v>
      </c>
      <c r="J471" s="205">
        <f t="shared" si="100"/>
        <v>5.5096574371274375E-2</v>
      </c>
      <c r="K471" s="205">
        <f t="shared" si="101"/>
        <v>8.6365996654930666E-2</v>
      </c>
      <c r="M471" s="69"/>
    </row>
    <row r="472" spans="3:15" ht="15.75" customHeight="1">
      <c r="C472" s="20"/>
      <c r="D472" s="24" t="str">
        <f>IF(Indice_index!$Z$1=1,"maio","May")</f>
        <v>May</v>
      </c>
      <c r="E472" s="28">
        <v>9598.6801275299986</v>
      </c>
      <c r="F472" s="28">
        <v>10328.530085469996</v>
      </c>
      <c r="G472" s="28">
        <v>9283.4096435400006</v>
      </c>
      <c r="H472" s="28">
        <v>9997.0277736999997</v>
      </c>
      <c r="I472" s="28">
        <f t="shared" si="99"/>
        <v>331.5023117699966</v>
      </c>
      <c r="J472" s="226">
        <f t="shared" si="100"/>
        <v>7.6036491292871947E-2</v>
      </c>
      <c r="K472" s="226">
        <f t="shared" si="101"/>
        <v>7.6870261850028446E-2</v>
      </c>
      <c r="M472" s="69"/>
      <c r="N472" s="208"/>
    </row>
    <row r="473" spans="3:15" ht="15.75" customHeight="1">
      <c r="C473" s="20"/>
      <c r="D473" s="24" t="str">
        <f>IF(Indice_index!$Z$1=1,"junho","June")</f>
        <v>June</v>
      </c>
      <c r="E473" s="28">
        <v>11429.842725989998</v>
      </c>
      <c r="F473" s="28">
        <v>12382.62343942</v>
      </c>
      <c r="G473" s="28">
        <v>11156.007194149999</v>
      </c>
      <c r="H473" s="28">
        <v>11964.521080439999</v>
      </c>
      <c r="I473" s="28">
        <f t="shared" si="99"/>
        <v>418.10235898000064</v>
      </c>
      <c r="J473" s="226">
        <f t="shared" si="100"/>
        <v>8.3359039688577746E-2</v>
      </c>
      <c r="K473" s="226">
        <f t="shared" si="101"/>
        <v>7.2473410264020793E-2</v>
      </c>
      <c r="M473" s="69"/>
      <c r="N473" s="208"/>
    </row>
    <row r="474" spans="3:15" ht="15.75" customHeight="1">
      <c r="C474" s="20"/>
      <c r="D474" s="33" t="str">
        <f>IF(Indice_index!$Z$1=1,"julho","July")</f>
        <v>July</v>
      </c>
      <c r="E474" s="33">
        <v>13874.46268914</v>
      </c>
      <c r="F474" s="33">
        <v>14907.64584347</v>
      </c>
      <c r="G474" s="33">
        <v>13734.821367559998</v>
      </c>
      <c r="H474" s="33">
        <v>14735.363023219998</v>
      </c>
      <c r="I474" s="33">
        <f t="shared" si="99"/>
        <v>172.28282025000226</v>
      </c>
      <c r="J474" s="206">
        <f t="shared" si="100"/>
        <v>7.4466534487040423E-2</v>
      </c>
      <c r="K474" s="206">
        <f t="shared" si="101"/>
        <v>7.2847081799196814E-2</v>
      </c>
      <c r="M474" s="69"/>
      <c r="N474" s="208"/>
    </row>
    <row r="475" spans="3:15" ht="15.75" customHeight="1">
      <c r="C475" s="20"/>
      <c r="D475" s="33" t="str">
        <f>IF(Indice_index!$Z$1=1,"agosto","August")</f>
        <v>August</v>
      </c>
      <c r="E475" s="33">
        <v>15911.119858469996</v>
      </c>
      <c r="F475" s="33">
        <v>17161.403245190002</v>
      </c>
      <c r="G475" s="33">
        <v>15642.34499336</v>
      </c>
      <c r="H475" s="33">
        <v>16669.992650600001</v>
      </c>
      <c r="I475" s="33">
        <f t="shared" si="99"/>
        <v>491.41059459000098</v>
      </c>
      <c r="J475" s="206">
        <f t="shared" si="100"/>
        <v>7.857921993180389E-2</v>
      </c>
      <c r="K475" s="206">
        <f t="shared" si="101"/>
        <v>6.5696521696473609E-2</v>
      </c>
      <c r="M475" s="69"/>
      <c r="N475" s="208"/>
    </row>
    <row r="476" spans="3:15" ht="15.75" customHeight="1">
      <c r="C476" s="49"/>
      <c r="D476" s="33" t="str">
        <f>IF(Indice_index!$Z$1=1,"setembro","September")</f>
        <v>September</v>
      </c>
      <c r="E476" s="33">
        <v>17678.502479679999</v>
      </c>
      <c r="F476" s="33">
        <v>19008.002672300001</v>
      </c>
      <c r="G476" s="33">
        <v>17434.273757949999</v>
      </c>
      <c r="H476" s="33">
        <v>18580.500394619998</v>
      </c>
      <c r="I476" s="33">
        <f t="shared" si="99"/>
        <v>427.50227768000332</v>
      </c>
      <c r="J476" s="206">
        <f t="shared" si="100"/>
        <v>7.5204344607138207E-2</v>
      </c>
      <c r="K476" s="206">
        <f t="shared" si="101"/>
        <v>6.5745591275192708E-2</v>
      </c>
      <c r="M476" s="69"/>
      <c r="N476" s="208"/>
    </row>
    <row r="477" spans="3:15" ht="15.75" customHeight="1">
      <c r="C477" s="49"/>
      <c r="D477" s="33" t="str">
        <f>IF(Indice_index!$Z$1=1,"outubro","October")</f>
        <v>October</v>
      </c>
      <c r="E477" s="33">
        <v>19492.857494560001</v>
      </c>
      <c r="F477" s="33">
        <v>21093.17873113</v>
      </c>
      <c r="G477" s="33">
        <v>19256.160851740002</v>
      </c>
      <c r="H477" s="33">
        <v>20542.694277539995</v>
      </c>
      <c r="I477" s="33">
        <f t="shared" si="99"/>
        <v>550.4844535900047</v>
      </c>
      <c r="J477" s="206">
        <f t="shared" si="100"/>
        <v>8.209782670481279E-2</v>
      </c>
      <c r="K477" s="206">
        <f t="shared" si="101"/>
        <v>6.6811522592975264E-2</v>
      </c>
      <c r="M477" s="69"/>
      <c r="N477" s="208"/>
    </row>
    <row r="478" spans="3:15" ht="15.75" customHeight="1">
      <c r="C478" s="49"/>
      <c r="D478" s="33" t="str">
        <f>IF(Indice_index!$Z$1=1,"novembro","November")</f>
        <v>November</v>
      </c>
      <c r="E478" s="33">
        <v>21236.80595437</v>
      </c>
      <c r="F478" s="33">
        <v>22943.488604979997</v>
      </c>
      <c r="G478" s="33">
        <v>21121.64565599999</v>
      </c>
      <c r="H478" s="33">
        <v>22507.486921409996</v>
      </c>
      <c r="I478" s="33">
        <f t="shared" si="99"/>
        <v>436.00168357000075</v>
      </c>
      <c r="J478" s="206">
        <f t="shared" si="100"/>
        <v>8.0364375616419126E-2</v>
      </c>
      <c r="K478" s="206">
        <f t="shared" si="101"/>
        <v>6.56123716864047E-2</v>
      </c>
      <c r="M478" s="69"/>
      <c r="N478" s="208"/>
    </row>
    <row r="479" spans="3:15" ht="15.75" customHeight="1">
      <c r="C479" s="49"/>
      <c r="D479" s="33" t="str">
        <f>IF(Indice_index!$Z$1=1,"dezembro","December")</f>
        <v>December</v>
      </c>
      <c r="E479" s="33">
        <v>24192.245710929994</v>
      </c>
      <c r="F479" s="33">
        <v>25336.481583359993</v>
      </c>
      <c r="G479" s="33">
        <v>23760.782702559998</v>
      </c>
      <c r="H479" s="33">
        <v>24857.870727289996</v>
      </c>
      <c r="I479" s="33">
        <f t="shared" si="99"/>
        <v>478.61085606999768</v>
      </c>
      <c r="J479" s="206">
        <f t="shared" si="100"/>
        <v>4.7297629418216289E-2</v>
      </c>
      <c r="K479" s="206">
        <f t="shared" si="101"/>
        <v>4.6172217408132626E-2</v>
      </c>
      <c r="M479" s="69"/>
      <c r="N479" s="208"/>
    </row>
    <row r="480" spans="3:15" ht="15.75" customHeight="1">
      <c r="E480" s="28"/>
      <c r="F480" s="28"/>
      <c r="G480" s="28"/>
      <c r="H480" s="28"/>
      <c r="I480" s="12"/>
      <c r="J480" s="51"/>
      <c r="K480" s="52"/>
      <c r="M480" s="68"/>
    </row>
    <row r="481" spans="3:15" ht="15.75" customHeight="1">
      <c r="C481" s="20" t="s">
        <v>16</v>
      </c>
      <c r="D481" s="24" t="str">
        <f>IF(Indice_index!$Z$1=1,"janeiro","January")</f>
        <v>January</v>
      </c>
      <c r="E481" s="24">
        <v>2068.1317907400003</v>
      </c>
      <c r="F481" s="24">
        <v>2083.5382497099999</v>
      </c>
      <c r="G481" s="24">
        <v>1927.0954650300002</v>
      </c>
      <c r="H481" s="24">
        <v>1948.0417640799999</v>
      </c>
      <c r="I481" s="24">
        <f t="shared" ref="I481:I490" si="102">IF(F481="","",+F481-H481)</f>
        <v>135.49648563000005</v>
      </c>
      <c r="J481" s="205">
        <f t="shared" ref="J481:J490" si="103">IF(F481="","",IF(E481=0,"-",(F481-E481)/E481))</f>
        <v>7.4494570602229729E-3</v>
      </c>
      <c r="K481" s="205">
        <f t="shared" ref="K481:K490" si="104">IF(H481="","",IF(G481=0,"-",(H481-G481)/G481))</f>
        <v>1.0869362431753514E-2</v>
      </c>
      <c r="M481" s="68"/>
      <c r="N481"/>
      <c r="O481"/>
    </row>
    <row r="482" spans="3:15" ht="15.75" customHeight="1">
      <c r="C482" s="23"/>
      <c r="D482" s="7" t="str">
        <f>IF(Indice_index!$Z$1=1,"fevereiro","February")</f>
        <v>February</v>
      </c>
      <c r="E482" s="28">
        <v>3986.9</v>
      </c>
      <c r="F482" s="28">
        <v>3976.1</v>
      </c>
      <c r="G482" s="28">
        <v>3922.4</v>
      </c>
      <c r="H482" s="28">
        <v>3881.6</v>
      </c>
      <c r="I482" s="12">
        <f t="shared" si="102"/>
        <v>94.5</v>
      </c>
      <c r="J482" s="51">
        <f t="shared" si="103"/>
        <v>-2.7088715543405104E-3</v>
      </c>
      <c r="K482" s="52">
        <f t="shared" si="104"/>
        <v>-1.0401794819498312E-2</v>
      </c>
      <c r="M482" s="68"/>
      <c r="N482"/>
      <c r="O482"/>
    </row>
    <row r="483" spans="3:15" ht="15.75" customHeight="1">
      <c r="C483" s="20"/>
      <c r="D483" s="24" t="str">
        <f>IF(Indice_index!$Z$1=1,"março","March")</f>
        <v>March</v>
      </c>
      <c r="E483" s="24">
        <v>6134</v>
      </c>
      <c r="F483" s="24">
        <v>5998.5</v>
      </c>
      <c r="G483" s="24">
        <v>5999.3</v>
      </c>
      <c r="H483" s="24">
        <v>5924.3</v>
      </c>
      <c r="I483" s="24">
        <f t="shared" si="102"/>
        <v>74.199999999999818</v>
      </c>
      <c r="J483" s="205">
        <f t="shared" si="103"/>
        <v>-2.2089990218454515E-2</v>
      </c>
      <c r="K483" s="205">
        <f t="shared" si="104"/>
        <v>-1.2501458503492074E-2</v>
      </c>
      <c r="M483" s="69"/>
      <c r="N483"/>
      <c r="O483"/>
    </row>
    <row r="484" spans="3:15" ht="15.75" customHeight="1">
      <c r="C484" s="20"/>
      <c r="D484" s="24" t="str">
        <f>IF(Indice_index!$Z$1=1,"abril","April")</f>
        <v>April</v>
      </c>
      <c r="E484" s="24">
        <v>8121.5</v>
      </c>
      <c r="F484" s="24">
        <v>7945.3</v>
      </c>
      <c r="G484" s="24">
        <v>8063.1</v>
      </c>
      <c r="H484" s="24">
        <v>7895.1</v>
      </c>
      <c r="I484" s="24">
        <f t="shared" si="102"/>
        <v>50.199999999999818</v>
      </c>
      <c r="J484" s="205">
        <f t="shared" si="103"/>
        <v>-2.1695499599827597E-2</v>
      </c>
      <c r="K484" s="205">
        <f t="shared" si="104"/>
        <v>-2.0835658741675037E-2</v>
      </c>
      <c r="M484" s="69"/>
    </row>
    <row r="485" spans="3:15" ht="15.75" customHeight="1">
      <c r="C485" s="20"/>
      <c r="D485" s="24" t="str">
        <f>IF(Indice_index!$Z$1=1,"maio","May")</f>
        <v>May</v>
      </c>
      <c r="E485" s="28">
        <v>10328.53008547</v>
      </c>
      <c r="F485" s="28">
        <v>10158.047307030001</v>
      </c>
      <c r="G485" s="28">
        <v>9997.0278366999992</v>
      </c>
      <c r="H485" s="28">
        <v>9819.6660434099977</v>
      </c>
      <c r="I485" s="28">
        <f t="shared" si="102"/>
        <v>338.38126362000366</v>
      </c>
      <c r="J485" s="226">
        <f t="shared" si="103"/>
        <v>-1.6506005891373726E-2</v>
      </c>
      <c r="K485" s="226">
        <f t="shared" si="104"/>
        <v>-1.7741452378364921E-2</v>
      </c>
      <c r="M485" s="69"/>
      <c r="N485" s="208"/>
    </row>
    <row r="486" spans="3:15" ht="15.75" customHeight="1">
      <c r="C486" s="20"/>
      <c r="D486" s="24" t="str">
        <f>IF(Indice_index!$Z$1=1,"junho","June")</f>
        <v>June</v>
      </c>
      <c r="E486" s="28">
        <v>12382.62343942</v>
      </c>
      <c r="F486" s="28">
        <v>12198.94653662</v>
      </c>
      <c r="G486" s="28">
        <v>11964.521080439999</v>
      </c>
      <c r="H486" s="28">
        <v>11728.962881749998</v>
      </c>
      <c r="I486" s="28">
        <f t="shared" si="102"/>
        <v>469.98365487000228</v>
      </c>
      <c r="J486" s="226">
        <f t="shared" si="103"/>
        <v>-1.4833440078236221E-2</v>
      </c>
      <c r="K486" s="226">
        <f t="shared" si="104"/>
        <v>-1.968805914639575E-2</v>
      </c>
      <c r="M486" s="69"/>
      <c r="N486" s="208"/>
    </row>
    <row r="487" spans="3:15" ht="15.75" customHeight="1">
      <c r="C487" s="20"/>
      <c r="D487" s="33" t="str">
        <f>IF(Indice_index!$Z$1=1,"julho","July")</f>
        <v>July</v>
      </c>
      <c r="E487" s="33">
        <v>14907.64584347</v>
      </c>
      <c r="F487" s="33">
        <v>14984.821136209999</v>
      </c>
      <c r="G487" s="33">
        <v>14735.363023219998</v>
      </c>
      <c r="H487" s="33">
        <v>14718.659164629998</v>
      </c>
      <c r="I487" s="33">
        <f t="shared" si="102"/>
        <v>266.16197158000068</v>
      </c>
      <c r="J487" s="206">
        <f t="shared" si="103"/>
        <v>5.1768933572972197E-3</v>
      </c>
      <c r="K487" s="206">
        <f t="shared" si="104"/>
        <v>-1.1335898928093674E-3</v>
      </c>
      <c r="M487" s="69"/>
      <c r="N487" s="208"/>
    </row>
    <row r="488" spans="3:15" ht="15.75" customHeight="1">
      <c r="C488" s="20"/>
      <c r="D488" s="33" t="str">
        <f>IF(Indice_index!$Z$1=1,"agosto","August")</f>
        <v>August</v>
      </c>
      <c r="E488" s="33">
        <v>17161.403245190002</v>
      </c>
      <c r="F488" s="33">
        <v>17035.940982200002</v>
      </c>
      <c r="G488" s="33">
        <v>16669.992650600001</v>
      </c>
      <c r="H488" s="33">
        <v>16625.60900104</v>
      </c>
      <c r="I488" s="33">
        <f t="shared" si="102"/>
        <v>410.33198116000131</v>
      </c>
      <c r="J488" s="206">
        <f t="shared" si="103"/>
        <v>-7.310722858584715E-3</v>
      </c>
      <c r="K488" s="206">
        <f t="shared" si="104"/>
        <v>-2.6624876501312243E-3</v>
      </c>
      <c r="M488" s="69"/>
      <c r="N488" s="208"/>
    </row>
    <row r="489" spans="3:15" ht="15.75" customHeight="1">
      <c r="C489" s="49"/>
      <c r="D489" s="33" t="str">
        <f>IF(Indice_index!$Z$1=1,"setembro","September")</f>
        <v>September</v>
      </c>
      <c r="E489" s="33">
        <v>19008.002672300001</v>
      </c>
      <c r="F489" s="33">
        <v>18989.748869110001</v>
      </c>
      <c r="G489" s="33">
        <v>18580.500394620001</v>
      </c>
      <c r="H489" s="33">
        <v>18490.955543700002</v>
      </c>
      <c r="I489" s="33">
        <f t="shared" si="102"/>
        <v>498.79332540999894</v>
      </c>
      <c r="J489" s="206">
        <f t="shared" si="103"/>
        <v>-9.6032200251114472E-4</v>
      </c>
      <c r="K489" s="206">
        <f t="shared" si="104"/>
        <v>-4.8192916777379888E-3</v>
      </c>
      <c r="M489" s="69"/>
      <c r="N489" s="208"/>
    </row>
    <row r="490" spans="3:15" ht="15.75" customHeight="1">
      <c r="C490" s="49"/>
      <c r="D490" s="33" t="str">
        <f>IF(Indice_index!$Z$1=1,"outubro","October")</f>
        <v>October</v>
      </c>
      <c r="E490" s="33">
        <v>21093.17873113</v>
      </c>
      <c r="F490" s="33">
        <v>20894.195551000004</v>
      </c>
      <c r="G490" s="33">
        <v>20542.694277540006</v>
      </c>
      <c r="H490" s="33">
        <v>20381.708759709989</v>
      </c>
      <c r="I490" s="33">
        <f t="shared" si="102"/>
        <v>512.48679129001539</v>
      </c>
      <c r="J490" s="206">
        <f t="shared" si="103"/>
        <v>-9.4335321701100126E-3</v>
      </c>
      <c r="K490" s="206">
        <f t="shared" si="104"/>
        <v>-7.8366311475524149E-3</v>
      </c>
      <c r="M490" s="69"/>
      <c r="N490" s="208"/>
    </row>
    <row r="491" spans="3:15" ht="15.75" customHeight="1">
      <c r="C491" s="49"/>
      <c r="D491" s="33" t="str">
        <f>IF(Indice_index!$Z$1=1,"novembro","November")</f>
        <v>November</v>
      </c>
      <c r="E491" s="33">
        <v>22943.488604979997</v>
      </c>
      <c r="F491" s="33">
        <v>22683.467954440006</v>
      </c>
      <c r="G491" s="33">
        <v>22507.486921409993</v>
      </c>
      <c r="H491" s="33">
        <v>22292.152215909999</v>
      </c>
      <c r="I491" s="33">
        <f>IF(F491="","",+F491-H491)</f>
        <v>391.31573853000737</v>
      </c>
      <c r="J491" s="206">
        <f>IF(F491="","",IF(E491=0,"-",(F491-E491)/E491))</f>
        <v>-1.1333091275559214E-2</v>
      </c>
      <c r="K491" s="206">
        <f>IF(H491="","",IF(G491=0,"-",(H491-G491)/G491))</f>
        <v>-9.5672478341044514E-3</v>
      </c>
      <c r="M491" s="69"/>
      <c r="N491" s="208"/>
    </row>
    <row r="492" spans="3:15" ht="15.75" customHeight="1">
      <c r="C492" s="49"/>
      <c r="D492" s="33" t="str">
        <f>IF(Indice_index!$Z$1=1,"dezembro","December")</f>
        <v>December</v>
      </c>
      <c r="E492" s="33">
        <v>25383.389481289996</v>
      </c>
      <c r="F492" s="33">
        <v>24669.50474919</v>
      </c>
      <c r="G492" s="33">
        <v>24894.255083469998</v>
      </c>
      <c r="H492" s="33">
        <v>24250.199606960014</v>
      </c>
      <c r="I492" s="33">
        <f>IF(F492="","",+F492-H492)</f>
        <v>419.30514222998681</v>
      </c>
      <c r="J492" s="206">
        <f>IF(F492="","",IF(E492=0,"-",(F492-E492)/E492))</f>
        <v>-2.8124090071824238E-2</v>
      </c>
      <c r="K492" s="206">
        <f>IF(H492="","",IF(G492=0,"-",(H492-G492)/G492))</f>
        <v>-2.5871650882923692E-2</v>
      </c>
      <c r="M492" s="69"/>
      <c r="N492" s="208"/>
    </row>
    <row r="493" spans="3:15" ht="15.75" customHeight="1">
      <c r="E493" s="28"/>
      <c r="F493" s="28"/>
      <c r="G493" s="28"/>
      <c r="H493" s="28"/>
      <c r="I493" s="12"/>
      <c r="J493" s="51"/>
      <c r="K493" s="52"/>
      <c r="M493" s="68"/>
    </row>
    <row r="494" spans="3:15" ht="15.75" customHeight="1">
      <c r="C494" s="20" t="s">
        <v>23</v>
      </c>
      <c r="D494" s="24" t="str">
        <f>IF(Indice_index!$Z$1=1,"janeiro","January")</f>
        <v>January</v>
      </c>
      <c r="E494" s="24">
        <v>2083.5382497100004</v>
      </c>
      <c r="F494" s="24">
        <v>2182.9860852699999</v>
      </c>
      <c r="G494" s="24">
        <v>1948.3449064199999</v>
      </c>
      <c r="H494" s="24">
        <v>1930.0894372400005</v>
      </c>
      <c r="I494" s="24">
        <f t="shared" ref="I494" si="105">IF(F494="","",+F494-H494)</f>
        <v>252.89664802999937</v>
      </c>
      <c r="J494" s="205">
        <f t="shared" ref="J494:J503" si="106">IF(F494="","",IF(E494=0,"-",(F494-E494)/E494))</f>
        <v>4.7730266326447925E-2</v>
      </c>
      <c r="K494" s="205">
        <f t="shared" ref="K494:K503" si="107">IF(H494="","",IF(G494=0,"-",(H494-G494)/G494))</f>
        <v>-9.369731775850227E-3</v>
      </c>
      <c r="M494" s="68"/>
      <c r="N494"/>
      <c r="O494"/>
    </row>
    <row r="495" spans="3:15" ht="15.75" customHeight="1">
      <c r="C495" s="23"/>
      <c r="D495" s="7" t="str">
        <f>IF(Indice_index!$Z$1=1,"fevereiro","February")</f>
        <v>February</v>
      </c>
      <c r="E495" s="28">
        <v>3976.1467374900017</v>
      </c>
      <c r="F495" s="28">
        <v>4183.4583745299997</v>
      </c>
      <c r="G495" s="28">
        <v>3881.614080809999</v>
      </c>
      <c r="H495" s="28">
        <v>3801.4849221799996</v>
      </c>
      <c r="I495" s="12">
        <f>IF(F495="","",+F495-H495)</f>
        <v>381.97345235000012</v>
      </c>
      <c r="J495" s="51">
        <f t="shared" si="106"/>
        <v>5.2138829557096873E-2</v>
      </c>
      <c r="K495" s="52">
        <f t="shared" si="107"/>
        <v>-2.0643257408340405E-2</v>
      </c>
      <c r="M495" s="68"/>
      <c r="N495"/>
      <c r="O495"/>
    </row>
    <row r="496" spans="3:15" ht="15.75" customHeight="1">
      <c r="C496" s="20"/>
      <c r="D496" s="24" t="str">
        <f>IF(Indice_index!$Z$1=1,"março","March")</f>
        <v>March</v>
      </c>
      <c r="E496" s="24">
        <v>5998.5379926299975</v>
      </c>
      <c r="F496" s="24">
        <v>6035.9124212299994</v>
      </c>
      <c r="G496" s="24">
        <v>5924.33080909</v>
      </c>
      <c r="H496" s="24">
        <v>5625.0303766100014</v>
      </c>
      <c r="I496" s="24">
        <f t="shared" ref="I496:I503" si="108">IF(F496="","",+F496-H496)</f>
        <v>410.88204461999794</v>
      </c>
      <c r="J496" s="205">
        <f t="shared" si="106"/>
        <v>6.230589627992918E-3</v>
      </c>
      <c r="K496" s="205">
        <f t="shared" si="107"/>
        <v>-5.0520546898017035E-2</v>
      </c>
      <c r="M496" s="69"/>
      <c r="N496"/>
      <c r="O496"/>
    </row>
    <row r="497" spans="3:15" ht="15.75" customHeight="1">
      <c r="C497" s="20"/>
      <c r="D497" s="24" t="str">
        <f>IF(Indice_index!$Z$1=1,"abril","April")</f>
        <v>April</v>
      </c>
      <c r="E497" s="24">
        <v>7945.3164578900005</v>
      </c>
      <c r="F497" s="24">
        <v>8022.2412280299995</v>
      </c>
      <c r="G497" s="24">
        <v>7895.1220031300008</v>
      </c>
      <c r="H497" s="24">
        <v>7455.3851960300008</v>
      </c>
      <c r="I497" s="24">
        <f t="shared" si="108"/>
        <v>566.85603199999878</v>
      </c>
      <c r="J497" s="205">
        <f t="shared" si="106"/>
        <v>9.6817754897112803E-3</v>
      </c>
      <c r="K497" s="205">
        <f t="shared" si="107"/>
        <v>-5.569727825936921E-2</v>
      </c>
      <c r="M497" s="69"/>
    </row>
    <row r="498" spans="3:15" ht="15.75" customHeight="1">
      <c r="C498" s="20"/>
      <c r="D498" s="24" t="str">
        <f>IF(Indice_index!$Z$1=1,"maio","May")</f>
        <v>May</v>
      </c>
      <c r="E498" s="28">
        <v>10158.04730703</v>
      </c>
      <c r="F498" s="28">
        <v>9914.8233579700027</v>
      </c>
      <c r="G498" s="28">
        <v>9819.6660434099995</v>
      </c>
      <c r="H498" s="28">
        <v>9242.1035910999999</v>
      </c>
      <c r="I498" s="28">
        <f t="shared" si="108"/>
        <v>672.71976687000279</v>
      </c>
      <c r="J498" s="226">
        <f t="shared" si="106"/>
        <v>-2.3943966956293927E-2</v>
      </c>
      <c r="K498" s="226">
        <f t="shared" si="107"/>
        <v>-5.8816913910998338E-2</v>
      </c>
      <c r="M498" s="69"/>
      <c r="N498" s="208"/>
    </row>
    <row r="499" spans="3:15" ht="15.75" customHeight="1">
      <c r="C499" s="20"/>
      <c r="D499" s="24" t="str">
        <f>IF(Indice_index!$Z$1=1,"junho","June")</f>
        <v>June</v>
      </c>
      <c r="E499" s="28">
        <v>12198.94653662</v>
      </c>
      <c r="F499" s="28">
        <v>11999.442430489999</v>
      </c>
      <c r="G499" s="28">
        <v>11728.962881749996</v>
      </c>
      <c r="H499" s="28">
        <v>11084.50227055</v>
      </c>
      <c r="I499" s="28">
        <f t="shared" si="108"/>
        <v>914.94015993999892</v>
      </c>
      <c r="J499" s="226">
        <f t="shared" si="106"/>
        <v>-1.6354207761392393E-2</v>
      </c>
      <c r="K499" s="226">
        <f t="shared" si="107"/>
        <v>-5.4946086682801494E-2</v>
      </c>
      <c r="M499" s="69"/>
      <c r="N499" s="208"/>
    </row>
    <row r="500" spans="3:15" ht="15.75" customHeight="1">
      <c r="C500" s="20"/>
      <c r="D500" s="33" t="str">
        <f>IF(Indice_index!$Z$1=1,"julho","July")</f>
        <v>July</v>
      </c>
      <c r="E500" s="33">
        <v>14984.821136209997</v>
      </c>
      <c r="F500" s="33">
        <v>14678.777503579997</v>
      </c>
      <c r="G500" s="33">
        <v>14718.659164629998</v>
      </c>
      <c r="H500" s="33">
        <v>14048.028929359998</v>
      </c>
      <c r="I500" s="33">
        <f t="shared" si="108"/>
        <v>630.74857421999877</v>
      </c>
      <c r="J500" s="206">
        <f t="shared" si="106"/>
        <v>-2.04235759538339E-2</v>
      </c>
      <c r="K500" s="206">
        <f t="shared" si="107"/>
        <v>-4.5563269572922331E-2</v>
      </c>
      <c r="M500" s="69"/>
      <c r="N500" s="208"/>
    </row>
    <row r="501" spans="3:15" ht="15.75" customHeight="1">
      <c r="C501" s="20"/>
      <c r="D501" s="33" t="str">
        <f>IF(Indice_index!$Z$1=1,"agosto","August")</f>
        <v>August</v>
      </c>
      <c r="E501" s="33">
        <v>17035.940982199998</v>
      </c>
      <c r="F501" s="33">
        <v>16688.065277440008</v>
      </c>
      <c r="G501" s="33">
        <v>16625.609001039993</v>
      </c>
      <c r="H501" s="33">
        <v>15881.823384699996</v>
      </c>
      <c r="I501" s="33">
        <f t="shared" si="108"/>
        <v>806.24189274001219</v>
      </c>
      <c r="J501" s="206">
        <f t="shared" si="106"/>
        <v>-2.0420105066310579E-2</v>
      </c>
      <c r="K501" s="206">
        <f t="shared" si="107"/>
        <v>-4.4737345639096343E-2</v>
      </c>
      <c r="M501" s="69"/>
      <c r="N501" s="208"/>
    </row>
    <row r="502" spans="3:15" ht="15.75" customHeight="1">
      <c r="C502" s="49"/>
      <c r="D502" s="33" t="str">
        <f>IF(Indice_index!$Z$1=1,"setembro","September")</f>
        <v>September</v>
      </c>
      <c r="E502" s="33">
        <v>18989.748869110008</v>
      </c>
      <c r="F502" s="33">
        <v>18590.811658840001</v>
      </c>
      <c r="G502" s="33">
        <v>18490.955543699998</v>
      </c>
      <c r="H502" s="33">
        <v>17769.193319200003</v>
      </c>
      <c r="I502" s="33">
        <f t="shared" si="108"/>
        <v>821.61833963999743</v>
      </c>
      <c r="J502" s="206">
        <f t="shared" si="106"/>
        <v>-2.1008029807015778E-2</v>
      </c>
      <c r="K502" s="206">
        <f t="shared" si="107"/>
        <v>-3.9033257248076852E-2</v>
      </c>
      <c r="M502" s="69"/>
      <c r="N502" s="208"/>
    </row>
    <row r="503" spans="3:15" ht="15.75" customHeight="1">
      <c r="C503" s="49"/>
      <c r="D503" s="33" t="str">
        <f>IF(Indice_index!$Z$1=1,"outubro","October")</f>
        <v>October</v>
      </c>
      <c r="E503" s="33">
        <v>20894.195551000004</v>
      </c>
      <c r="F503" s="33">
        <v>20525.553778760001</v>
      </c>
      <c r="G503" s="33">
        <v>20381.708759709993</v>
      </c>
      <c r="H503" s="33">
        <v>19658.902525699999</v>
      </c>
      <c r="I503" s="33">
        <f t="shared" si="108"/>
        <v>866.65125306000118</v>
      </c>
      <c r="J503" s="206">
        <f t="shared" si="106"/>
        <v>-1.7643262280196303E-2</v>
      </c>
      <c r="K503" s="206">
        <f t="shared" si="107"/>
        <v>-3.5463475733635098E-2</v>
      </c>
      <c r="M503" s="69"/>
      <c r="N503" s="208"/>
    </row>
    <row r="504" spans="3:15" ht="15.75" customHeight="1">
      <c r="C504" s="49"/>
      <c r="D504" s="33" t="str">
        <f>IF(Indice_index!$Z$1=1,"novembro","November")</f>
        <v>November</v>
      </c>
      <c r="E504" s="33">
        <v>22683.47357944</v>
      </c>
      <c r="F504" s="33">
        <v>22429.713111549994</v>
      </c>
      <c r="G504" s="33">
        <v>22292.152215909995</v>
      </c>
      <c r="H504" s="33">
        <v>21597.300176730008</v>
      </c>
      <c r="I504" s="33">
        <f>IF(F504="","",+F504-H504)</f>
        <v>832.41293481998582</v>
      </c>
      <c r="J504" s="206">
        <f>IF(F504="","",IF(E504=0,"-",(F504-E504)/E504))</f>
        <v>-1.1187019792242544E-2</v>
      </c>
      <c r="K504" s="206">
        <f>IF(H504="","",IF(G504=0,"-",(H504-G504)/G504))</f>
        <v>-3.117025365922578E-2</v>
      </c>
      <c r="M504" s="69"/>
      <c r="N504" s="208"/>
    </row>
    <row r="505" spans="3:15" ht="15.75" customHeight="1">
      <c r="C505" s="49"/>
      <c r="D505" s="33" t="str">
        <f>IF(Indice_index!$Z$1=1,"dezembro","December")</f>
        <v>December</v>
      </c>
      <c r="E505" s="33">
        <v>24681.03822137</v>
      </c>
      <c r="F505" s="33">
        <v>24591.040737900003</v>
      </c>
      <c r="G505" s="33">
        <v>24251.606755959991</v>
      </c>
      <c r="H505" s="33">
        <v>23562.946176929992</v>
      </c>
      <c r="I505" s="33">
        <f>IF(F505="","",+F505-H505)</f>
        <v>1028.0945609700102</v>
      </c>
      <c r="J505" s="206">
        <f>IF(F505="","",IF(E505=0,"-",(F505-E505)/E505))</f>
        <v>-3.6464221100744828E-3</v>
      </c>
      <c r="K505" s="206">
        <f>IF(H505="","",IF(G505=0,"-",(H505-G505)/G505))</f>
        <v>-2.8396492898795474E-2</v>
      </c>
      <c r="M505" s="69"/>
      <c r="N505" s="208"/>
    </row>
    <row r="506" spans="3:15" ht="15.75" customHeight="1">
      <c r="E506" s="28"/>
      <c r="F506" s="28"/>
      <c r="G506" s="28"/>
      <c r="H506" s="28"/>
      <c r="I506" s="12"/>
      <c r="J506" s="51"/>
      <c r="K506" s="52"/>
      <c r="M506" s="68"/>
    </row>
    <row r="507" spans="3:15" ht="15.75" customHeight="1">
      <c r="C507" s="20" t="s">
        <v>97</v>
      </c>
      <c r="D507" s="24" t="str">
        <f>IF(Indice_index!$Z$1=1,"janeiro","January")</f>
        <v>January</v>
      </c>
      <c r="E507" s="24">
        <v>2183.0068937699998</v>
      </c>
      <c r="F507" s="24">
        <v>2183.3557715899997</v>
      </c>
      <c r="G507" s="24">
        <v>1930.0894372400005</v>
      </c>
      <c r="H507" s="24">
        <v>1858.0971837799998</v>
      </c>
      <c r="I507" s="24">
        <f t="shared" ref="I507:I516" si="109">IF(F507="","",+F507-H507)</f>
        <v>325.25858780999988</v>
      </c>
      <c r="J507" s="205">
        <f t="shared" ref="J507:J516" si="110">IF(F507="","",IF(E507=0,"-",(F507-E507)/E507))</f>
        <v>1.5981526260659996E-4</v>
      </c>
      <c r="K507" s="205">
        <f t="shared" ref="K507:K516" si="111">IF(H507="","",IF(G507=0,"-",(H507-G507)/G507))</f>
        <v>-3.729995723045279E-2</v>
      </c>
      <c r="M507" s="68"/>
      <c r="N507"/>
      <c r="O507"/>
    </row>
    <row r="508" spans="3:15" ht="15.75" customHeight="1">
      <c r="C508" s="23"/>
      <c r="D508" s="7" t="str">
        <f>IF(Indice_index!$Z$1=1,"fevereiro","February")</f>
        <v>February</v>
      </c>
      <c r="E508" s="28">
        <v>4183.4583745299997</v>
      </c>
      <c r="F508" s="28">
        <v>4280.1518303600005</v>
      </c>
      <c r="G508" s="28">
        <v>3801.48492218</v>
      </c>
      <c r="H508" s="28">
        <v>3697.7653413099997</v>
      </c>
      <c r="I508" s="12">
        <f>IF(F508="","",+F508-H508)</f>
        <v>582.38648905000082</v>
      </c>
      <c r="J508" s="51">
        <f t="shared" si="110"/>
        <v>2.3113282641628794E-2</v>
      </c>
      <c r="K508" s="52">
        <f t="shared" si="111"/>
        <v>-2.7283964817232855E-2</v>
      </c>
      <c r="M508" s="68"/>
      <c r="N508"/>
      <c r="O508"/>
    </row>
    <row r="509" spans="3:15" ht="15.75" customHeight="1">
      <c r="C509" s="20"/>
      <c r="D509" s="24" t="str">
        <f>IF(Indice_index!$Z$1=1,"março","March")</f>
        <v>March</v>
      </c>
      <c r="E509" s="24">
        <v>6035.9124212300003</v>
      </c>
      <c r="F509" s="24">
        <v>6308.3873953600014</v>
      </c>
      <c r="G509" s="24">
        <v>5625.0303766100005</v>
      </c>
      <c r="H509" s="24">
        <v>5570.050496580001</v>
      </c>
      <c r="I509" s="24">
        <f t="shared" si="109"/>
        <v>738.33689878000041</v>
      </c>
      <c r="J509" s="205">
        <f t="shared" si="110"/>
        <v>4.5142300801388376E-2</v>
      </c>
      <c r="K509" s="205">
        <f t="shared" si="111"/>
        <v>-9.7741481110247639E-3</v>
      </c>
      <c r="M509" s="69"/>
      <c r="N509"/>
      <c r="O509"/>
    </row>
    <row r="510" spans="3:15" ht="15.75" customHeight="1">
      <c r="C510" s="20"/>
      <c r="D510" s="24" t="str">
        <f>IF(Indice_index!$Z$1=1,"abril","April")</f>
        <v>April</v>
      </c>
      <c r="E510" s="24">
        <v>8022.2412280299986</v>
      </c>
      <c r="F510" s="24">
        <v>8315.3694233699989</v>
      </c>
      <c r="G510" s="24">
        <v>7455.3851960300008</v>
      </c>
      <c r="H510" s="24">
        <v>7481.1584813899981</v>
      </c>
      <c r="I510" s="24">
        <f t="shared" si="109"/>
        <v>834.21094198000083</v>
      </c>
      <c r="J510" s="205">
        <f t="shared" si="110"/>
        <v>3.6539439167672973E-2</v>
      </c>
      <c r="K510" s="205">
        <f t="shared" si="111"/>
        <v>3.4570025132600276E-3</v>
      </c>
      <c r="M510" s="69"/>
    </row>
    <row r="511" spans="3:15" ht="15.75" customHeight="1">
      <c r="C511" s="20"/>
      <c r="D511" s="24" t="str">
        <f>IF(Indice_index!$Z$1=1,"maio","May")</f>
        <v>May</v>
      </c>
      <c r="E511" s="28">
        <v>9914.8233579700027</v>
      </c>
      <c r="F511" s="28">
        <v>10259.36562099</v>
      </c>
      <c r="G511" s="28">
        <v>9242.1035910999999</v>
      </c>
      <c r="H511" s="28">
        <v>9344.7518974100003</v>
      </c>
      <c r="I511" s="28">
        <f t="shared" si="109"/>
        <v>914.61372357999971</v>
      </c>
      <c r="J511" s="226">
        <f t="shared" si="110"/>
        <v>3.4750216981227204E-2</v>
      </c>
      <c r="K511" s="226">
        <f t="shared" si="111"/>
        <v>1.1106595516722958E-2</v>
      </c>
      <c r="M511" s="69"/>
      <c r="N511" s="208"/>
    </row>
    <row r="512" spans="3:15" ht="15.75" customHeight="1">
      <c r="C512" s="20"/>
      <c r="D512" s="24" t="str">
        <f>IF(Indice_index!$Z$1=1,"junho","June")</f>
        <v>June</v>
      </c>
      <c r="E512" s="28">
        <v>11999.442430490002</v>
      </c>
      <c r="F512" s="28">
        <v>12509.625856189999</v>
      </c>
      <c r="G512" s="28">
        <v>11084.502270550001</v>
      </c>
      <c r="H512" s="28">
        <v>11280.868608749999</v>
      </c>
      <c r="I512" s="28">
        <f t="shared" si="109"/>
        <v>1228.7572474400004</v>
      </c>
      <c r="J512" s="226">
        <f t="shared" si="110"/>
        <v>4.2517261002365074E-2</v>
      </c>
      <c r="K512" s="226">
        <f t="shared" si="111"/>
        <v>1.7715395189346124E-2</v>
      </c>
      <c r="M512" s="69"/>
      <c r="N512" s="208"/>
    </row>
    <row r="513" spans="2:28" ht="15.75" customHeight="1">
      <c r="C513" s="20"/>
      <c r="D513" s="33" t="str">
        <f>IF(Indice_index!$Z$1=1,"julho","July")</f>
        <v>July</v>
      </c>
      <c r="E513" s="33">
        <v>14678.777503579997</v>
      </c>
      <c r="F513" s="33">
        <v>15242.364096099998</v>
      </c>
      <c r="G513" s="33">
        <v>14048.02892936</v>
      </c>
      <c r="H513" s="33">
        <v>14350.568511939999</v>
      </c>
      <c r="I513" s="33">
        <f t="shared" si="109"/>
        <v>891.79558415999963</v>
      </c>
      <c r="J513" s="206">
        <f t="shared" si="110"/>
        <v>3.8394654621786366E-2</v>
      </c>
      <c r="K513" s="206">
        <f t="shared" si="111"/>
        <v>2.1536087667622838E-2</v>
      </c>
      <c r="M513" s="69"/>
      <c r="N513" s="208"/>
    </row>
    <row r="514" spans="2:28" ht="15.75" customHeight="1">
      <c r="C514" s="20"/>
      <c r="D514" s="33" t="str">
        <f>IF(Indice_index!$Z$1=1,"agosto","August")</f>
        <v>August</v>
      </c>
      <c r="E514" s="33">
        <v>16688.065277440004</v>
      </c>
      <c r="F514" s="33">
        <v>17310.190164080002</v>
      </c>
      <c r="G514" s="33">
        <v>15881.823384699997</v>
      </c>
      <c r="H514" s="33">
        <v>16281.622609689999</v>
      </c>
      <c r="I514" s="33">
        <f t="shared" si="109"/>
        <v>1028.5675543900034</v>
      </c>
      <c r="J514" s="206">
        <f t="shared" si="110"/>
        <v>3.7279629261819019E-2</v>
      </c>
      <c r="K514" s="206">
        <f t="shared" si="111"/>
        <v>2.5173383137804851E-2</v>
      </c>
      <c r="M514" s="69"/>
      <c r="N514" s="208"/>
    </row>
    <row r="515" spans="2:28" ht="15.75" customHeight="1">
      <c r="C515" s="49"/>
      <c r="D515" s="33" t="str">
        <f>IF(Indice_index!$Z$1=1,"setembro","September")</f>
        <v>September</v>
      </c>
      <c r="E515" s="33">
        <v>18590.811658840001</v>
      </c>
      <c r="F515" s="33">
        <v>19359.501704249997</v>
      </c>
      <c r="G515" s="33">
        <v>17769.193319200003</v>
      </c>
      <c r="H515" s="33">
        <v>18206.63945165</v>
      </c>
      <c r="I515" s="33">
        <f t="shared" si="109"/>
        <v>1152.8622525999963</v>
      </c>
      <c r="J515" s="206">
        <f t="shared" si="110"/>
        <v>4.134784750210091E-2</v>
      </c>
      <c r="K515" s="206">
        <f t="shared" si="111"/>
        <v>2.4618232498901733E-2</v>
      </c>
      <c r="M515" s="69"/>
      <c r="N515" s="208"/>
    </row>
    <row r="516" spans="2:28" ht="15.75" customHeight="1">
      <c r="C516" s="49"/>
      <c r="D516" s="33" t="str">
        <f>IF(Indice_index!$Z$1=1,"outubro","October")</f>
        <v>October</v>
      </c>
      <c r="E516" s="33">
        <v>20525.553778759997</v>
      </c>
      <c r="F516" s="33">
        <v>21310.698314639994</v>
      </c>
      <c r="G516" s="33">
        <v>19658.902525699999</v>
      </c>
      <c r="H516" s="33">
        <v>20102.443920220001</v>
      </c>
      <c r="I516" s="33">
        <f t="shared" si="109"/>
        <v>1208.2543944199933</v>
      </c>
      <c r="J516" s="206">
        <f t="shared" si="110"/>
        <v>3.825205128898744E-2</v>
      </c>
      <c r="K516" s="206">
        <f t="shared" si="111"/>
        <v>2.2561859388649078E-2</v>
      </c>
      <c r="M516" s="69"/>
      <c r="N516" s="208"/>
    </row>
    <row r="517" spans="2:28" ht="15.75" customHeight="1">
      <c r="C517" s="49"/>
      <c r="D517" s="33" t="str">
        <f>IF(Indice_index!$Z$1=1,"novembro","November")</f>
        <v>November</v>
      </c>
      <c r="E517" s="33">
        <v>22429.715799589998</v>
      </c>
      <c r="F517" s="33">
        <v>23373.373369409997</v>
      </c>
      <c r="G517" s="33">
        <v>21597.300176730005</v>
      </c>
      <c r="H517" s="33">
        <v>22071.217707409996</v>
      </c>
      <c r="I517" s="33">
        <f>IF(F517="","",+F517-H517)</f>
        <v>1302.155662000001</v>
      </c>
      <c r="J517" s="206">
        <f>IF(F517="","",IF(E517=0,"-",(F517-E517)/E517))</f>
        <v>4.207175776329939E-2</v>
      </c>
      <c r="K517" s="206">
        <f>IF(H517="","",IF(G517=0,"-",(H517-G517)/G517))</f>
        <v>2.1943369161975798E-2</v>
      </c>
      <c r="M517" s="69"/>
      <c r="N517" s="208"/>
    </row>
    <row r="518" spans="2:28" ht="15.75" customHeight="1">
      <c r="C518" s="49"/>
      <c r="D518" s="33" t="str">
        <f>IF(Indice_index!$Z$1=1,"dezembro","December")</f>
        <v>December</v>
      </c>
      <c r="E518" s="33">
        <v>24602.008120110004</v>
      </c>
      <c r="F518" s="33">
        <v>25711.72746102</v>
      </c>
      <c r="G518" s="33">
        <v>23565.130967140005</v>
      </c>
      <c r="H518" s="33">
        <v>24147.614241729996</v>
      </c>
      <c r="I518" s="33">
        <f>IF(F518="","",+F518-H518)</f>
        <v>1564.1132192900041</v>
      </c>
      <c r="J518" s="206">
        <f>IF(F518="","",IF(E518=0,"-",(F518-E518)/E518))</f>
        <v>4.5106860199875198E-2</v>
      </c>
      <c r="K518" s="206">
        <f>IF(H518="","",IF(G518=0,"-",(H518-G518)/G518))</f>
        <v>2.4718015588465224E-2</v>
      </c>
      <c r="M518" s="69"/>
      <c r="N518" s="208"/>
    </row>
    <row r="519" spans="2:28" ht="15.75" customHeight="1">
      <c r="B519" s="24"/>
      <c r="C519" s="24"/>
      <c r="D519" s="33"/>
      <c r="E519" s="33"/>
      <c r="F519" s="33"/>
      <c r="G519" s="33"/>
      <c r="H519" s="33"/>
      <c r="I519" s="33"/>
      <c r="J519" s="55"/>
      <c r="K519" s="55"/>
      <c r="M519" s="30"/>
      <c r="O519" s="256"/>
      <c r="P519" s="256"/>
      <c r="Q519" s="256"/>
    </row>
    <row r="520" spans="2:28" s="35" customFormat="1" ht="15.75" customHeight="1">
      <c r="C520" s="20" t="s">
        <v>114</v>
      </c>
      <c r="D520" s="71" t="str">
        <f>IF(Indice_index!$Z$1=1,"janeiro","January")</f>
        <v>January</v>
      </c>
      <c r="E520" s="71">
        <v>2183.3566097199996</v>
      </c>
      <c r="F520" s="71">
        <v>2313.3510139299997</v>
      </c>
      <c r="G520" s="71">
        <v>1858.0971837799998</v>
      </c>
      <c r="H520" s="71">
        <v>1917.2079874500002</v>
      </c>
      <c r="I520" s="71">
        <f t="shared" ref="I520:I557" si="112">IF(F520="","",+F520-H520)</f>
        <v>396.14302647999943</v>
      </c>
      <c r="J520" s="204">
        <f t="shared" ref="J520:J557" si="113">IF(F520="","",IF(E520=0,"-",(F520-E520)/E520))</f>
        <v>5.9538787036109035E-2</v>
      </c>
      <c r="K520" s="204">
        <f t="shared" ref="K520:K557" si="114">IF(H520="","",IF(G520=0,"-",(H520-G520)/G520))</f>
        <v>3.1812546828013072E-2</v>
      </c>
      <c r="L520"/>
      <c r="M520" s="203"/>
      <c r="O520" s="257"/>
      <c r="P520" s="257"/>
      <c r="Q520" s="256"/>
      <c r="Z520" s="2"/>
      <c r="AA520" s="2"/>
      <c r="AB520" s="2"/>
    </row>
    <row r="521" spans="2:28" s="35" customFormat="1" ht="15.75" customHeight="1">
      <c r="C521" s="71"/>
      <c r="D521" s="71" t="str">
        <f>IF(Indice_index!$Z$1=1,"fevereiro","February")</f>
        <v>February</v>
      </c>
      <c r="E521" s="71">
        <v>4280.1538169599999</v>
      </c>
      <c r="F521" s="71">
        <v>4431.7821906699992</v>
      </c>
      <c r="G521" s="71">
        <v>3697.7653413100002</v>
      </c>
      <c r="H521" s="71">
        <v>3752.9550989899999</v>
      </c>
      <c r="I521" s="71">
        <f t="shared" si="112"/>
        <v>678.82709167999928</v>
      </c>
      <c r="J521" s="204">
        <f t="shared" si="113"/>
        <v>3.542591696335206E-2</v>
      </c>
      <c r="K521" s="204">
        <f t="shared" si="114"/>
        <v>1.4925164953936141E-2</v>
      </c>
      <c r="L521"/>
      <c r="M521" s="203"/>
      <c r="O521" s="257"/>
      <c r="P521" s="258"/>
      <c r="Q521" s="257"/>
      <c r="Z521" s="2"/>
      <c r="AA521" s="2"/>
      <c r="AB521" s="2"/>
    </row>
    <row r="522" spans="2:28" s="35" customFormat="1" ht="15.75" customHeight="1">
      <c r="C522" s="71"/>
      <c r="D522" s="71" t="str">
        <f>IF(Indice_index!$Z$1=1,"março","March")</f>
        <v>March</v>
      </c>
      <c r="E522" s="71">
        <v>6308.3873953600005</v>
      </c>
      <c r="F522" s="71">
        <v>6470.6130700999993</v>
      </c>
      <c r="G522" s="71">
        <v>5570.0504965800001</v>
      </c>
      <c r="H522" s="71">
        <v>5592.5704339100002</v>
      </c>
      <c r="I522" s="71">
        <f t="shared" si="112"/>
        <v>878.04263618999903</v>
      </c>
      <c r="J522" s="204">
        <f t="shared" si="113"/>
        <v>2.5715870724635652E-2</v>
      </c>
      <c r="K522" s="204">
        <f t="shared" si="114"/>
        <v>4.0430400664818698E-3</v>
      </c>
      <c r="L522"/>
      <c r="M522" s="203"/>
      <c r="O522" s="257"/>
      <c r="P522" s="257"/>
      <c r="Q522" s="257"/>
      <c r="Z522" s="2"/>
      <c r="AA522" s="2"/>
      <c r="AB522" s="2"/>
    </row>
    <row r="523" spans="2:28" s="35" customFormat="1" ht="15.75" customHeight="1">
      <c r="C523" s="71"/>
      <c r="D523" s="71" t="str">
        <f>IF(Indice_index!$Z$1=1,"abril","April")</f>
        <v>April</v>
      </c>
      <c r="E523" s="71">
        <v>8315.3694233700007</v>
      </c>
      <c r="F523" s="71">
        <v>8548.2314705200006</v>
      </c>
      <c r="G523" s="71">
        <v>7481.1584813899981</v>
      </c>
      <c r="H523" s="71">
        <v>7473.4654060299981</v>
      </c>
      <c r="I523" s="71">
        <f t="shared" si="112"/>
        <v>1074.7660644900025</v>
      </c>
      <c r="J523" s="204">
        <f t="shared" si="113"/>
        <v>2.8003812614211792E-2</v>
      </c>
      <c r="K523" s="204">
        <f t="shared" si="114"/>
        <v>-1.0283267463370987E-3</v>
      </c>
      <c r="L523"/>
      <c r="M523" s="203"/>
      <c r="N523"/>
      <c r="O523"/>
      <c r="P523"/>
      <c r="Q523"/>
      <c r="Z523" s="2"/>
      <c r="AA523" s="2"/>
      <c r="AB523" s="2"/>
    </row>
    <row r="524" spans="2:28" s="35" customFormat="1" ht="15.75" customHeight="1">
      <c r="C524" s="71"/>
      <c r="D524" s="71" t="str">
        <f>IF(Indice_index!$Z$1=1,"maio","May")</f>
        <v>May</v>
      </c>
      <c r="E524" s="71">
        <v>10259.365620989998</v>
      </c>
      <c r="F524" s="71">
        <v>10601.41240159</v>
      </c>
      <c r="G524" s="71">
        <v>9344.7518974100003</v>
      </c>
      <c r="H524" s="71">
        <v>9315.4534592499986</v>
      </c>
      <c r="I524" s="71">
        <f t="shared" si="112"/>
        <v>1285.9589423400012</v>
      </c>
      <c r="J524" s="204">
        <f t="shared" si="113"/>
        <v>3.3339954265807228E-2</v>
      </c>
      <c r="K524" s="204">
        <f t="shared" si="114"/>
        <v>-3.1352826144182737E-3</v>
      </c>
      <c r="M524"/>
      <c r="N524"/>
      <c r="O524"/>
      <c r="P524"/>
      <c r="Q524"/>
      <c r="Z524" s="2"/>
      <c r="AA524" s="2"/>
      <c r="AB524" s="2"/>
    </row>
    <row r="525" spans="2:28" s="35" customFormat="1" ht="15.75" customHeight="1">
      <c r="C525" s="71"/>
      <c r="D525" s="28" t="str">
        <f>IF(Indice_index!$Z$1=1,"junho","June")</f>
        <v>June</v>
      </c>
      <c r="E525" s="28">
        <v>12509.625856189999</v>
      </c>
      <c r="F525" s="28">
        <v>12825.147524280001</v>
      </c>
      <c r="G525" s="28">
        <v>11280.868608749999</v>
      </c>
      <c r="H525" s="28">
        <v>11177.444652360002</v>
      </c>
      <c r="I525" s="28">
        <f t="shared" si="112"/>
        <v>1647.7028719199989</v>
      </c>
      <c r="J525" s="226">
        <f t="shared" si="113"/>
        <v>2.5222310540476724E-2</v>
      </c>
      <c r="K525" s="226">
        <f t="shared" si="114"/>
        <v>-9.1680844779786375E-3</v>
      </c>
      <c r="L525"/>
      <c r="M525"/>
      <c r="N525"/>
      <c r="O525"/>
      <c r="P525"/>
      <c r="Q525"/>
      <c r="Z525" s="2"/>
      <c r="AA525" s="2"/>
      <c r="AB525" s="2"/>
    </row>
    <row r="526" spans="2:28" s="35" customFormat="1" ht="15.75" customHeight="1">
      <c r="C526" s="71"/>
      <c r="D526" s="33" t="str">
        <f>IF(Indice_index!$Z$1=1,"julho","July")</f>
        <v>July</v>
      </c>
      <c r="E526" s="33">
        <v>15242.3640961</v>
      </c>
      <c r="F526" s="33">
        <v>15241.810159139999</v>
      </c>
      <c r="G526" s="33">
        <v>14350.568511939999</v>
      </c>
      <c r="H526" s="33">
        <v>14204.682627349997</v>
      </c>
      <c r="I526" s="33">
        <f t="shared" si="112"/>
        <v>1037.1275317900017</v>
      </c>
      <c r="J526" s="206">
        <f t="shared" si="113"/>
        <v>-3.6341932032888784E-5</v>
      </c>
      <c r="K526" s="206">
        <f t="shared" si="114"/>
        <v>-1.0165860987919812E-2</v>
      </c>
      <c r="L526"/>
      <c r="M526"/>
      <c r="N526"/>
      <c r="O526"/>
      <c r="P526"/>
      <c r="Q526"/>
      <c r="Z526" s="2"/>
      <c r="AA526" s="2"/>
      <c r="AB526" s="2"/>
    </row>
    <row r="527" spans="2:28" s="35" customFormat="1" ht="15.75" customHeight="1">
      <c r="C527" s="71"/>
      <c r="D527" s="33" t="str">
        <f>IF(Indice_index!$Z$1=1,"agosto","August")</f>
        <v>August</v>
      </c>
      <c r="E527" s="33">
        <v>17310.190164080002</v>
      </c>
      <c r="F527" s="33">
        <v>17460.405088759999</v>
      </c>
      <c r="G527" s="33">
        <v>16281.693708629997</v>
      </c>
      <c r="H527" s="33">
        <v>16026.595841030001</v>
      </c>
      <c r="I527" s="33">
        <f t="shared" si="112"/>
        <v>1433.8092477299979</v>
      </c>
      <c r="J527" s="206">
        <f t="shared" si="113"/>
        <v>8.6778321471998633E-3</v>
      </c>
      <c r="K527" s="206">
        <f t="shared" si="114"/>
        <v>-1.5667772171932152E-2</v>
      </c>
      <c r="L527"/>
      <c r="M527"/>
      <c r="N527"/>
      <c r="O527"/>
      <c r="P527"/>
      <c r="Q527"/>
      <c r="Z527" s="2"/>
      <c r="AA527" s="2"/>
      <c r="AB527" s="2"/>
    </row>
    <row r="528" spans="2:28" s="35" customFormat="1" ht="15.75" customHeight="1">
      <c r="C528" s="33"/>
      <c r="D528" s="33" t="str">
        <f>IF(Indice_index!$Z$1=1,"setembro","September")</f>
        <v>September</v>
      </c>
      <c r="E528" s="33">
        <v>19359.50170425</v>
      </c>
      <c r="F528" s="33">
        <v>19540.069803499999</v>
      </c>
      <c r="G528" s="33">
        <v>18206.639451649997</v>
      </c>
      <c r="H528" s="33">
        <v>17876.952376339996</v>
      </c>
      <c r="I528" s="33">
        <f t="shared" si="112"/>
        <v>1663.117427160003</v>
      </c>
      <c r="J528" s="206">
        <f t="shared" si="113"/>
        <v>9.3271046955902878E-3</v>
      </c>
      <c r="K528" s="206">
        <f t="shared" si="114"/>
        <v>-1.8108068552987293E-2</v>
      </c>
      <c r="L528"/>
      <c r="M528"/>
      <c r="N528"/>
      <c r="O528"/>
      <c r="P528"/>
      <c r="Q528"/>
      <c r="Z528" s="2"/>
      <c r="AA528" s="2"/>
      <c r="AB528" s="2"/>
    </row>
    <row r="529" spans="3:28" ht="15.75" customHeight="1">
      <c r="C529" s="33"/>
      <c r="D529" s="33" t="str">
        <f>IF(Indice_index!$Z$1=1,"outubro","October")</f>
        <v>October</v>
      </c>
      <c r="E529" s="33">
        <v>21310.698314639998</v>
      </c>
      <c r="F529" s="33">
        <v>21649.065138209997</v>
      </c>
      <c r="G529" s="33">
        <v>20102.443920220001</v>
      </c>
      <c r="H529" s="33">
        <v>19758.369974409994</v>
      </c>
      <c r="I529" s="33">
        <f t="shared" si="112"/>
        <v>1890.6951638000028</v>
      </c>
      <c r="J529" s="206">
        <f t="shared" si="113"/>
        <v>1.587779145357935E-2</v>
      </c>
      <c r="K529" s="206">
        <f t="shared" si="114"/>
        <v>-1.7116025652180577E-2</v>
      </c>
      <c r="L529" s="358"/>
      <c r="M529" s="358"/>
      <c r="N529" s="358"/>
      <c r="O529" s="358"/>
      <c r="P529"/>
      <c r="Q529"/>
    </row>
    <row r="530" spans="3:28" s="24" customFormat="1" ht="15.75" customHeight="1">
      <c r="C530" s="33"/>
      <c r="D530" s="33" t="str">
        <f>IF(Indice_index!$Z$1=1,"novembro","November")</f>
        <v>November</v>
      </c>
      <c r="E530" s="33">
        <v>23373.373369409994</v>
      </c>
      <c r="F530" s="33">
        <v>23799.335718429997</v>
      </c>
      <c r="G530" s="33">
        <v>22071.217707409996</v>
      </c>
      <c r="H530" s="33">
        <v>21766.520118430002</v>
      </c>
      <c r="I530" s="33">
        <f t="shared" si="112"/>
        <v>2032.8155999999944</v>
      </c>
      <c r="J530" s="206">
        <f t="shared" si="113"/>
        <v>1.8224256391569178E-2</v>
      </c>
      <c r="K530" s="206">
        <f t="shared" si="114"/>
        <v>-1.380520064725281E-2</v>
      </c>
      <c r="L530" s="221"/>
      <c r="M530" s="221"/>
      <c r="N530" s="221"/>
      <c r="O530" s="221"/>
      <c r="P530" s="221"/>
      <c r="Q530" s="221"/>
      <c r="Z530" s="42"/>
      <c r="AA530" s="42"/>
      <c r="AB530" s="42"/>
    </row>
    <row r="531" spans="3:28" s="24" customFormat="1" ht="15.75" customHeight="1">
      <c r="C531" s="33"/>
      <c r="D531" s="33" t="str">
        <f>IF(Indice_index!$Z$1=1,"dezembro","December")</f>
        <v>December</v>
      </c>
      <c r="E531" s="33">
        <v>25711.727461019997</v>
      </c>
      <c r="F531" s="33">
        <v>26693.25343488</v>
      </c>
      <c r="G531" s="33">
        <v>24147.614241730003</v>
      </c>
      <c r="H531" s="33">
        <v>24607.379026840004</v>
      </c>
      <c r="I531" s="33">
        <f t="shared" si="112"/>
        <v>2085.8744080399956</v>
      </c>
      <c r="J531" s="206">
        <f t="shared" si="113"/>
        <v>3.8174252404784392E-2</v>
      </c>
      <c r="K531" s="206">
        <f t="shared" si="114"/>
        <v>1.9039760222584294E-2</v>
      </c>
      <c r="L531" s="221"/>
      <c r="M531" s="221"/>
      <c r="N531" s="221"/>
      <c r="O531" s="221"/>
      <c r="P531" s="221"/>
      <c r="Q531" s="221"/>
      <c r="Z531" s="42"/>
      <c r="AA531" s="42"/>
      <c r="AB531" s="42"/>
    </row>
    <row r="532" spans="3:28" s="24" customFormat="1" ht="15.75" customHeight="1">
      <c r="C532" s="33"/>
      <c r="D532" s="33"/>
      <c r="E532" s="33"/>
      <c r="F532" s="33"/>
      <c r="G532" s="33"/>
      <c r="H532" s="33"/>
      <c r="I532" s="33"/>
      <c r="J532" s="206"/>
      <c r="K532" s="206"/>
      <c r="L532" s="221"/>
      <c r="M532" s="221"/>
      <c r="N532" s="221"/>
      <c r="O532" s="221"/>
      <c r="P532" s="221"/>
      <c r="Q532" s="221"/>
      <c r="Z532" s="42"/>
      <c r="AA532" s="42"/>
      <c r="AB532" s="42"/>
    </row>
    <row r="533" spans="3:28" s="71" customFormat="1" ht="15.75" customHeight="1">
      <c r="C533" s="20" t="s">
        <v>126</v>
      </c>
      <c r="D533" s="71" t="str">
        <f>IF(Indice_index!$Z$1=1,"janeiro","January")</f>
        <v>January</v>
      </c>
      <c r="E533" s="71">
        <v>2313.3510139299997</v>
      </c>
      <c r="F533" s="71">
        <v>2447.3053318699999</v>
      </c>
      <c r="G533" s="71">
        <v>1917.2079874500002</v>
      </c>
      <c r="H533" s="71">
        <v>1943.8820266399998</v>
      </c>
      <c r="I533" s="71">
        <f t="shared" ref="I533:I544" si="115">IF(F533="","",+F533-H533)</f>
        <v>503.4233052300001</v>
      </c>
      <c r="J533" s="204">
        <f t="shared" ref="J533:J544" si="116">IF(F533="","",IF(E533=0,"-",(F533-E533)/E533))</f>
        <v>5.7904882196167053E-2</v>
      </c>
      <c r="K533" s="204">
        <f t="shared" ref="K533:K544" si="117">IF(H533="","",IF(G533=0,"-",(H533-G533)/G533))</f>
        <v>1.3912960599271038E-2</v>
      </c>
      <c r="L533" s="221"/>
      <c r="M533" s="367"/>
      <c r="O533" s="368"/>
      <c r="P533" s="368"/>
      <c r="Q533" s="366"/>
      <c r="Z533" s="42"/>
      <c r="AA533" s="42"/>
      <c r="AB533" s="42"/>
    </row>
    <row r="534" spans="3:28" s="71" customFormat="1" ht="15.75" customHeight="1">
      <c r="D534" s="71" t="str">
        <f>IF(Indice_index!$Z$1=1,"fevereiro","February")</f>
        <v>February</v>
      </c>
      <c r="E534" s="71">
        <v>4431.7821906700001</v>
      </c>
      <c r="F534" s="71">
        <v>4607.96110813</v>
      </c>
      <c r="G534" s="71">
        <v>3752.9550989900013</v>
      </c>
      <c r="H534" s="71">
        <v>3828.7127221000005</v>
      </c>
      <c r="I534" s="71">
        <f t="shared" si="115"/>
        <v>779.24838602999944</v>
      </c>
      <c r="J534" s="204">
        <f t="shared" si="116"/>
        <v>3.975351447345498E-2</v>
      </c>
      <c r="K534" s="204">
        <f t="shared" si="117"/>
        <v>2.0186125629477213E-2</v>
      </c>
      <c r="L534" s="221"/>
      <c r="M534" s="367"/>
      <c r="O534" s="368"/>
      <c r="P534" s="369"/>
      <c r="Q534" s="368"/>
      <c r="Z534" s="42"/>
      <c r="AA534" s="42"/>
      <c r="AB534" s="42"/>
    </row>
    <row r="535" spans="3:28" s="71" customFormat="1" ht="15.75" customHeight="1">
      <c r="D535" s="71" t="str">
        <f>IF(Indice_index!$Z$1=1,"março","March")</f>
        <v>March</v>
      </c>
      <c r="E535" s="71">
        <v>6470.6130700999993</v>
      </c>
      <c r="F535" s="71">
        <v>6667.9246202599998</v>
      </c>
      <c r="G535" s="71">
        <v>5592.5704339100002</v>
      </c>
      <c r="H535" s="71">
        <v>5688.9209185000009</v>
      </c>
      <c r="I535" s="71">
        <f t="shared" si="115"/>
        <v>979.00370175999888</v>
      </c>
      <c r="J535" s="204">
        <f t="shared" si="116"/>
        <v>3.0493486169302215E-2</v>
      </c>
      <c r="K535" s="204">
        <f t="shared" si="117"/>
        <v>1.722830060499354E-2</v>
      </c>
      <c r="L535" s="221"/>
      <c r="M535" s="367"/>
      <c r="O535" s="368"/>
      <c r="P535" s="368"/>
      <c r="Q535" s="368"/>
      <c r="Z535" s="42"/>
      <c r="AA535" s="42"/>
      <c r="AB535" s="42"/>
    </row>
    <row r="536" spans="3:28" s="71" customFormat="1" ht="15.75" customHeight="1">
      <c r="D536" s="71" t="str">
        <f>IF(Indice_index!$Z$1=1,"abril","April")</f>
        <v>April</v>
      </c>
      <c r="E536" s="71">
        <v>8548.2314706100005</v>
      </c>
      <c r="F536" s="71">
        <v>8807.6124948199995</v>
      </c>
      <c r="G536" s="71">
        <v>7473.4654060299981</v>
      </c>
      <c r="H536" s="71">
        <v>7558.82327885</v>
      </c>
      <c r="I536" s="71">
        <f t="shared" si="115"/>
        <v>1248.7892159699995</v>
      </c>
      <c r="J536" s="204">
        <f t="shared" si="116"/>
        <v>3.0343238259491066E-2</v>
      </c>
      <c r="K536" s="204">
        <f t="shared" si="117"/>
        <v>1.1421458210153813E-2</v>
      </c>
      <c r="L536" s="221"/>
      <c r="M536" s="367"/>
      <c r="N536" s="221"/>
      <c r="O536" s="221"/>
      <c r="P536" s="221"/>
      <c r="Q536" s="221"/>
      <c r="Z536" s="42"/>
      <c r="AA536" s="42"/>
      <c r="AB536" s="42"/>
    </row>
    <row r="537" spans="3:28" s="71" customFormat="1" ht="15.75" customHeight="1">
      <c r="D537" s="71" t="str">
        <f>IF(Indice_index!$Z$1=1,"maio","May")</f>
        <v>May</v>
      </c>
      <c r="E537" s="71">
        <v>10601.41240159</v>
      </c>
      <c r="F537" s="71">
        <v>10950.0746607</v>
      </c>
      <c r="G537" s="71">
        <v>9315.4534592499967</v>
      </c>
      <c r="H537" s="71">
        <v>9462.0273254900003</v>
      </c>
      <c r="I537" s="71">
        <f t="shared" si="115"/>
        <v>1488.0473352099998</v>
      </c>
      <c r="J537" s="204">
        <f t="shared" si="116"/>
        <v>3.2888283740165412E-2</v>
      </c>
      <c r="K537" s="204">
        <f t="shared" si="117"/>
        <v>1.5734485377570065E-2</v>
      </c>
      <c r="M537" s="221"/>
      <c r="N537" s="221"/>
      <c r="O537" s="221"/>
      <c r="P537" s="221"/>
      <c r="Q537" s="221"/>
      <c r="Z537" s="42"/>
      <c r="AA537" s="42"/>
      <c r="AB537" s="42"/>
    </row>
    <row r="538" spans="3:28" s="71" customFormat="1" ht="15.75" customHeight="1">
      <c r="D538" s="28" t="str">
        <f>IF(Indice_index!$Z$1=1,"junho","June")</f>
        <v>June</v>
      </c>
      <c r="E538" s="28">
        <v>12825.147524280002</v>
      </c>
      <c r="F538" s="28">
        <v>13224.632572750003</v>
      </c>
      <c r="G538" s="28">
        <v>11177.44465236</v>
      </c>
      <c r="H538" s="28">
        <v>11378.723160969997</v>
      </c>
      <c r="I538" s="28">
        <f t="shared" si="115"/>
        <v>1845.909411780005</v>
      </c>
      <c r="J538" s="226">
        <f t="shared" si="116"/>
        <v>3.1148573356658285E-2</v>
      </c>
      <c r="K538" s="226">
        <f t="shared" si="117"/>
        <v>1.8007560302926634E-2</v>
      </c>
      <c r="L538" s="221"/>
      <c r="M538" s="221"/>
      <c r="N538" s="221"/>
      <c r="O538" s="221"/>
      <c r="P538" s="221"/>
      <c r="Q538" s="221"/>
      <c r="Z538" s="42"/>
      <c r="AA538" s="42"/>
      <c r="AB538" s="42"/>
    </row>
    <row r="539" spans="3:28" s="71" customFormat="1" ht="15.75" customHeight="1">
      <c r="D539" s="33" t="str">
        <f>IF(Indice_index!$Z$1=1,"julho","July")</f>
        <v>July</v>
      </c>
      <c r="E539" s="33">
        <v>15241.810159139999</v>
      </c>
      <c r="F539" s="33">
        <v>15652.07026432</v>
      </c>
      <c r="G539" s="33">
        <v>14204.682627349997</v>
      </c>
      <c r="H539" s="33">
        <v>14466.985404930003</v>
      </c>
      <c r="I539" s="33">
        <f t="shared" si="115"/>
        <v>1185.0848593899973</v>
      </c>
      <c r="J539" s="206">
        <f t="shared" si="116"/>
        <v>2.6916757320585179E-2</v>
      </c>
      <c r="K539" s="206">
        <f t="shared" si="117"/>
        <v>1.8465937216714877E-2</v>
      </c>
      <c r="L539" s="221"/>
      <c r="M539" s="221"/>
      <c r="N539" s="221"/>
      <c r="O539" s="221"/>
      <c r="P539" s="221"/>
      <c r="Q539" s="221"/>
      <c r="Z539" s="42"/>
      <c r="AA539" s="42"/>
      <c r="AB539" s="42"/>
    </row>
    <row r="540" spans="3:28" s="71" customFormat="1" ht="15.75" customHeight="1">
      <c r="D540" s="33" t="str">
        <f>IF(Indice_index!$Z$1=1,"agosto","August")</f>
        <v>August</v>
      </c>
      <c r="E540" s="33">
        <v>17460.405088760002</v>
      </c>
      <c r="F540" s="33">
        <v>17909.787941980001</v>
      </c>
      <c r="G540" s="33">
        <v>16026.595841030003</v>
      </c>
      <c r="H540" s="33">
        <v>16360.179399499995</v>
      </c>
      <c r="I540" s="33">
        <f t="shared" si="115"/>
        <v>1549.6085424800058</v>
      </c>
      <c r="J540" s="206">
        <f t="shared" si="116"/>
        <v>2.5737252425448325E-2</v>
      </c>
      <c r="K540" s="206">
        <f t="shared" si="117"/>
        <v>2.0814373918132928E-2</v>
      </c>
      <c r="L540" s="221"/>
      <c r="M540" s="221"/>
      <c r="N540" s="221"/>
      <c r="O540" s="221"/>
      <c r="P540" s="221"/>
      <c r="Q540" s="221"/>
      <c r="Z540" s="42"/>
      <c r="AA540" s="42"/>
      <c r="AB540" s="42"/>
    </row>
    <row r="541" spans="3:28" s="71" customFormat="1" ht="15.75" customHeight="1">
      <c r="C541" s="33"/>
      <c r="D541" s="33" t="str">
        <f>IF(Indice_index!$Z$1=1,"setembro","September")</f>
        <v>September</v>
      </c>
      <c r="E541" s="33">
        <v>19540.069803500002</v>
      </c>
      <c r="F541" s="33">
        <v>20092.304399020002</v>
      </c>
      <c r="G541" s="33">
        <v>17876.952376339999</v>
      </c>
      <c r="H541" s="33">
        <v>18247.684313230009</v>
      </c>
      <c r="I541" s="33">
        <f t="shared" si="115"/>
        <v>1844.620085789993</v>
      </c>
      <c r="J541" s="206">
        <f t="shared" si="116"/>
        <v>2.8261649066426774E-2</v>
      </c>
      <c r="K541" s="206">
        <f t="shared" si="117"/>
        <v>2.0737983135239009E-2</v>
      </c>
      <c r="L541" s="221"/>
      <c r="M541" s="221"/>
      <c r="N541" s="221"/>
      <c r="O541" s="221"/>
      <c r="P541" s="221"/>
      <c r="Q541" s="221"/>
      <c r="Z541" s="42"/>
      <c r="AA541" s="42"/>
      <c r="AB541" s="42"/>
    </row>
    <row r="542" spans="3:28" s="24" customFormat="1" ht="15.75" customHeight="1">
      <c r="C542" s="33"/>
      <c r="D542" s="33" t="str">
        <f>IF(Indice_index!$Z$1=1,"outubro","October")</f>
        <v>October</v>
      </c>
      <c r="E542" s="33">
        <v>21649.065138209997</v>
      </c>
      <c r="F542" s="33">
        <v>22315.733764200002</v>
      </c>
      <c r="G542" s="33">
        <v>19758.369974409998</v>
      </c>
      <c r="H542" s="33">
        <v>20194.20166480001</v>
      </c>
      <c r="I542" s="33">
        <f t="shared" si="115"/>
        <v>2121.5320993999921</v>
      </c>
      <c r="J542" s="206">
        <f t="shared" si="116"/>
        <v>3.0794337849413815E-2</v>
      </c>
      <c r="K542" s="206">
        <f t="shared" si="117"/>
        <v>2.205807923196491E-2</v>
      </c>
      <c r="L542" s="370"/>
      <c r="M542" s="370"/>
      <c r="N542" s="370"/>
      <c r="O542" s="370"/>
      <c r="P542" s="221"/>
      <c r="Q542" s="221"/>
      <c r="Z542" s="42"/>
      <c r="AA542" s="42"/>
      <c r="AB542" s="42"/>
    </row>
    <row r="543" spans="3:28" s="24" customFormat="1" ht="15.75" customHeight="1">
      <c r="C543" s="33"/>
      <c r="D543" s="33" t="str">
        <f>IF(Indice_index!$Z$1=1,"novembro","November")</f>
        <v>November</v>
      </c>
      <c r="E543" s="33">
        <v>23799.33571843</v>
      </c>
      <c r="F543" s="33">
        <v>24445.394377230001</v>
      </c>
      <c r="G543" s="33">
        <v>21766.520118429999</v>
      </c>
      <c r="H543" s="33">
        <v>22168.143651199989</v>
      </c>
      <c r="I543" s="33">
        <f t="shared" si="115"/>
        <v>2277.2507260300117</v>
      </c>
      <c r="J543" s="206">
        <f t="shared" si="116"/>
        <v>2.7146079472281166E-2</v>
      </c>
      <c r="K543" s="206">
        <f t="shared" si="117"/>
        <v>1.8451435074820739E-2</v>
      </c>
      <c r="L543" s="221"/>
      <c r="M543" s="221"/>
      <c r="N543" s="221"/>
      <c r="O543" s="221"/>
      <c r="P543" s="221"/>
      <c r="Q543" s="221"/>
      <c r="Z543" s="42"/>
      <c r="AA543" s="42"/>
      <c r="AB543" s="42"/>
    </row>
    <row r="544" spans="3:28" s="24" customFormat="1" ht="15.75" customHeight="1">
      <c r="C544" s="33"/>
      <c r="D544" s="33" t="str">
        <f>IF(Indice_index!$Z$1=1,"dezembro","December")</f>
        <v>December</v>
      </c>
      <c r="E544" s="33">
        <v>26693.25343488</v>
      </c>
      <c r="F544" s="33">
        <v>27267.148391970004</v>
      </c>
      <c r="G544" s="33">
        <v>24607.379026840004</v>
      </c>
      <c r="H544" s="33">
        <v>25297.59431197001</v>
      </c>
      <c r="I544" s="33">
        <f t="shared" si="115"/>
        <v>1969.5540799999944</v>
      </c>
      <c r="J544" s="206">
        <f t="shared" si="116"/>
        <v>2.1499625682199423E-2</v>
      </c>
      <c r="K544" s="206">
        <f t="shared" si="117"/>
        <v>2.8049118289971749E-2</v>
      </c>
      <c r="L544" s="221"/>
      <c r="M544" s="221"/>
      <c r="N544" s="221"/>
      <c r="O544" s="221"/>
      <c r="P544" s="221"/>
      <c r="Q544" s="221"/>
      <c r="Z544" s="42"/>
      <c r="AA544" s="42"/>
      <c r="AB544" s="42"/>
    </row>
    <row r="545" spans="3:28" s="24" customFormat="1" ht="15.75" customHeight="1">
      <c r="C545" s="33"/>
      <c r="D545" s="33"/>
      <c r="E545" s="33"/>
      <c r="F545" s="33"/>
      <c r="G545" s="33"/>
      <c r="H545" s="33"/>
      <c r="I545" s="33"/>
      <c r="J545" s="206"/>
      <c r="K545" s="206"/>
      <c r="L545" s="221"/>
      <c r="M545" s="221"/>
      <c r="N545" s="221"/>
      <c r="O545" s="221"/>
      <c r="P545" s="221"/>
      <c r="Q545" s="221"/>
      <c r="Z545" s="42"/>
      <c r="AA545" s="42"/>
      <c r="AB545" s="42"/>
    </row>
    <row r="546" spans="3:28" s="35" customFormat="1" ht="15.75" customHeight="1">
      <c r="C546" s="20" t="s">
        <v>127</v>
      </c>
      <c r="D546" s="71" t="str">
        <f>IF(Indice_index!$Z$1=1,"janeiro","January")</f>
        <v>January</v>
      </c>
      <c r="E546" s="71">
        <v>2447.3053318699999</v>
      </c>
      <c r="F546" s="71">
        <v>2590.2586713600003</v>
      </c>
      <c r="G546" s="71">
        <v>1943.88202664</v>
      </c>
      <c r="H546" s="71">
        <v>2066.5773334700002</v>
      </c>
      <c r="I546" s="71">
        <f t="shared" si="112"/>
        <v>523.68133789000012</v>
      </c>
      <c r="J546" s="204">
        <f t="shared" si="113"/>
        <v>5.8412547722751437E-2</v>
      </c>
      <c r="K546" s="204">
        <f t="shared" si="114"/>
        <v>6.311870018268495E-2</v>
      </c>
      <c r="L546"/>
      <c r="M546" s="203"/>
      <c r="O546" s="257"/>
      <c r="P546" s="257"/>
      <c r="Q546" s="256"/>
      <c r="Z546" s="2"/>
      <c r="AA546" s="2"/>
      <c r="AB546" s="2"/>
    </row>
    <row r="547" spans="3:28" s="35" customFormat="1" ht="15.75" customHeight="1">
      <c r="C547" s="71"/>
      <c r="D547" s="71" t="str">
        <f>IF(Indice_index!$Z$1=1,"fevereiro","February")</f>
        <v>February</v>
      </c>
      <c r="E547" s="71">
        <v>4607.96110813</v>
      </c>
      <c r="F547" s="71">
        <v>5017.9279381700007</v>
      </c>
      <c r="G547" s="71">
        <v>3828.712722100001</v>
      </c>
      <c r="H547" s="71">
        <v>4004.1619013600002</v>
      </c>
      <c r="I547" s="71">
        <f t="shared" si="112"/>
        <v>1013.7660368100005</v>
      </c>
      <c r="J547" s="204">
        <f t="shared" si="113"/>
        <v>8.8969247009633129E-2</v>
      </c>
      <c r="K547" s="204">
        <f t="shared" si="114"/>
        <v>4.582458700734475E-2</v>
      </c>
      <c r="L547"/>
      <c r="M547" s="203"/>
      <c r="O547" s="257"/>
      <c r="P547" s="258"/>
      <c r="Q547" s="257"/>
      <c r="Z547" s="2"/>
      <c r="AA547" s="2"/>
      <c r="AB547" s="2"/>
    </row>
    <row r="548" spans="3:28" s="35" customFormat="1" ht="15.75" customHeight="1">
      <c r="C548" s="71"/>
      <c r="D548" s="71" t="str">
        <f>IF(Indice_index!$Z$1=1,"março","March")</f>
        <v>March</v>
      </c>
      <c r="E548" s="71">
        <v>6667.9246202600007</v>
      </c>
      <c r="F548" s="71">
        <v>7223.7971568000003</v>
      </c>
      <c r="G548" s="71">
        <v>5688.9209185</v>
      </c>
      <c r="H548" s="71">
        <v>5964.23360073</v>
      </c>
      <c r="I548" s="71">
        <f t="shared" si="112"/>
        <v>1259.5635560700002</v>
      </c>
      <c r="J548" s="204">
        <f t="shared" si="113"/>
        <v>8.3365150057488888E-2</v>
      </c>
      <c r="K548" s="204">
        <f t="shared" si="114"/>
        <v>4.839453495208576E-2</v>
      </c>
      <c r="L548"/>
      <c r="M548" s="203"/>
      <c r="O548" s="257"/>
      <c r="P548" s="257"/>
      <c r="Q548" s="257"/>
      <c r="Z548" s="2"/>
      <c r="AA548" s="2"/>
      <c r="AB548" s="2"/>
    </row>
    <row r="549" spans="3:28" s="35" customFormat="1" ht="15.75" customHeight="1">
      <c r="C549" s="71"/>
      <c r="D549" s="71" t="str">
        <f>IF(Indice_index!$Z$1=1,"abril","April")</f>
        <v>April</v>
      </c>
      <c r="E549" s="71">
        <v>8807.6124948199995</v>
      </c>
      <c r="F549" s="71">
        <v>9552.5372380999997</v>
      </c>
      <c r="G549" s="71">
        <v>7558.823278849999</v>
      </c>
      <c r="H549" s="71">
        <v>7953.8024485800024</v>
      </c>
      <c r="I549" s="71">
        <f t="shared" si="112"/>
        <v>1598.7347895199973</v>
      </c>
      <c r="J549" s="204">
        <f t="shared" si="113"/>
        <v>8.4577374824120741E-2</v>
      </c>
      <c r="K549" s="204">
        <f t="shared" si="114"/>
        <v>5.2254055315088088E-2</v>
      </c>
      <c r="L549"/>
      <c r="M549" s="203"/>
      <c r="N549"/>
      <c r="O549"/>
      <c r="P549"/>
      <c r="Q549"/>
      <c r="Z549" s="2"/>
      <c r="AA549" s="2"/>
      <c r="AB549" s="2"/>
    </row>
    <row r="550" spans="3:28" s="35" customFormat="1" ht="15.75" customHeight="1">
      <c r="C550" s="71"/>
      <c r="D550" s="71" t="str">
        <f>IF(Indice_index!$Z$1=1,"maio","May")</f>
        <v>May</v>
      </c>
      <c r="E550" s="71">
        <v>10950.074660700002</v>
      </c>
      <c r="F550" s="71">
        <v>11790.984563900001</v>
      </c>
      <c r="G550" s="71">
        <v>9462.0273254900003</v>
      </c>
      <c r="H550" s="71">
        <v>9966.5591437400017</v>
      </c>
      <c r="I550" s="71">
        <f t="shared" si="112"/>
        <v>1824.4254201599997</v>
      </c>
      <c r="J550" s="204">
        <f t="shared" si="113"/>
        <v>7.679490133688667E-2</v>
      </c>
      <c r="K550" s="204">
        <f t="shared" si="114"/>
        <v>5.3321746058672868E-2</v>
      </c>
      <c r="M550"/>
      <c r="N550"/>
      <c r="O550"/>
      <c r="P550"/>
      <c r="Q550"/>
      <c r="Z550" s="2"/>
      <c r="AA550" s="2"/>
      <c r="AB550" s="2"/>
    </row>
    <row r="551" spans="3:28" s="35" customFormat="1" ht="15.75" customHeight="1">
      <c r="C551" s="71"/>
      <c r="D551" s="28" t="str">
        <f>IF(Indice_index!$Z$1=1,"junho","June")</f>
        <v>June</v>
      </c>
      <c r="E551" s="28"/>
      <c r="F551" s="28"/>
      <c r="G551" s="28"/>
      <c r="H551" s="28"/>
      <c r="I551" s="28" t="str">
        <f t="shared" si="112"/>
        <v/>
      </c>
      <c r="J551" s="226" t="str">
        <f t="shared" si="113"/>
        <v/>
      </c>
      <c r="K551" s="226" t="str">
        <f t="shared" si="114"/>
        <v/>
      </c>
      <c r="L551"/>
      <c r="M551"/>
      <c r="N551"/>
      <c r="O551"/>
      <c r="P551"/>
      <c r="Q551"/>
      <c r="Z551" s="2"/>
      <c r="AA551" s="2"/>
      <c r="AB551" s="2"/>
    </row>
    <row r="552" spans="3:28" s="35" customFormat="1" ht="15.75" customHeight="1">
      <c r="C552" s="71"/>
      <c r="D552" s="33" t="str">
        <f>IF(Indice_index!$Z$1=1,"julho","July")</f>
        <v>July</v>
      </c>
      <c r="E552" s="33"/>
      <c r="F552" s="33"/>
      <c r="G552" s="33"/>
      <c r="H552" s="33"/>
      <c r="I552" s="33" t="str">
        <f t="shared" si="112"/>
        <v/>
      </c>
      <c r="J552" s="206" t="str">
        <f t="shared" si="113"/>
        <v/>
      </c>
      <c r="K552" s="206" t="str">
        <f t="shared" si="114"/>
        <v/>
      </c>
      <c r="L552"/>
      <c r="M552"/>
      <c r="N552"/>
      <c r="O552"/>
      <c r="P552"/>
      <c r="Q552"/>
      <c r="Z552" s="2"/>
      <c r="AA552" s="2"/>
      <c r="AB552" s="2"/>
    </row>
    <row r="553" spans="3:28" s="35" customFormat="1" ht="15.75" customHeight="1">
      <c r="C553" s="71"/>
      <c r="D553" s="33" t="str">
        <f>IF(Indice_index!$Z$1=1,"agosto","August")</f>
        <v>August</v>
      </c>
      <c r="E553" s="33"/>
      <c r="F553" s="33"/>
      <c r="G553" s="33"/>
      <c r="H553" s="33"/>
      <c r="I553" s="33" t="str">
        <f t="shared" si="112"/>
        <v/>
      </c>
      <c r="J553" s="206" t="str">
        <f t="shared" si="113"/>
        <v/>
      </c>
      <c r="K553" s="206" t="str">
        <f t="shared" si="114"/>
        <v/>
      </c>
      <c r="L553"/>
      <c r="M553"/>
      <c r="N553"/>
      <c r="O553"/>
      <c r="P553"/>
      <c r="Q553"/>
      <c r="Z553" s="2"/>
      <c r="AA553" s="2"/>
      <c r="AB553" s="2"/>
    </row>
    <row r="554" spans="3:28" s="35" customFormat="1" ht="15.75" customHeight="1">
      <c r="C554" s="33"/>
      <c r="D554" s="33" t="str">
        <f>IF(Indice_index!$Z$1=1,"setembro","September")</f>
        <v>September</v>
      </c>
      <c r="E554" s="33"/>
      <c r="F554" s="33"/>
      <c r="G554" s="33"/>
      <c r="H554" s="33"/>
      <c r="I554" s="33" t="str">
        <f t="shared" si="112"/>
        <v/>
      </c>
      <c r="J554" s="206" t="str">
        <f t="shared" si="113"/>
        <v/>
      </c>
      <c r="K554" s="206" t="str">
        <f t="shared" si="114"/>
        <v/>
      </c>
      <c r="L554"/>
      <c r="M554"/>
      <c r="N554"/>
      <c r="O554"/>
      <c r="P554"/>
      <c r="Q554"/>
      <c r="Z554" s="2"/>
      <c r="AA554" s="2"/>
      <c r="AB554" s="2"/>
    </row>
    <row r="555" spans="3:28" ht="15.75" customHeight="1">
      <c r="C555" s="33"/>
      <c r="D555" s="33" t="str">
        <f>IF(Indice_index!$Z$1=1,"outubro","October")</f>
        <v>October</v>
      </c>
      <c r="E555" s="33"/>
      <c r="F555" s="33"/>
      <c r="G555" s="33"/>
      <c r="H555" s="33"/>
      <c r="I555" s="33" t="str">
        <f t="shared" si="112"/>
        <v/>
      </c>
      <c r="J555" s="206" t="str">
        <f t="shared" si="113"/>
        <v/>
      </c>
      <c r="K555" s="206" t="str">
        <f t="shared" si="114"/>
        <v/>
      </c>
      <c r="L555" s="358"/>
      <c r="M555" s="358"/>
      <c r="N555" s="358"/>
      <c r="O555" s="358"/>
      <c r="P555"/>
      <c r="Q555"/>
    </row>
    <row r="556" spans="3:28" s="24" customFormat="1" ht="15.75" customHeight="1">
      <c r="C556" s="33"/>
      <c r="D556" s="33" t="str">
        <f>IF(Indice_index!$Z$1=1,"novembro","November")</f>
        <v>November</v>
      </c>
      <c r="E556" s="33"/>
      <c r="F556" s="33"/>
      <c r="G556" s="33"/>
      <c r="H556" s="33"/>
      <c r="I556" s="33" t="str">
        <f t="shared" si="112"/>
        <v/>
      </c>
      <c r="J556" s="206" t="str">
        <f t="shared" si="113"/>
        <v/>
      </c>
      <c r="K556" s="206" t="str">
        <f t="shared" si="114"/>
        <v/>
      </c>
      <c r="L556" s="221"/>
      <c r="M556" s="221"/>
      <c r="N556" s="221"/>
      <c r="O556" s="221"/>
      <c r="P556" s="221"/>
      <c r="Q556" s="221"/>
      <c r="Z556" s="42"/>
      <c r="AA556" s="42"/>
      <c r="AB556" s="42"/>
    </row>
    <row r="557" spans="3:28" s="24" customFormat="1" ht="15.75" customHeight="1">
      <c r="C557" s="85"/>
      <c r="D557" s="85" t="str">
        <f>IF(Indice_index!$Z$1=1,"dezembro","December")</f>
        <v>December</v>
      </c>
      <c r="E557" s="85"/>
      <c r="F557" s="85"/>
      <c r="G557" s="85"/>
      <c r="H557" s="85"/>
      <c r="I557" s="85" t="str">
        <f t="shared" si="112"/>
        <v/>
      </c>
      <c r="J557" s="252" t="str">
        <f t="shared" si="113"/>
        <v/>
      </c>
      <c r="K557" s="252" t="str">
        <f t="shared" si="114"/>
        <v/>
      </c>
      <c r="L557" s="221"/>
      <c r="M557" s="221"/>
      <c r="N557" s="221"/>
      <c r="O557" s="221"/>
      <c r="P557" s="221"/>
      <c r="Q557" s="221"/>
      <c r="Z557" s="42"/>
      <c r="AA557" s="42"/>
      <c r="AB557" s="42"/>
    </row>
    <row r="558" spans="3:28" ht="21.75" customHeight="1">
      <c r="C558" s="386"/>
      <c r="D558" s="386"/>
      <c r="E558" s="386"/>
      <c r="F558" s="386"/>
      <c r="G558" s="386"/>
      <c r="H558" s="386"/>
      <c r="I558" s="386"/>
      <c r="J558" s="386"/>
      <c r="K558" s="386"/>
      <c r="M558" s="234"/>
    </row>
    <row r="559" spans="3:28">
      <c r="C559" s="53"/>
      <c r="D559" s="53"/>
      <c r="E559" s="53"/>
      <c r="F559" s="53"/>
      <c r="G559" s="53"/>
      <c r="H559" s="53"/>
      <c r="I559" s="53"/>
      <c r="J559" s="53"/>
      <c r="K559" s="53"/>
    </row>
    <row r="561" spans="3:26" ht="11.25" customHeight="1">
      <c r="C561" s="82" t="str">
        <f>IF(Indice_index!$Z$1=1,"1.5 Evolução da Receita, Despesa e Saldo da Administração Local (valores acumulados)","1.5 Local Government Revenue, Expenditure and Balance Evolution (cumulative values)")</f>
        <v>1.5 Local Government Revenue, Expenditure and Balance Evolution (cumulative values)</v>
      </c>
      <c r="H561" s="7"/>
      <c r="J561" s="14"/>
      <c r="K561" s="80" t="str">
        <f>IF(Indice_index!$Z$1=1,"€ Milhões","€ Millions")</f>
        <v>€ Millions</v>
      </c>
    </row>
    <row r="562" spans="3:26">
      <c r="C562" s="72"/>
      <c r="D562" s="72"/>
      <c r="E562" s="383" t="str">
        <f>IF(Indice_index!$Z$1=1,"Receita efetiva","Effective revenue")</f>
        <v>Effective revenue</v>
      </c>
      <c r="F562" s="383"/>
      <c r="G562" s="383" t="str">
        <f>IF(Indice_index!$Z$1=1,"Despesa  efetiva","Effective expenditure")</f>
        <v>Effective expenditure</v>
      </c>
      <c r="H562" s="383"/>
      <c r="I562" s="383" t="str">
        <f>IF(Indice_index!$Z$1=1,"Saldo global","Overall
balance")</f>
        <v>Overall
balance</v>
      </c>
      <c r="J562" s="385" t="str">
        <f>IF(Indice_index!$Z$1=1,"VH (%)","YOY Change Rate (%)")</f>
        <v>YOY Change Rate (%)</v>
      </c>
      <c r="K562" s="385"/>
    </row>
    <row r="563" spans="3:26">
      <c r="C563" s="73"/>
      <c r="D563" s="75"/>
      <c r="E563" s="384"/>
      <c r="F563" s="384"/>
      <c r="G563" s="384"/>
      <c r="H563" s="384"/>
      <c r="I563" s="384"/>
      <c r="J563" s="190" t="str">
        <f>IF(Indice_index!$Z$1=1,"Receita","Revenue")</f>
        <v>Revenue</v>
      </c>
      <c r="K563" s="74" t="str">
        <f>IF(Indice_index!$Z$1=1,"Despesa","Expenditure")</f>
        <v>Expenditure</v>
      </c>
    </row>
    <row r="564" spans="3:26">
      <c r="C564" s="23"/>
      <c r="D564" s="24"/>
      <c r="E564" s="18" t="str">
        <f>IF(Indice_index!$Z$1=1,"Ano n-1","Year n-1")</f>
        <v>Year n-1</v>
      </c>
      <c r="F564" s="18" t="str">
        <f>IF(Indice_index!$Z$1=1,"Ano n","Year n")</f>
        <v>Year n</v>
      </c>
      <c r="G564" s="18" t="str">
        <f>IF(Indice_index!$Z$1=1,"Ano n-1","Year n-1")</f>
        <v>Year n-1</v>
      </c>
      <c r="H564" s="18" t="str">
        <f>IF(Indice_index!$Z$1=1,"Ano n","Year n")</f>
        <v>Year n</v>
      </c>
      <c r="I564" s="18" t="str">
        <f>IF(Indice_index!$Z$1=1,"Ano n","Year n")</f>
        <v>Year n</v>
      </c>
      <c r="J564" s="19" t="str">
        <f>IF(Indice_index!$Z$1=1,"Ano n","Year n")</f>
        <v>Year n</v>
      </c>
      <c r="K564" s="19" t="str">
        <f>IF(Indice_index!$Z$1=1,"Ano n","Year n")</f>
        <v>Year n</v>
      </c>
      <c r="M564" s="54"/>
    </row>
    <row r="565" spans="3:26">
      <c r="C565" s="20">
        <v>2009</v>
      </c>
      <c r="D565" s="7" t="str">
        <f>IF(Indice_index!$Z$1=1,"I TR","Q1")</f>
        <v>Q1</v>
      </c>
      <c r="E565" s="32">
        <v>1257.0238103600002</v>
      </c>
      <c r="F565" s="32">
        <v>1484.6470252500001</v>
      </c>
      <c r="G565" s="32">
        <v>1184.0232639099997</v>
      </c>
      <c r="H565" s="32">
        <v>1462.2824598300001</v>
      </c>
      <c r="I565" s="32">
        <f>+F565-H565</f>
        <v>22.364565419999963</v>
      </c>
      <c r="J565" s="34">
        <f>IF(E565=0,"-",(F565-E565)/E565)</f>
        <v>0.1810810686432508</v>
      </c>
      <c r="K565" s="34">
        <f>IF(G565=0,"-",(H565-G565)/G565)</f>
        <v>0.23501159512787367</v>
      </c>
      <c r="L565" s="372"/>
      <c r="M565" s="54"/>
      <c r="Z565" s="7"/>
    </row>
    <row r="566" spans="3:26">
      <c r="C566" s="20"/>
      <c r="D566" s="7" t="str">
        <f>IF(Indice_index!$Z$1=1,"II TR","Q2")</f>
        <v>Q2</v>
      </c>
      <c r="E566" s="32">
        <v>2908.8410760299994</v>
      </c>
      <c r="F566" s="32">
        <v>3518.6473903900001</v>
      </c>
      <c r="G566" s="32">
        <v>2794.0170378799994</v>
      </c>
      <c r="H566" s="32">
        <v>3503.0013819299998</v>
      </c>
      <c r="I566" s="32">
        <f>+F566-H566</f>
        <v>15.646008460000303</v>
      </c>
      <c r="J566" s="34">
        <f>IF(E566=0,"-",(F566-E566)/E566)</f>
        <v>0.20963892437611867</v>
      </c>
      <c r="K566" s="34">
        <f>IF(G566=0,"-",(H566-G566)/G566)</f>
        <v>0.25375090217343571</v>
      </c>
      <c r="L566" s="372"/>
      <c r="M566" s="54"/>
      <c r="Z566" s="7"/>
    </row>
    <row r="567" spans="3:26">
      <c r="C567" s="20"/>
      <c r="D567" s="7" t="str">
        <f>IF(Indice_index!$Z$1=1,"III TR","Q3")</f>
        <v>Q3</v>
      </c>
      <c r="E567" s="32">
        <v>4349.5115983699989</v>
      </c>
      <c r="F567" s="32">
        <v>5207.3203691499984</v>
      </c>
      <c r="G567" s="32">
        <v>4250.2427883899991</v>
      </c>
      <c r="H567" s="32">
        <v>5538.2064723299991</v>
      </c>
      <c r="I567" s="32">
        <f>+F567-H567</f>
        <v>-330.88610318000065</v>
      </c>
      <c r="J567" s="34">
        <f>IF(E567=0,"-",(F567-E567)/E567)</f>
        <v>0.19721956164031559</v>
      </c>
      <c r="K567" s="34">
        <f>IF(G567=0,"-",(H567-G567)/G567)</f>
        <v>0.30303296730676493</v>
      </c>
      <c r="L567" s="372"/>
      <c r="M567" s="54"/>
      <c r="Z567" s="7"/>
    </row>
    <row r="568" spans="3:26">
      <c r="C568" s="20"/>
      <c r="D568" s="7" t="str">
        <f>IF(Indice_index!$Z$1=1,"IV TR","Q4")</f>
        <v>Q4</v>
      </c>
      <c r="E568" s="32">
        <v>6183.91695162</v>
      </c>
      <c r="F568" s="32">
        <v>7200.9968363899989</v>
      </c>
      <c r="G568" s="32">
        <v>6438.0109478299992</v>
      </c>
      <c r="H568" s="32">
        <v>7851.6687581000015</v>
      </c>
      <c r="I568" s="32">
        <f>+F568-H568</f>
        <v>-650.67192171000261</v>
      </c>
      <c r="J568" s="34">
        <f>IF(E568=0,"-",(F568-E568)/E568)</f>
        <v>0.1644717891147543</v>
      </c>
      <c r="K568" s="34">
        <f>IF(G568=0,"-",(H568-G568)/G568)</f>
        <v>0.2195799015760436</v>
      </c>
      <c r="L568" s="372"/>
      <c r="M568" s="54"/>
      <c r="Z568" s="7"/>
    </row>
    <row r="569" spans="3:26">
      <c r="C569" s="20"/>
      <c r="E569" s="32"/>
      <c r="F569" s="32"/>
      <c r="G569" s="32"/>
      <c r="H569" s="32"/>
      <c r="I569" s="32"/>
      <c r="J569" s="34"/>
      <c r="K569" s="34"/>
      <c r="L569" s="372"/>
      <c r="M569" s="54"/>
      <c r="Z569" s="7"/>
    </row>
    <row r="570" spans="3:26">
      <c r="C570" s="20" t="s">
        <v>3</v>
      </c>
      <c r="D570" s="7" t="str">
        <f>IF(Indice_index!$Z$1=1,"I TR","Q1")</f>
        <v>Q1</v>
      </c>
      <c r="E570" s="32">
        <f>F565</f>
        <v>1484.6470252500001</v>
      </c>
      <c r="F570" s="32">
        <v>1394.3627610800002</v>
      </c>
      <c r="G570" s="32">
        <f>H565</f>
        <v>1462.2824598300001</v>
      </c>
      <c r="H570" s="32">
        <v>1401.1115975600001</v>
      </c>
      <c r="I570" s="32">
        <f>+F570-H570</f>
        <v>-6.748836479999909</v>
      </c>
      <c r="J570" s="34">
        <f>IF(E570=0,"-",(F570-E570)/E570)</f>
        <v>-6.0811938888165641E-2</v>
      </c>
      <c r="K570" s="34">
        <f>IF(G570=0,"-",(H570-G570)/G570)</f>
        <v>-4.1832452997563517E-2</v>
      </c>
      <c r="L570" s="372"/>
      <c r="M570" s="54"/>
      <c r="Z570" s="7"/>
    </row>
    <row r="571" spans="3:26">
      <c r="C571" s="20"/>
      <c r="D571" s="7" t="str">
        <f>IF(Indice_index!$Z$1=1,"II TR","Q2")</f>
        <v>Q2</v>
      </c>
      <c r="E571" s="32">
        <f>F566</f>
        <v>3518.6473903900001</v>
      </c>
      <c r="F571" s="32">
        <v>3438.4795355699994</v>
      </c>
      <c r="G571" s="32">
        <f>H566</f>
        <v>3503.0013819299998</v>
      </c>
      <c r="H571" s="32">
        <v>3277.82523051</v>
      </c>
      <c r="I571" s="32">
        <f>+F571-H571</f>
        <v>160.65430505999939</v>
      </c>
      <c r="J571" s="34">
        <f>IF(E571=0,"-",(F571-E571)/E571)</f>
        <v>-2.278371371878642E-2</v>
      </c>
      <c r="K571" s="34">
        <f>IF(G571=0,"-",(H571-G571)/G571)</f>
        <v>-6.4280919950975762E-2</v>
      </c>
      <c r="L571" s="372"/>
      <c r="M571" s="54"/>
      <c r="Z571" s="7"/>
    </row>
    <row r="572" spans="3:26">
      <c r="C572" s="20"/>
      <c r="D572" s="7" t="str">
        <f>IF(Indice_index!$Z$1=1,"III TR","Q3")</f>
        <v>Q3</v>
      </c>
      <c r="E572" s="32">
        <f>F567</f>
        <v>5207.3203691499984</v>
      </c>
      <c r="F572" s="33">
        <v>5137.2553316799986</v>
      </c>
      <c r="G572" s="32">
        <f>H567</f>
        <v>5538.2064723299991</v>
      </c>
      <c r="H572" s="33">
        <v>4991.6846362999995</v>
      </c>
      <c r="I572" s="32">
        <f>+F572-H572</f>
        <v>145.57069537999905</v>
      </c>
      <c r="J572" s="34">
        <f>IF(E572=0,"-",(F572-E572)/E572)</f>
        <v>-1.3455104065632271E-2</v>
      </c>
      <c r="K572" s="34">
        <f>IF(G572=0,"-",(H572-G572)/G572)</f>
        <v>-9.8682098394224441E-2</v>
      </c>
      <c r="L572" s="372"/>
      <c r="M572" s="54"/>
      <c r="Z572" s="7"/>
    </row>
    <row r="573" spans="3:26">
      <c r="C573" s="20"/>
      <c r="D573" s="24" t="str">
        <f>IF(Indice_index!$Z$1=1,"IV TR","Q4")</f>
        <v>Q4</v>
      </c>
      <c r="E573" s="32">
        <f>F568</f>
        <v>7200.9968363899989</v>
      </c>
      <c r="F573" s="33">
        <v>7246.2406186200024</v>
      </c>
      <c r="G573" s="32">
        <f>H568</f>
        <v>7851.6687581000015</v>
      </c>
      <c r="H573" s="33">
        <v>7181.606403830001</v>
      </c>
      <c r="I573" s="33">
        <f>+F573-H573</f>
        <v>64.634214790001352</v>
      </c>
      <c r="J573" s="55">
        <f>IF(E573=0,"-",(F573-E573)/E573)</f>
        <v>6.282988766411552E-3</v>
      </c>
      <c r="K573" s="55">
        <f>IF(G573=0,"-",(H573-G573)/G573)</f>
        <v>-8.5340120032285541E-2</v>
      </c>
      <c r="L573" s="372"/>
      <c r="M573" s="54"/>
      <c r="Z573" s="7"/>
    </row>
    <row r="574" spans="3:26">
      <c r="C574" s="20"/>
      <c r="E574" s="32"/>
      <c r="F574" s="32"/>
      <c r="G574" s="32"/>
      <c r="H574" s="32"/>
      <c r="I574" s="32"/>
      <c r="J574" s="34"/>
      <c r="K574" s="34"/>
      <c r="L574" s="372"/>
      <c r="M574" s="54"/>
      <c r="Z574" s="7"/>
    </row>
    <row r="575" spans="3:26">
      <c r="C575" s="20" t="s">
        <v>4</v>
      </c>
      <c r="D575" s="7" t="str">
        <f>IF(Indice_index!$Z$1=1,"I TR","Q1")</f>
        <v>Q1</v>
      </c>
      <c r="E575" s="32">
        <f>F570</f>
        <v>1394.3627610800002</v>
      </c>
      <c r="F575" s="32">
        <v>1457.4838076600001</v>
      </c>
      <c r="G575" s="32">
        <f>H570</f>
        <v>1401.1115975600001</v>
      </c>
      <c r="H575" s="32">
        <v>1433.3910903299998</v>
      </c>
      <c r="I575" s="32">
        <f>+F575-H575</f>
        <v>24.092717330000369</v>
      </c>
      <c r="J575" s="34">
        <f>IF(E575=0,"-",(F575-E575)/E575)</f>
        <v>4.5268740920124499E-2</v>
      </c>
      <c r="K575" s="34">
        <f>IF(G575=0,"-",(H575-G575)/G575)</f>
        <v>2.3038488030656241E-2</v>
      </c>
      <c r="L575" s="372"/>
      <c r="M575" s="54"/>
      <c r="Z575" s="7"/>
    </row>
    <row r="576" spans="3:26">
      <c r="C576" s="20"/>
      <c r="D576" s="7" t="str">
        <f>IF(Indice_index!$Z$1=1,"II TR","Q2")</f>
        <v>Q2</v>
      </c>
      <c r="E576" s="32">
        <f>F571</f>
        <v>3438.4795355699994</v>
      </c>
      <c r="F576" s="32">
        <v>3525.0165164199998</v>
      </c>
      <c r="G576" s="32">
        <f>H571</f>
        <v>3277.82523051</v>
      </c>
      <c r="H576" s="32">
        <v>3307.8199487600004</v>
      </c>
      <c r="I576" s="32">
        <f>+F576-H576</f>
        <v>217.19656765999935</v>
      </c>
      <c r="J576" s="34">
        <f>IF(E576=0,"-",(F576-E576)/E576)</f>
        <v>2.5167222882905748E-2</v>
      </c>
      <c r="K576" s="34">
        <f>IF(G576=0,"-",(H576-G576)/G576)</f>
        <v>9.1507985144569631E-3</v>
      </c>
      <c r="L576" s="372"/>
      <c r="M576" s="54"/>
      <c r="Z576" s="7"/>
    </row>
    <row r="577" spans="3:28">
      <c r="C577" s="20"/>
      <c r="D577" s="7" t="str">
        <f>IF(Indice_index!$Z$1=1,"III TR","Q3")</f>
        <v>Q3</v>
      </c>
      <c r="E577" s="32">
        <f>F572</f>
        <v>5137.2553316799986</v>
      </c>
      <c r="F577" s="32">
        <v>5136.9868850500006</v>
      </c>
      <c r="G577" s="32">
        <f>H572</f>
        <v>4991.6846362999995</v>
      </c>
      <c r="H577" s="32">
        <v>4941.5581633500005</v>
      </c>
      <c r="I577" s="32">
        <f>+F577-H577</f>
        <v>195.4287217000001</v>
      </c>
      <c r="J577" s="34">
        <f>IF(E577=0,"-",(F577-E577)/E577)</f>
        <v>-5.2254873987378154E-5</v>
      </c>
      <c r="K577" s="34">
        <f>IF(G577=0,"-",(H577-G577)/G577)</f>
        <v>-1.0041995158402947E-2</v>
      </c>
      <c r="L577" s="372"/>
      <c r="M577" s="54"/>
      <c r="Z577" s="7"/>
    </row>
    <row r="578" spans="3:28">
      <c r="C578" s="20"/>
      <c r="D578" s="7" t="str">
        <f>IF(Indice_index!$Z$1=1,"IV TR","Q4")</f>
        <v>Q4</v>
      </c>
      <c r="E578" s="32">
        <f>F573</f>
        <v>7246.2406186200024</v>
      </c>
      <c r="F578" s="32">
        <v>7281.6785700600003</v>
      </c>
      <c r="G578" s="32">
        <f>H573</f>
        <v>7181.606403830001</v>
      </c>
      <c r="H578" s="32">
        <v>7072.3262380999995</v>
      </c>
      <c r="I578" s="32">
        <f>+F578-H578</f>
        <v>209.35233196000081</v>
      </c>
      <c r="J578" s="34">
        <f>IF(E578=0,"-",(F578-E578)/E578)</f>
        <v>4.8905292144089578E-3</v>
      </c>
      <c r="K578" s="34">
        <f>IF(G578=0,"-",(H578-G578)/G578)</f>
        <v>-1.5216674318397847E-2</v>
      </c>
      <c r="L578" s="372"/>
      <c r="M578" s="54"/>
      <c r="Z578" s="7"/>
    </row>
    <row r="579" spans="3:28">
      <c r="C579" s="20"/>
      <c r="E579" s="32"/>
      <c r="F579" s="32"/>
      <c r="G579" s="32"/>
      <c r="H579" s="32"/>
      <c r="I579" s="32"/>
      <c r="J579" s="34"/>
      <c r="K579" s="34"/>
      <c r="L579" s="372"/>
      <c r="M579" s="54"/>
      <c r="Z579" s="7"/>
    </row>
    <row r="580" spans="3:28">
      <c r="C580" s="20" t="s">
        <v>5</v>
      </c>
      <c r="D580" s="7" t="str">
        <f>IF(Indice_index!$Z$1=1,"janeiro","January")</f>
        <v>January</v>
      </c>
      <c r="E580" s="32"/>
      <c r="F580" s="32">
        <v>456.06216802999984</v>
      </c>
      <c r="G580" s="32"/>
      <c r="H580" s="32">
        <v>406.15377233000004</v>
      </c>
      <c r="I580" s="32">
        <f>+F580-H580</f>
        <v>49.908395699999801</v>
      </c>
      <c r="J580" s="34" t="str">
        <f>IF(E580=0,"-",(F580-E580)/E580)</f>
        <v>-</v>
      </c>
      <c r="K580" s="34" t="str">
        <f>IF(G580=0,"-",(H580-G580)/G580)</f>
        <v>-</v>
      </c>
      <c r="L580" s="372"/>
      <c r="M580" s="54"/>
      <c r="Z580" s="7"/>
    </row>
    <row r="581" spans="3:28">
      <c r="C581" s="20"/>
      <c r="D581" s="7" t="str">
        <f>IF(Indice_index!$Z$1=1,"fevereiro","February")</f>
        <v>February</v>
      </c>
      <c r="E581" s="32"/>
      <c r="F581" s="32">
        <v>901.96308377000025</v>
      </c>
      <c r="G581" s="32"/>
      <c r="H581" s="32">
        <v>857.46172853999997</v>
      </c>
      <c r="I581" s="32">
        <f>+F581-H581</f>
        <v>44.501355230000286</v>
      </c>
      <c r="J581" s="34" t="str">
        <f>IF(E581=0,"-",(F581-E581)/E581)</f>
        <v>-</v>
      </c>
      <c r="K581" s="34" t="str">
        <f>IF(G581=0,"-",(H581-G581)/G581)</f>
        <v>-</v>
      </c>
      <c r="L581" s="372"/>
      <c r="M581" s="54"/>
      <c r="Z581" s="7"/>
    </row>
    <row r="582" spans="3:28">
      <c r="C582" s="20"/>
      <c r="D582" s="7" t="str">
        <f>IF(Indice_index!$Z$1=1,"março","March")</f>
        <v>March</v>
      </c>
      <c r="E582" s="32">
        <f>F575</f>
        <v>1457.4838076600001</v>
      </c>
      <c r="F582" s="32">
        <v>1377.9024422299999</v>
      </c>
      <c r="G582" s="32">
        <f>H575</f>
        <v>1433.3910903299998</v>
      </c>
      <c r="H582" s="32">
        <v>1352.8408184799998</v>
      </c>
      <c r="I582" s="32">
        <f t="shared" ref="I582:I589" si="118">+F582-H582</f>
        <v>25.061623750000081</v>
      </c>
      <c r="J582" s="34">
        <f>IF(E582=0,"-",(F582-E582)/E582)</f>
        <v>-5.4601886492151593E-2</v>
      </c>
      <c r="K582" s="34">
        <f>IF(G582=0,"-",(H582-G582)/G582)</f>
        <v>-5.6195599647166361E-2</v>
      </c>
      <c r="L582" s="372"/>
      <c r="M582" s="54"/>
      <c r="Z582" s="7"/>
    </row>
    <row r="583" spans="3:28">
      <c r="C583" s="20"/>
      <c r="D583" s="7" t="str">
        <f>IF(Indice_index!$Z$1=1,"abril","April")</f>
        <v>April</v>
      </c>
      <c r="E583" s="32"/>
      <c r="F583" s="32">
        <v>1862.9528817500004</v>
      </c>
      <c r="G583" s="32"/>
      <c r="H583" s="32">
        <v>1820.1826939499999</v>
      </c>
      <c r="I583" s="32">
        <f t="shared" si="118"/>
        <v>42.770187800000485</v>
      </c>
      <c r="J583" s="34" t="s">
        <v>6</v>
      </c>
      <c r="K583" s="34" t="s">
        <v>6</v>
      </c>
      <c r="L583" s="372"/>
      <c r="M583" s="54"/>
      <c r="Z583" s="7"/>
    </row>
    <row r="584" spans="3:28" s="32" customFormat="1">
      <c r="C584" s="20"/>
      <c r="D584" s="7" t="str">
        <f>IF(Indice_index!$Z$1=1,"maio","May")</f>
        <v>May</v>
      </c>
      <c r="F584" s="32">
        <v>2916.9858971799999</v>
      </c>
      <c r="H584" s="32">
        <v>2513.0321834299998</v>
      </c>
      <c r="I584" s="32">
        <f t="shared" si="118"/>
        <v>403.95371375000013</v>
      </c>
      <c r="J584" s="34" t="s">
        <v>6</v>
      </c>
      <c r="K584" s="34" t="s">
        <v>6</v>
      </c>
      <c r="L584" s="372"/>
      <c r="M584" s="54"/>
      <c r="N584" s="7"/>
      <c r="T584" s="7"/>
      <c r="U584" s="7"/>
      <c r="V584" s="7"/>
      <c r="W584" s="7"/>
      <c r="X584" s="7"/>
      <c r="Y584" s="7"/>
      <c r="Z584" s="7"/>
      <c r="AA584" s="41"/>
      <c r="AB584" s="41"/>
    </row>
    <row r="585" spans="3:28" s="32" customFormat="1">
      <c r="C585" s="49"/>
      <c r="D585" s="32" t="str">
        <f>IF(Indice_index!$Z$1=1,"junho","June")</f>
        <v>June</v>
      </c>
      <c r="E585" s="32">
        <f>+F576</f>
        <v>3525.0165164199998</v>
      </c>
      <c r="F585" s="32">
        <v>3407.8036578499996</v>
      </c>
      <c r="G585" s="32">
        <f>+H576</f>
        <v>3307.8199487600004</v>
      </c>
      <c r="H585" s="32">
        <v>3118.6312764400004</v>
      </c>
      <c r="I585" s="32">
        <f t="shared" si="118"/>
        <v>289.17238140999916</v>
      </c>
      <c r="J585" s="34">
        <f>IF(E585=0,"-",(F585-E585)/E585)</f>
        <v>-3.3251718970395458E-2</v>
      </c>
      <c r="K585" s="34">
        <f>IF(G585=0,"-",(H585-G585)/G585)</f>
        <v>-5.7194368269929872E-2</v>
      </c>
      <c r="L585" s="372"/>
      <c r="M585" s="54"/>
      <c r="N585" s="7"/>
      <c r="T585" s="7"/>
      <c r="U585" s="7"/>
      <c r="V585" s="7"/>
      <c r="W585" s="7"/>
      <c r="X585" s="7"/>
      <c r="Y585" s="7"/>
      <c r="Z585" s="7"/>
      <c r="AA585" s="41"/>
      <c r="AB585" s="41"/>
    </row>
    <row r="586" spans="3:28" s="32" customFormat="1">
      <c r="C586" s="49"/>
      <c r="D586" s="32" t="str">
        <f>IF(Indice_index!$Z$1=1,"julho","July")</f>
        <v>July</v>
      </c>
      <c r="F586" s="32">
        <v>3943.2928699000004</v>
      </c>
      <c r="H586" s="32">
        <v>3675.6128404800002</v>
      </c>
      <c r="I586" s="32">
        <f t="shared" si="118"/>
        <v>267.68002942000021</v>
      </c>
      <c r="J586" s="34" t="s">
        <v>6</v>
      </c>
      <c r="K586" s="34" t="s">
        <v>6</v>
      </c>
      <c r="L586" s="372"/>
      <c r="M586" s="54"/>
      <c r="N586" s="7"/>
      <c r="T586" s="7"/>
      <c r="U586" s="7"/>
      <c r="V586" s="7"/>
      <c r="W586" s="7"/>
      <c r="X586" s="7"/>
      <c r="Y586" s="7"/>
      <c r="Z586" s="7"/>
      <c r="AA586" s="41"/>
      <c r="AB586" s="41"/>
    </row>
    <row r="587" spans="3:28" s="32" customFormat="1">
      <c r="C587" s="49"/>
      <c r="D587" s="32" t="str">
        <f>IF(Indice_index!$Z$1=1,"agosto","August")</f>
        <v>August</v>
      </c>
      <c r="F587" s="32">
        <v>4474.0733853699985</v>
      </c>
      <c r="H587" s="32">
        <v>4172.1177948599998</v>
      </c>
      <c r="I587" s="32">
        <f t="shared" si="118"/>
        <v>301.95559050999873</v>
      </c>
      <c r="J587" s="34"/>
      <c r="K587" s="34"/>
      <c r="L587" s="372"/>
      <c r="M587" s="54"/>
      <c r="N587" s="7"/>
      <c r="T587" s="7"/>
      <c r="U587" s="7"/>
      <c r="V587" s="7"/>
      <c r="W587" s="7"/>
      <c r="X587" s="7"/>
      <c r="Y587" s="7"/>
      <c r="Z587" s="7"/>
      <c r="AA587" s="41"/>
      <c r="AB587" s="41"/>
    </row>
    <row r="588" spans="3:28" s="32" customFormat="1">
      <c r="C588" s="49"/>
      <c r="D588" s="12" t="str">
        <f>IF(Indice_index!$Z$1=1,"setembro","September")</f>
        <v>September</v>
      </c>
      <c r="E588" s="32">
        <f>+F577</f>
        <v>5136.9868850500006</v>
      </c>
      <c r="F588" s="32">
        <v>5068.1389399599993</v>
      </c>
      <c r="G588" s="32">
        <f>+H577</f>
        <v>4941.5581633500005</v>
      </c>
      <c r="H588" s="32">
        <v>4674.3000965800002</v>
      </c>
      <c r="I588" s="32">
        <f t="shared" si="118"/>
        <v>393.83884337999916</v>
      </c>
      <c r="J588" s="34">
        <f>IF(E588=0,"-",(F588-E588)/E588)</f>
        <v>-1.3402398454698639E-2</v>
      </c>
      <c r="K588" s="34">
        <f>IF(G588=0,"-",(H588-G588)/G588)</f>
        <v>-5.4083764257227669E-2</v>
      </c>
      <c r="L588" s="372"/>
      <c r="M588" s="54"/>
      <c r="N588" s="7"/>
      <c r="T588" s="7"/>
      <c r="U588" s="7"/>
      <c r="V588" s="7"/>
      <c r="W588" s="7"/>
      <c r="X588" s="7"/>
      <c r="Y588" s="7"/>
      <c r="Z588" s="7"/>
      <c r="AA588" s="41"/>
      <c r="AB588" s="41"/>
    </row>
    <row r="589" spans="3:28" s="32" customFormat="1">
      <c r="C589" s="49"/>
      <c r="D589" s="12" t="str">
        <f>IF(Indice_index!$Z$1=1,"outubro","October")</f>
        <v>October</v>
      </c>
      <c r="F589" s="32">
        <v>6022.5144740999995</v>
      </c>
      <c r="H589" s="32">
        <v>5298.5796146699986</v>
      </c>
      <c r="I589" s="32">
        <f t="shared" si="118"/>
        <v>723.93485943000087</v>
      </c>
      <c r="J589" s="34" t="str">
        <f>IF(E589=0,"-",(F589-E589)/E589)</f>
        <v>-</v>
      </c>
      <c r="K589" s="34" t="str">
        <f>IF(G589=0,"-",(H589-G589)/G589)</f>
        <v>-</v>
      </c>
      <c r="L589" s="372"/>
      <c r="M589" s="54"/>
      <c r="N589" s="7"/>
      <c r="T589" s="7"/>
      <c r="U589" s="7"/>
      <c r="V589" s="7"/>
      <c r="W589" s="7"/>
      <c r="X589" s="7"/>
      <c r="Y589" s="7"/>
      <c r="Z589" s="7"/>
      <c r="AA589" s="41"/>
      <c r="AB589" s="41"/>
    </row>
    <row r="590" spans="3:28" s="32" customFormat="1">
      <c r="C590" s="49"/>
      <c r="D590" s="12" t="str">
        <f>IF(Indice_index!$Z$1=1,"novembro","November")</f>
        <v>November</v>
      </c>
      <c r="F590" s="32">
        <v>6537.5033739699984</v>
      </c>
      <c r="H590" s="32">
        <v>5883.0787494200013</v>
      </c>
      <c r="I590" s="32">
        <f>+F590-H590</f>
        <v>654.42462454999713</v>
      </c>
      <c r="J590" s="34" t="s">
        <v>6</v>
      </c>
      <c r="K590" s="34" t="s">
        <v>6</v>
      </c>
      <c r="L590" s="372"/>
      <c r="M590" s="54"/>
      <c r="N590" s="7"/>
      <c r="T590" s="7"/>
      <c r="U590" s="7"/>
      <c r="V590" s="7"/>
      <c r="W590" s="7"/>
      <c r="X590" s="7"/>
      <c r="Y590" s="7"/>
      <c r="Z590" s="7"/>
      <c r="AA590" s="41"/>
      <c r="AB590" s="41"/>
    </row>
    <row r="591" spans="3:28" s="32" customFormat="1">
      <c r="C591" s="49"/>
      <c r="D591" s="32" t="str">
        <f>IF(Indice_index!$Z$1=1,"dezembro","December")</f>
        <v>December</v>
      </c>
      <c r="E591" s="32">
        <f>+F578</f>
        <v>7281.6785700600003</v>
      </c>
      <c r="F591" s="32">
        <v>7444.8634266199979</v>
      </c>
      <c r="G591" s="32">
        <f>+H578</f>
        <v>7072.3262380999995</v>
      </c>
      <c r="H591" s="32">
        <v>6696.1643984200018</v>
      </c>
      <c r="I591" s="32">
        <f>+F591-H591</f>
        <v>748.69902819999606</v>
      </c>
      <c r="J591" s="34">
        <f>IF(E591=0,"-",(F591-E591)/E591)</f>
        <v>2.2410335060787084E-2</v>
      </c>
      <c r="K591" s="34">
        <f>IF(G591=0,"-",(H591-G591)/G591)</f>
        <v>-5.3187851778321617E-2</v>
      </c>
      <c r="L591" s="372"/>
      <c r="M591" s="54"/>
      <c r="N591" s="7"/>
      <c r="T591" s="7"/>
      <c r="U591" s="7"/>
      <c r="V591" s="7"/>
      <c r="W591" s="7"/>
      <c r="X591" s="7"/>
      <c r="Y591" s="7"/>
      <c r="Z591" s="7"/>
      <c r="AA591" s="41"/>
      <c r="AB591" s="41"/>
    </row>
    <row r="592" spans="3:28" s="32" customFormat="1">
      <c r="L592" s="372"/>
      <c r="M592" s="54"/>
      <c r="N592" s="7"/>
      <c r="T592" s="7"/>
      <c r="U592" s="7"/>
      <c r="V592" s="7"/>
      <c r="W592" s="7"/>
      <c r="X592" s="7"/>
      <c r="Y592" s="7"/>
      <c r="Z592" s="7"/>
      <c r="AA592" s="41"/>
      <c r="AB592" s="41"/>
    </row>
    <row r="593" spans="3:28" s="32" customFormat="1">
      <c r="C593" s="20" t="s">
        <v>7</v>
      </c>
      <c r="D593" s="33" t="str">
        <f>IF(Indice_index!$Z$1=1,"janeiro","January")</f>
        <v>January</v>
      </c>
      <c r="E593" s="33">
        <f t="shared" ref="E593:E604" si="119">+F580</f>
        <v>456.06216802999984</v>
      </c>
      <c r="F593" s="33">
        <v>429.1127745</v>
      </c>
      <c r="G593" s="33">
        <f>+H580</f>
        <v>406.15377233000004</v>
      </c>
      <c r="H593" s="33">
        <v>376.52587731999995</v>
      </c>
      <c r="I593" s="33">
        <f t="shared" ref="I593:I598" si="120">+F593-H593</f>
        <v>52.586897180000051</v>
      </c>
      <c r="J593" s="206">
        <f t="shared" ref="J593:J598" si="121">IF(E593=0,"-",(F593-E593)/E593)</f>
        <v>-5.9091491071074989E-2</v>
      </c>
      <c r="K593" s="206">
        <f t="shared" ref="K593:K602" si="122">IF(G593=0,"-",(H593-G593)/G593)</f>
        <v>-7.2947482033793393E-2</v>
      </c>
      <c r="L593" s="372"/>
      <c r="M593" s="54"/>
      <c r="N593" s="7"/>
      <c r="T593" s="7"/>
      <c r="U593" s="7"/>
      <c r="V593" s="7"/>
      <c r="W593" s="7"/>
      <c r="X593" s="7"/>
      <c r="Y593" s="7"/>
      <c r="Z593" s="7"/>
      <c r="AA593" s="41"/>
      <c r="AB593" s="41"/>
    </row>
    <row r="594" spans="3:28" s="32" customFormat="1">
      <c r="C594" s="49"/>
      <c r="D594" s="32" t="str">
        <f>IF(Indice_index!$Z$1=1,"fevereiro","February")</f>
        <v>February</v>
      </c>
      <c r="E594" s="32">
        <f t="shared" si="119"/>
        <v>901.96308377000025</v>
      </c>
      <c r="F594" s="32">
        <v>844.29934040000012</v>
      </c>
      <c r="G594" s="32">
        <f>+H581</f>
        <v>857.46172853999997</v>
      </c>
      <c r="H594" s="32">
        <v>890.73727569999971</v>
      </c>
      <c r="I594" s="32">
        <f t="shared" si="120"/>
        <v>-46.437935299999594</v>
      </c>
      <c r="J594" s="34">
        <f t="shared" si="121"/>
        <v>-6.3931378575915562E-2</v>
      </c>
      <c r="K594" s="34">
        <f t="shared" si="122"/>
        <v>3.8807034824350724E-2</v>
      </c>
      <c r="L594" s="372"/>
      <c r="M594" s="54"/>
      <c r="N594" s="7"/>
      <c r="T594" s="7"/>
      <c r="U594" s="7"/>
      <c r="V594" s="7"/>
      <c r="W594" s="7"/>
      <c r="X594" s="7"/>
      <c r="Y594" s="7"/>
      <c r="Z594" s="7"/>
      <c r="AA594" s="41"/>
      <c r="AB594" s="41"/>
    </row>
    <row r="595" spans="3:28" s="56" customFormat="1" ht="12" customHeight="1">
      <c r="C595" s="49"/>
      <c r="D595" s="33" t="str">
        <f>IF(Indice_index!$Z$1=1,"março","March")</f>
        <v>March</v>
      </c>
      <c r="E595" s="28">
        <f t="shared" si="119"/>
        <v>1377.9024422299999</v>
      </c>
      <c r="F595" s="28">
        <v>1281.0643142899999</v>
      </c>
      <c r="G595" s="28">
        <f t="shared" ref="G595:G603" si="123">+H582</f>
        <v>1352.8408184799998</v>
      </c>
      <c r="H595" s="28">
        <v>1385.1388549499998</v>
      </c>
      <c r="I595" s="33">
        <f t="shared" si="120"/>
        <v>-104.07454065999991</v>
      </c>
      <c r="J595" s="223">
        <f t="shared" si="121"/>
        <v>-7.0279378983665236E-2</v>
      </c>
      <c r="K595" s="223">
        <f t="shared" si="122"/>
        <v>2.3874232673056672E-2</v>
      </c>
      <c r="L595" s="372"/>
      <c r="M595" s="54"/>
      <c r="N595" s="7"/>
      <c r="P595" s="32"/>
      <c r="Q595" s="32"/>
      <c r="R595" s="32"/>
      <c r="S595" s="32"/>
      <c r="T595" s="7"/>
      <c r="U595" s="7"/>
      <c r="V595" s="7"/>
      <c r="W595" s="7"/>
      <c r="X595" s="7"/>
      <c r="Y595" s="7"/>
      <c r="Z595" s="7"/>
      <c r="AA595" s="57"/>
      <c r="AB595" s="57"/>
    </row>
    <row r="596" spans="3:28" s="56" customFormat="1" ht="12" customHeight="1">
      <c r="C596" s="49"/>
      <c r="D596" s="33" t="str">
        <f>IF(Indice_index!$Z$1=1,"abril","April")</f>
        <v>April</v>
      </c>
      <c r="E596" s="28">
        <f t="shared" si="119"/>
        <v>1862.9528817500004</v>
      </c>
      <c r="F596" s="28">
        <v>1786.4029229399998</v>
      </c>
      <c r="G596" s="28">
        <f t="shared" si="123"/>
        <v>1820.1826939499999</v>
      </c>
      <c r="H596" s="28">
        <v>1943.6959593399997</v>
      </c>
      <c r="I596" s="33">
        <f t="shared" si="120"/>
        <v>-157.29303639999989</v>
      </c>
      <c r="J596" s="223">
        <f t="shared" si="121"/>
        <v>-4.1090657503957871E-2</v>
      </c>
      <c r="K596" s="223">
        <f t="shared" si="122"/>
        <v>6.7857619897463251E-2</v>
      </c>
      <c r="L596" s="372"/>
      <c r="M596" s="54"/>
      <c r="N596" s="7"/>
      <c r="P596" s="32"/>
      <c r="Q596" s="32"/>
      <c r="R596" s="32"/>
      <c r="S596" s="32"/>
      <c r="T596" s="7"/>
      <c r="U596" s="7"/>
      <c r="V596" s="7"/>
      <c r="W596" s="7"/>
      <c r="X596" s="7"/>
      <c r="Y596" s="7"/>
      <c r="Z596" s="7"/>
      <c r="AA596" s="57"/>
      <c r="AB596" s="57"/>
    </row>
    <row r="597" spans="3:28" s="56" customFormat="1" ht="12" customHeight="1">
      <c r="C597" s="49"/>
      <c r="D597" s="33" t="str">
        <f>IF(Indice_index!$Z$1=1,"maio","May")</f>
        <v>May</v>
      </c>
      <c r="E597" s="28">
        <f t="shared" si="119"/>
        <v>2916.9858971799999</v>
      </c>
      <c r="F597" s="28">
        <v>2799.6999487500002</v>
      </c>
      <c r="G597" s="28">
        <f t="shared" si="123"/>
        <v>2513.0321834299998</v>
      </c>
      <c r="H597" s="28">
        <v>2660.1045034800004</v>
      </c>
      <c r="I597" s="33">
        <f t="shared" si="120"/>
        <v>139.5954452699998</v>
      </c>
      <c r="J597" s="223">
        <f t="shared" si="121"/>
        <v>-4.0207924400109743E-2</v>
      </c>
      <c r="K597" s="223">
        <f t="shared" si="122"/>
        <v>5.8523850597593144E-2</v>
      </c>
      <c r="L597" s="372"/>
      <c r="M597" s="54"/>
      <c r="N597" s="7"/>
      <c r="P597" s="32"/>
      <c r="Q597" s="32"/>
      <c r="R597" s="32"/>
      <c r="S597" s="32"/>
      <c r="T597" s="7"/>
      <c r="U597" s="7"/>
      <c r="V597" s="7"/>
      <c r="W597" s="7"/>
      <c r="X597" s="7"/>
      <c r="Y597" s="7"/>
      <c r="Z597" s="7"/>
      <c r="AA597" s="57"/>
      <c r="AB597" s="57"/>
    </row>
    <row r="598" spans="3:28" s="56" customFormat="1" ht="12" customHeight="1">
      <c r="C598" s="49"/>
      <c r="D598" s="33" t="str">
        <f>IF(Indice_index!$Z$1=1,"junho","June")</f>
        <v>June</v>
      </c>
      <c r="E598" s="33">
        <f t="shared" si="119"/>
        <v>3407.8036578499996</v>
      </c>
      <c r="F598" s="33">
        <v>3275.48762154</v>
      </c>
      <c r="G598" s="33">
        <f t="shared" si="123"/>
        <v>3118.6312764400004</v>
      </c>
      <c r="H598" s="33">
        <v>3325.3554102400003</v>
      </c>
      <c r="I598" s="33">
        <f t="shared" si="120"/>
        <v>-49.867788700000347</v>
      </c>
      <c r="J598" s="223">
        <f t="shared" si="121"/>
        <v>-3.8827364952556703E-2</v>
      </c>
      <c r="K598" s="223">
        <f t="shared" si="122"/>
        <v>6.6286814783689627E-2</v>
      </c>
      <c r="L598" s="372"/>
      <c r="M598" s="54"/>
      <c r="N598" s="7"/>
      <c r="P598" s="32"/>
      <c r="Q598" s="32"/>
      <c r="R598" s="32"/>
      <c r="S598" s="32"/>
      <c r="T598" s="7"/>
      <c r="U598" s="7"/>
      <c r="V598" s="7"/>
      <c r="W598" s="7"/>
      <c r="X598" s="7"/>
      <c r="Y598" s="7"/>
      <c r="Z598" s="7"/>
      <c r="AA598" s="57"/>
      <c r="AB598" s="57"/>
    </row>
    <row r="599" spans="3:28" s="56" customFormat="1" ht="12" customHeight="1">
      <c r="C599" s="49"/>
      <c r="D599" s="33" t="str">
        <f>IF(Indice_index!$Z$1=1,"julho","July")</f>
        <v>July</v>
      </c>
      <c r="E599" s="33">
        <f t="shared" si="119"/>
        <v>3943.2928699000004</v>
      </c>
      <c r="F599" s="33">
        <v>3851.6121569300008</v>
      </c>
      <c r="G599" s="33">
        <f t="shared" si="123"/>
        <v>3675.6128404800002</v>
      </c>
      <c r="H599" s="33">
        <v>3993.0549583500015</v>
      </c>
      <c r="I599" s="33">
        <f t="shared" ref="I599:I604" si="124">+F599-H599</f>
        <v>-141.44280142000071</v>
      </c>
      <c r="J599" s="223">
        <f t="shared" ref="J599:J604" si="125">IF(E599=0,"-",(F599-E599)/E599)</f>
        <v>-2.3249785393780444E-2</v>
      </c>
      <c r="K599" s="223">
        <f t="shared" si="122"/>
        <v>8.6364405514631509E-2</v>
      </c>
      <c r="L599" s="372"/>
      <c r="M599" s="54"/>
      <c r="N599" s="7"/>
      <c r="P599" s="32"/>
      <c r="Q599" s="32"/>
      <c r="R599" s="32"/>
      <c r="S599" s="32"/>
      <c r="T599" s="7"/>
      <c r="U599" s="7"/>
      <c r="V599" s="7"/>
      <c r="W599" s="7"/>
      <c r="X599" s="7"/>
      <c r="Y599" s="7"/>
      <c r="Z599" s="7"/>
      <c r="AA599" s="57"/>
      <c r="AB599" s="57"/>
    </row>
    <row r="600" spans="3:28" s="56" customFormat="1" ht="12" customHeight="1">
      <c r="C600" s="49"/>
      <c r="D600" s="33" t="str">
        <f>IF(Indice_index!$Z$1=1,"agosto","August")</f>
        <v>August</v>
      </c>
      <c r="E600" s="33">
        <f t="shared" si="119"/>
        <v>4474.0733853699985</v>
      </c>
      <c r="F600" s="33">
        <v>4594.9104128999998</v>
      </c>
      <c r="G600" s="33">
        <f t="shared" si="123"/>
        <v>4172.1177948599998</v>
      </c>
      <c r="H600" s="33">
        <v>4606.2369042700002</v>
      </c>
      <c r="I600" s="33">
        <f t="shared" si="124"/>
        <v>-11.32649137000044</v>
      </c>
      <c r="J600" s="223">
        <f t="shared" si="125"/>
        <v>2.7008280178222474E-2</v>
      </c>
      <c r="K600" s="223">
        <f t="shared" si="122"/>
        <v>0.10405245747011987</v>
      </c>
      <c r="L600" s="372"/>
      <c r="M600" s="54"/>
      <c r="N600" s="7"/>
      <c r="P600" s="32"/>
      <c r="Q600" s="32"/>
      <c r="R600" s="32"/>
      <c r="S600" s="32"/>
      <c r="T600" s="7"/>
      <c r="U600" s="7"/>
      <c r="V600" s="7"/>
      <c r="W600" s="7"/>
      <c r="X600" s="7"/>
      <c r="Y600" s="7"/>
      <c r="Z600" s="7"/>
      <c r="AA600" s="57"/>
      <c r="AB600" s="57"/>
    </row>
    <row r="601" spans="3:28" s="56" customFormat="1" ht="12" customHeight="1">
      <c r="C601" s="49"/>
      <c r="D601" s="33" t="str">
        <f>IF(Indice_index!$Z$1=1,"setembro","September")</f>
        <v>September</v>
      </c>
      <c r="E601" s="33">
        <f t="shared" si="119"/>
        <v>5068.1389399599993</v>
      </c>
      <c r="F601" s="33">
        <v>5128.9837318200007</v>
      </c>
      <c r="G601" s="33">
        <f t="shared" si="123"/>
        <v>4674.3000965800002</v>
      </c>
      <c r="H601" s="33">
        <v>5237.1589197800004</v>
      </c>
      <c r="I601" s="33">
        <f t="shared" si="124"/>
        <v>-108.17518795999968</v>
      </c>
      <c r="J601" s="223">
        <f t="shared" si="125"/>
        <v>1.2005351980441477E-2</v>
      </c>
      <c r="K601" s="223">
        <f t="shared" si="122"/>
        <v>0.12041563690183726</v>
      </c>
      <c r="L601" s="372"/>
      <c r="M601" s="54"/>
      <c r="N601" s="7"/>
      <c r="P601" s="32"/>
      <c r="Q601" s="32"/>
      <c r="R601" s="32"/>
      <c r="S601" s="32"/>
      <c r="T601" s="7"/>
      <c r="U601" s="7"/>
      <c r="V601" s="7"/>
      <c r="W601" s="7"/>
      <c r="X601" s="7"/>
      <c r="Y601" s="7"/>
      <c r="Z601" s="7"/>
      <c r="AA601" s="57"/>
      <c r="AB601" s="57"/>
    </row>
    <row r="602" spans="3:28" s="56" customFormat="1" ht="12" customHeight="1">
      <c r="C602" s="49"/>
      <c r="D602" s="33" t="str">
        <f>IF(Indice_index!$Z$1=1,"outubro","October")</f>
        <v>October</v>
      </c>
      <c r="E602" s="33">
        <f t="shared" si="119"/>
        <v>6022.5144740999995</v>
      </c>
      <c r="F602" s="33">
        <v>5618.1945781399991</v>
      </c>
      <c r="G602" s="33">
        <f t="shared" si="123"/>
        <v>5298.5796146699986</v>
      </c>
      <c r="H602" s="33">
        <v>5778.0028582799996</v>
      </c>
      <c r="I602" s="33">
        <f t="shared" si="124"/>
        <v>-159.80828014000053</v>
      </c>
      <c r="J602" s="223">
        <f t="shared" si="125"/>
        <v>-6.7134732128713015E-2</v>
      </c>
      <c r="K602" s="223">
        <f t="shared" si="122"/>
        <v>9.0481464557527466E-2</v>
      </c>
      <c r="L602" s="372"/>
      <c r="M602" s="54"/>
      <c r="N602" s="7"/>
      <c r="P602" s="32"/>
      <c r="Q602" s="32"/>
      <c r="R602" s="32"/>
      <c r="S602" s="32"/>
      <c r="T602" s="7"/>
      <c r="U602" s="7"/>
      <c r="V602" s="7"/>
      <c r="W602" s="7"/>
      <c r="X602" s="7"/>
      <c r="Y602" s="7"/>
      <c r="Z602" s="7"/>
      <c r="AA602" s="57"/>
      <c r="AB602" s="57"/>
    </row>
    <row r="603" spans="3:28" s="249" customFormat="1" ht="12" customHeight="1">
      <c r="C603" s="49"/>
      <c r="D603" s="33" t="str">
        <f>IF(Indice_index!$Z$1=1,"novembro","November")</f>
        <v>November</v>
      </c>
      <c r="E603" s="33">
        <f t="shared" si="119"/>
        <v>6537.5033739699984</v>
      </c>
      <c r="F603" s="33">
        <v>6100.5174417400003</v>
      </c>
      <c r="G603" s="33">
        <f t="shared" si="123"/>
        <v>5883.0787494200013</v>
      </c>
      <c r="H603" s="33">
        <v>6280.0272733199999</v>
      </c>
      <c r="I603" s="33">
        <f t="shared" si="124"/>
        <v>-179.50983157999963</v>
      </c>
      <c r="J603" s="223">
        <f t="shared" si="125"/>
        <v>-6.6842937927943546E-2</v>
      </c>
      <c r="K603" s="223">
        <f>IF(G603=0,"-",(H603-G603)/G603)</f>
        <v>6.7472923754272857E-2</v>
      </c>
      <c r="L603" s="372"/>
      <c r="M603" s="54"/>
      <c r="N603" s="7"/>
      <c r="P603" s="32"/>
      <c r="Q603" s="32"/>
      <c r="R603" s="32"/>
      <c r="S603" s="32"/>
      <c r="T603" s="7"/>
      <c r="U603" s="7"/>
      <c r="V603" s="7"/>
      <c r="W603" s="7"/>
      <c r="X603" s="7"/>
      <c r="Y603" s="7"/>
      <c r="Z603" s="7"/>
      <c r="AA603" s="250"/>
      <c r="AB603" s="250"/>
    </row>
    <row r="604" spans="3:28" s="249" customFormat="1" ht="12" customHeight="1">
      <c r="C604" s="49"/>
      <c r="D604" s="33" t="str">
        <f>IF(Indice_index!$Z$1=1,"dezembro","December")</f>
        <v>December</v>
      </c>
      <c r="E604" s="33">
        <f t="shared" si="119"/>
        <v>7444.8634266199979</v>
      </c>
      <c r="F604" s="33">
        <v>7010.9966759499985</v>
      </c>
      <c r="G604" s="33">
        <f>+H591</f>
        <v>6696.1643984200018</v>
      </c>
      <c r="H604" s="33">
        <v>7074.3951497300013</v>
      </c>
      <c r="I604" s="33">
        <f t="shared" si="124"/>
        <v>-63.39847378000286</v>
      </c>
      <c r="J604" s="223">
        <f t="shared" si="125"/>
        <v>-5.8277328381694291E-2</v>
      </c>
      <c r="K604" s="223">
        <f>IF(G604=0,"-",(H604-G604)/G604)</f>
        <v>5.6484687173935753E-2</v>
      </c>
      <c r="L604" s="372"/>
      <c r="M604" s="54"/>
      <c r="N604" s="7"/>
      <c r="P604" s="32"/>
      <c r="Q604" s="32"/>
      <c r="R604" s="32"/>
      <c r="S604" s="32"/>
      <c r="T604" s="7"/>
      <c r="U604" s="7"/>
      <c r="V604" s="7"/>
      <c r="W604" s="7"/>
      <c r="X604" s="7"/>
      <c r="Y604" s="7"/>
      <c r="Z604" s="7"/>
      <c r="AA604" s="250"/>
      <c r="AB604" s="250"/>
    </row>
    <row r="605" spans="3:28">
      <c r="C605" s="33"/>
      <c r="D605" s="33"/>
      <c r="E605" s="33"/>
      <c r="F605" s="33"/>
      <c r="G605" s="33"/>
      <c r="H605" s="33"/>
      <c r="I605" s="33"/>
      <c r="J605" s="33"/>
      <c r="K605" s="33"/>
      <c r="L605" s="372"/>
      <c r="M605" s="54"/>
      <c r="Z605" s="7"/>
    </row>
    <row r="606" spans="3:28">
      <c r="C606" s="20" t="s">
        <v>16</v>
      </c>
      <c r="D606" s="33" t="str">
        <f>IF(Indice_index!$Z$1=1,"janeiro","January")</f>
        <v>January</v>
      </c>
      <c r="E606" s="33">
        <f>+F593</f>
        <v>429.1127745</v>
      </c>
      <c r="F606" s="33">
        <v>523.24179620999996</v>
      </c>
      <c r="G606" s="33">
        <f>+H593</f>
        <v>376.52587731999995</v>
      </c>
      <c r="H606" s="33">
        <v>420.20526809000012</v>
      </c>
      <c r="I606" s="33">
        <f t="shared" ref="I606:I617" si="126">+F606-H606</f>
        <v>103.03652811999984</v>
      </c>
      <c r="J606" s="206">
        <f t="shared" ref="J606:J614" si="127">IF(E606=0,"-",(F606-E606)/E606)</f>
        <v>0.21935730489421718</v>
      </c>
      <c r="K606" s="206">
        <f t="shared" ref="K606:K614" si="128">IF(G606=0,"-",(H606-G606)/G606)</f>
        <v>0.11600634485177268</v>
      </c>
      <c r="L606" s="372"/>
      <c r="M606" s="54"/>
      <c r="Z606" s="7"/>
    </row>
    <row r="607" spans="3:28">
      <c r="C607" s="20"/>
      <c r="D607" s="33" t="str">
        <f>IF(Indice_index!$Z$1=1,"fevereiro","February")</f>
        <v>February</v>
      </c>
      <c r="E607" s="33">
        <f t="shared" ref="E607:E617" si="129">+F594</f>
        <v>844.29934040000012</v>
      </c>
      <c r="F607" s="33">
        <v>938.0262341099999</v>
      </c>
      <c r="G607" s="33">
        <f t="shared" ref="G607:G617" si="130">+H594</f>
        <v>890.73727569999971</v>
      </c>
      <c r="H607" s="33">
        <v>840.1274414799999</v>
      </c>
      <c r="I607" s="33">
        <f t="shared" si="126"/>
        <v>97.898792630000003</v>
      </c>
      <c r="J607" s="206">
        <f t="shared" si="127"/>
        <v>0.11101144964248721</v>
      </c>
      <c r="K607" s="206">
        <f t="shared" si="128"/>
        <v>-5.6817914328585031E-2</v>
      </c>
      <c r="L607" s="372"/>
      <c r="M607" s="54"/>
      <c r="Z607" s="7"/>
    </row>
    <row r="608" spans="3:28">
      <c r="C608" s="20"/>
      <c r="D608" s="33" t="str">
        <f>IF(Indice_index!$Z$1=1,"março","March")</f>
        <v>March</v>
      </c>
      <c r="E608" s="33">
        <f t="shared" si="129"/>
        <v>1281.0643142899999</v>
      </c>
      <c r="F608" s="33">
        <v>1392.0294302599998</v>
      </c>
      <c r="G608" s="33">
        <f t="shared" si="130"/>
        <v>1385.1388549499998</v>
      </c>
      <c r="H608" s="33">
        <v>1316.6371175499999</v>
      </c>
      <c r="I608" s="33">
        <f t="shared" si="126"/>
        <v>75.392312709999942</v>
      </c>
      <c r="J608" s="206">
        <f t="shared" si="127"/>
        <v>8.6619473146045581E-2</v>
      </c>
      <c r="K608" s="206">
        <f t="shared" si="128"/>
        <v>-4.9454780042591948E-2</v>
      </c>
      <c r="L608" s="372"/>
      <c r="M608" s="54"/>
      <c r="Z608" s="7"/>
    </row>
    <row r="609" spans="3:26">
      <c r="C609" s="20"/>
      <c r="D609" s="33" t="str">
        <f>IF(Indice_index!$Z$1=1,"abril","April")</f>
        <v>April</v>
      </c>
      <c r="E609" s="33">
        <f t="shared" si="129"/>
        <v>1786.4029229399998</v>
      </c>
      <c r="F609" s="33">
        <v>1814.5579233100002</v>
      </c>
      <c r="G609" s="33">
        <f t="shared" si="130"/>
        <v>1943.6959593399997</v>
      </c>
      <c r="H609" s="33">
        <v>1792.1996616199997</v>
      </c>
      <c r="I609" s="33">
        <f t="shared" si="126"/>
        <v>22.358261690000518</v>
      </c>
      <c r="J609" s="206">
        <f t="shared" si="127"/>
        <v>1.5760722291958556E-2</v>
      </c>
      <c r="K609" s="206">
        <f t="shared" si="128"/>
        <v>-7.7942384451651595E-2</v>
      </c>
      <c r="L609" s="372"/>
      <c r="M609" s="54"/>
      <c r="Z609" s="7"/>
    </row>
    <row r="610" spans="3:26">
      <c r="C610" s="20"/>
      <c r="D610" s="33" t="str">
        <f>IF(Indice_index!$Z$1=1,"maio","May")</f>
        <v>May</v>
      </c>
      <c r="E610" s="33">
        <f t="shared" si="129"/>
        <v>2799.6999487500002</v>
      </c>
      <c r="F610" s="33">
        <v>2842.1780403799989</v>
      </c>
      <c r="G610" s="33">
        <f t="shared" si="130"/>
        <v>2660.1045034800004</v>
      </c>
      <c r="H610" s="33">
        <v>2418.3660116199994</v>
      </c>
      <c r="I610" s="33">
        <f t="shared" si="126"/>
        <v>423.81202875999952</v>
      </c>
      <c r="J610" s="206">
        <f t="shared" si="127"/>
        <v>1.5172372899804569E-2</v>
      </c>
      <c r="K610" s="206">
        <f t="shared" si="128"/>
        <v>-9.087556204793984E-2</v>
      </c>
      <c r="L610" s="372"/>
      <c r="M610" s="54"/>
      <c r="Z610" s="7"/>
    </row>
    <row r="611" spans="3:26">
      <c r="C611" s="20"/>
      <c r="D611" s="33" t="str">
        <f>IF(Indice_index!$Z$1=1,"junho","June")</f>
        <v>June</v>
      </c>
      <c r="E611" s="33">
        <f t="shared" si="129"/>
        <v>3275.48762154</v>
      </c>
      <c r="F611" s="33">
        <v>3341.9003628900005</v>
      </c>
      <c r="G611" s="33">
        <f t="shared" si="130"/>
        <v>3325.3554102400003</v>
      </c>
      <c r="H611" s="33">
        <v>3085.0155655399999</v>
      </c>
      <c r="I611" s="33">
        <f t="shared" si="126"/>
        <v>256.88479735000055</v>
      </c>
      <c r="J611" s="206">
        <f t="shared" si="127"/>
        <v>2.0275680760709437E-2</v>
      </c>
      <c r="K611" s="206">
        <f t="shared" si="128"/>
        <v>-7.2274934570874763E-2</v>
      </c>
      <c r="L611" s="372"/>
      <c r="M611" s="54"/>
      <c r="Z611" s="7"/>
    </row>
    <row r="612" spans="3:26">
      <c r="C612" s="20"/>
      <c r="D612" s="33" t="str">
        <f>IF(Indice_index!$Z$1=1,"julho","July")</f>
        <v>July</v>
      </c>
      <c r="E612" s="33">
        <f t="shared" si="129"/>
        <v>3851.6121569300008</v>
      </c>
      <c r="F612" s="33">
        <v>3820.1407073400005</v>
      </c>
      <c r="G612" s="33">
        <f t="shared" si="130"/>
        <v>3993.0549583500015</v>
      </c>
      <c r="H612" s="33">
        <v>3626.0906879499994</v>
      </c>
      <c r="I612" s="33">
        <f t="shared" si="126"/>
        <v>194.05001939000113</v>
      </c>
      <c r="J612" s="206">
        <f t="shared" si="127"/>
        <v>-8.1709809575129053E-3</v>
      </c>
      <c r="K612" s="206">
        <f t="shared" si="128"/>
        <v>-9.1900631027537372E-2</v>
      </c>
      <c r="L612" s="372"/>
      <c r="M612" s="54"/>
      <c r="Z612" s="7"/>
    </row>
    <row r="613" spans="3:26">
      <c r="C613" s="20"/>
      <c r="D613" s="33" t="str">
        <f>IF(Indice_index!$Z$1=1,"agosto","August")</f>
        <v>August</v>
      </c>
      <c r="E613" s="33">
        <f t="shared" si="129"/>
        <v>4594.9104128999998</v>
      </c>
      <c r="F613" s="33">
        <v>4541.4150967899977</v>
      </c>
      <c r="G613" s="33">
        <f t="shared" si="130"/>
        <v>4606.2369042700002</v>
      </c>
      <c r="H613" s="33">
        <v>4106.3626419900002</v>
      </c>
      <c r="I613" s="33">
        <f t="shared" si="126"/>
        <v>435.05245479999758</v>
      </c>
      <c r="J613" s="206">
        <f t="shared" si="127"/>
        <v>-1.1642297956412029E-2</v>
      </c>
      <c r="K613" s="206">
        <f t="shared" si="128"/>
        <v>-0.10852117958080154</v>
      </c>
      <c r="L613" s="372"/>
      <c r="M613" s="54"/>
      <c r="Z613" s="7"/>
    </row>
    <row r="614" spans="3:26">
      <c r="C614" s="20"/>
      <c r="D614" s="33" t="str">
        <f>IF(Indice_index!$Z$1=1,"setembro","September")</f>
        <v>September</v>
      </c>
      <c r="E614" s="33">
        <f t="shared" si="129"/>
        <v>5128.9837318200007</v>
      </c>
      <c r="F614" s="33">
        <v>5045.9168335600016</v>
      </c>
      <c r="G614" s="33">
        <f t="shared" si="130"/>
        <v>5237.1589197800004</v>
      </c>
      <c r="H614" s="33">
        <v>4631.418747839999</v>
      </c>
      <c r="I614" s="33">
        <f t="shared" si="126"/>
        <v>414.49808572000256</v>
      </c>
      <c r="J614" s="206">
        <f t="shared" si="127"/>
        <v>-1.6195586222014224E-2</v>
      </c>
      <c r="K614" s="206">
        <f t="shared" si="128"/>
        <v>-0.11566198032528807</v>
      </c>
      <c r="L614" s="372"/>
      <c r="M614" s="54"/>
      <c r="Z614" s="7"/>
    </row>
    <row r="615" spans="3:26">
      <c r="C615" s="20"/>
      <c r="D615" s="33" t="str">
        <f>IF(Indice_index!$Z$1=1,"outubro","October")</f>
        <v>October</v>
      </c>
      <c r="E615" s="33">
        <f t="shared" si="129"/>
        <v>5618.1945781399991</v>
      </c>
      <c r="F615" s="33">
        <v>5506.4797368100008</v>
      </c>
      <c r="G615" s="33">
        <f t="shared" si="130"/>
        <v>5778.0028582799996</v>
      </c>
      <c r="H615" s="33">
        <v>5140.0474689400007</v>
      </c>
      <c r="I615" s="33">
        <f t="shared" si="126"/>
        <v>366.43226787000003</v>
      </c>
      <c r="J615" s="206">
        <f>IF(E615=0,"-",(F615-E615)/E615)</f>
        <v>-1.988447352191626E-2</v>
      </c>
      <c r="K615" s="206">
        <f>IF(G615=0,"-",(H615-G615)/G615)</f>
        <v>-0.11041105464767907</v>
      </c>
      <c r="L615" s="372"/>
      <c r="M615" s="54"/>
      <c r="Z615" s="7"/>
    </row>
    <row r="616" spans="3:26">
      <c r="C616" s="20"/>
      <c r="D616" s="33" t="str">
        <f>IF(Indice_index!$Z$1=1,"novembro","November")</f>
        <v>November</v>
      </c>
      <c r="E616" s="33">
        <f t="shared" si="129"/>
        <v>6100.5174417400003</v>
      </c>
      <c r="F616" s="33">
        <v>5945.9634437799996</v>
      </c>
      <c r="G616" s="33">
        <f t="shared" si="130"/>
        <v>6280.0272733199999</v>
      </c>
      <c r="H616" s="33">
        <v>5600.1204128800009</v>
      </c>
      <c r="I616" s="33">
        <f t="shared" si="126"/>
        <v>345.84303089999867</v>
      </c>
      <c r="J616" s="206">
        <f>IF(E616=0,"-",(F616-E616)/E616)</f>
        <v>-2.5334571933609384E-2</v>
      </c>
      <c r="K616" s="206">
        <f>IF(G616=0,"-",(H616-G616)/G616)</f>
        <v>-0.10826495345466221</v>
      </c>
      <c r="L616" s="372"/>
      <c r="M616" s="54"/>
      <c r="Z616" s="7"/>
    </row>
    <row r="617" spans="3:26">
      <c r="C617" s="20"/>
      <c r="D617" s="33" t="str">
        <f>IF(Indice_index!$Z$1=1,"dezembro","December")</f>
        <v>December</v>
      </c>
      <c r="E617" s="33">
        <f t="shared" si="129"/>
        <v>7010.9966759499985</v>
      </c>
      <c r="F617" s="33">
        <v>6937.9009402300017</v>
      </c>
      <c r="G617" s="33">
        <f t="shared" si="130"/>
        <v>7074.3951497300013</v>
      </c>
      <c r="H617" s="33">
        <v>6520.7762294499998</v>
      </c>
      <c r="I617" s="33">
        <f t="shared" si="126"/>
        <v>417.12471078000181</v>
      </c>
      <c r="J617" s="206">
        <f>IF(E617=0,"-",(F617-E617)/E617)</f>
        <v>-1.0425869401812582E-2</v>
      </c>
      <c r="K617" s="206">
        <f>IF(G617=0,"-",(H617-G617)/G617)</f>
        <v>-7.8256714328592561E-2</v>
      </c>
      <c r="L617" s="372"/>
      <c r="M617" s="54"/>
      <c r="Z617" s="7"/>
    </row>
    <row r="618" spans="3:26">
      <c r="C618" s="33"/>
      <c r="D618" s="33"/>
      <c r="E618" s="33"/>
      <c r="F618" s="33"/>
      <c r="G618" s="33"/>
      <c r="H618" s="33"/>
      <c r="I618" s="33"/>
      <c r="J618" s="33"/>
      <c r="K618" s="33"/>
      <c r="L618" s="372"/>
      <c r="M618" s="54"/>
      <c r="Z618" s="7"/>
    </row>
    <row r="619" spans="3:26">
      <c r="C619" s="20" t="s">
        <v>23</v>
      </c>
      <c r="D619" s="33" t="str">
        <f>IF(Indice_index!$Z$1=1,"janeiro","January")</f>
        <v>January</v>
      </c>
      <c r="E619" s="33">
        <f t="shared" ref="E619:E630" si="131">F593</f>
        <v>429.1127745</v>
      </c>
      <c r="F619" s="33">
        <v>465.96077472000007</v>
      </c>
      <c r="G619" s="33">
        <f t="shared" ref="G619:G630" si="132">H593</f>
        <v>376.52587731999995</v>
      </c>
      <c r="H619" s="33">
        <v>370.46125808000011</v>
      </c>
      <c r="I619" s="33">
        <f>IF(F619=0,"",+F619-H619)</f>
        <v>95.499516639999968</v>
      </c>
      <c r="J619" s="206">
        <f>IF(E619=0,"",(F619-E619)/E619)</f>
        <v>8.5870201051309117E-2</v>
      </c>
      <c r="K619" s="206">
        <f>IF(G619=0,"",(H619-G619)/G619)</f>
        <v>-1.6106779388354427E-2</v>
      </c>
      <c r="L619" s="372"/>
      <c r="M619" s="54"/>
      <c r="Z619" s="7"/>
    </row>
    <row r="620" spans="3:26">
      <c r="C620" s="20"/>
      <c r="D620" s="33" t="str">
        <f>IF(Indice_index!$Z$1=1,"fevereiro","February")</f>
        <v>February</v>
      </c>
      <c r="E620" s="33">
        <f t="shared" si="131"/>
        <v>844.29934040000012</v>
      </c>
      <c r="F620" s="33">
        <v>888.81695567999964</v>
      </c>
      <c r="G620" s="33">
        <f t="shared" si="132"/>
        <v>890.73727569999971</v>
      </c>
      <c r="H620" s="33">
        <v>805.67756277000001</v>
      </c>
      <c r="I620" s="33">
        <f t="shared" ref="I620:I629" si="133">IF(F620=0,"",+F620-H620)</f>
        <v>83.139392909999629</v>
      </c>
      <c r="J620" s="206">
        <f t="shared" ref="J620:J630" si="134">IF(E620=0,"",(F620-E620)/E620)</f>
        <v>5.2727288948145566E-2</v>
      </c>
      <c r="K620" s="206">
        <f t="shared" ref="K620:K630" si="135">IF(G620=0,"",(H620-G620)/G620)</f>
        <v>-9.5493604287699999E-2</v>
      </c>
      <c r="L620" s="372"/>
      <c r="M620" s="54"/>
      <c r="Z620" s="7"/>
    </row>
    <row r="621" spans="3:26">
      <c r="C621" s="20"/>
      <c r="D621" s="33" t="str">
        <f>IF(Indice_index!$Z$1=1,"março","March")</f>
        <v>March</v>
      </c>
      <c r="E621" s="33">
        <f t="shared" si="131"/>
        <v>1281.0643142899999</v>
      </c>
      <c r="F621" s="33">
        <v>1361.1703275900002</v>
      </c>
      <c r="G621" s="33">
        <f t="shared" si="132"/>
        <v>1385.1388549499998</v>
      </c>
      <c r="H621" s="33">
        <v>1308.7001086999999</v>
      </c>
      <c r="I621" s="33">
        <f t="shared" si="133"/>
        <v>52.470218890000297</v>
      </c>
      <c r="J621" s="206">
        <f t="shared" si="134"/>
        <v>6.2530828785436282E-2</v>
      </c>
      <c r="K621" s="206">
        <f t="shared" si="135"/>
        <v>-5.5184897872754532E-2</v>
      </c>
      <c r="L621" s="372"/>
      <c r="M621" s="54"/>
      <c r="Z621" s="7"/>
    </row>
    <row r="622" spans="3:26">
      <c r="C622" s="20"/>
      <c r="D622" s="33" t="str">
        <f>IF(Indice_index!$Z$1=1,"abril","April")</f>
        <v>April</v>
      </c>
      <c r="E622" s="33">
        <f t="shared" si="131"/>
        <v>1786.4029229399998</v>
      </c>
      <c r="F622" s="33">
        <v>1853.1998869699999</v>
      </c>
      <c r="G622" s="33">
        <f t="shared" si="132"/>
        <v>1943.6959593399997</v>
      </c>
      <c r="H622" s="33">
        <v>1798.55724637</v>
      </c>
      <c r="I622" s="33">
        <f t="shared" si="133"/>
        <v>54.642640599999822</v>
      </c>
      <c r="J622" s="206">
        <f t="shared" si="134"/>
        <v>3.7391880170050275E-2</v>
      </c>
      <c r="K622" s="206">
        <f t="shared" si="135"/>
        <v>-7.4671510362805352E-2</v>
      </c>
      <c r="L622" s="372"/>
      <c r="M622" s="54"/>
      <c r="Z622" s="7"/>
    </row>
    <row r="623" spans="3:26">
      <c r="C623" s="20"/>
      <c r="D623" s="33" t="str">
        <f>IF(Indice_index!$Z$1=1,"maio","May")</f>
        <v>May</v>
      </c>
      <c r="E623" s="33">
        <f t="shared" si="131"/>
        <v>2799.6999487500002</v>
      </c>
      <c r="F623" s="33">
        <v>2946.6156486499995</v>
      </c>
      <c r="G623" s="33">
        <f t="shared" si="132"/>
        <v>2660.1045034800004</v>
      </c>
      <c r="H623" s="33">
        <v>2391.6655987200002</v>
      </c>
      <c r="I623" s="33">
        <f t="shared" si="133"/>
        <v>554.9500499299993</v>
      </c>
      <c r="J623" s="206">
        <f t="shared" si="134"/>
        <v>5.2475516158648941E-2</v>
      </c>
      <c r="K623" s="206">
        <f t="shared" si="135"/>
        <v>-0.10091291692067858</v>
      </c>
      <c r="L623" s="372"/>
      <c r="M623" s="54"/>
      <c r="Z623" s="7"/>
    </row>
    <row r="624" spans="3:26">
      <c r="C624" s="20"/>
      <c r="D624" s="33" t="str">
        <f>IF(Indice_index!$Z$1=1,"junho","June")</f>
        <v>June</v>
      </c>
      <c r="E624" s="33">
        <f t="shared" si="131"/>
        <v>3275.48762154</v>
      </c>
      <c r="F624" s="33">
        <v>3446.0317080899999</v>
      </c>
      <c r="G624" s="33">
        <f t="shared" si="132"/>
        <v>3325.3554102400003</v>
      </c>
      <c r="H624" s="33">
        <v>3076.9426286799994</v>
      </c>
      <c r="I624" s="33">
        <f t="shared" si="133"/>
        <v>369.08907941000052</v>
      </c>
      <c r="J624" s="206">
        <f t="shared" si="134"/>
        <v>5.2066777913762088E-2</v>
      </c>
      <c r="K624" s="206">
        <f t="shared" si="135"/>
        <v>-7.4702626009552534E-2</v>
      </c>
      <c r="L624" s="372"/>
      <c r="M624" s="54"/>
      <c r="Z624" s="7"/>
    </row>
    <row r="625" spans="3:26">
      <c r="C625" s="20"/>
      <c r="D625" s="33" t="str">
        <f>IF(Indice_index!$Z$1=1,"julho","July")</f>
        <v>July</v>
      </c>
      <c r="E625" s="33">
        <f t="shared" si="131"/>
        <v>3851.6121569300008</v>
      </c>
      <c r="F625" s="33">
        <v>3988.8097642800012</v>
      </c>
      <c r="G625" s="33">
        <f t="shared" si="132"/>
        <v>3993.0549583500015</v>
      </c>
      <c r="H625" s="33">
        <v>3649.2236784499996</v>
      </c>
      <c r="I625" s="33">
        <f t="shared" si="133"/>
        <v>339.58608583000159</v>
      </c>
      <c r="J625" s="206">
        <f t="shared" si="134"/>
        <v>3.5620826230685791E-2</v>
      </c>
      <c r="K625" s="206">
        <f t="shared" si="135"/>
        <v>-8.6107324714127853E-2</v>
      </c>
      <c r="L625" s="372"/>
      <c r="M625" s="54"/>
      <c r="Z625" s="7"/>
    </row>
    <row r="626" spans="3:26">
      <c r="C626" s="20"/>
      <c r="D626" s="33" t="str">
        <f>IF(Indice_index!$Z$1=1,"agosto","August")</f>
        <v>August</v>
      </c>
      <c r="E626" s="33">
        <f t="shared" si="131"/>
        <v>4594.9104128999998</v>
      </c>
      <c r="F626" s="33">
        <v>4754.2327091600027</v>
      </c>
      <c r="G626" s="33">
        <f t="shared" si="132"/>
        <v>4606.2369042700002</v>
      </c>
      <c r="H626" s="33">
        <v>4132.8707992600002</v>
      </c>
      <c r="I626" s="33">
        <f t="shared" si="133"/>
        <v>621.3619099000025</v>
      </c>
      <c r="J626" s="206">
        <f t="shared" si="134"/>
        <v>3.4673645826197821E-2</v>
      </c>
      <c r="K626" s="206">
        <f t="shared" si="135"/>
        <v>-0.10276633938892454</v>
      </c>
      <c r="L626" s="372"/>
      <c r="M626" s="54"/>
      <c r="Z626" s="7"/>
    </row>
    <row r="627" spans="3:26">
      <c r="C627" s="20"/>
      <c r="D627" s="33" t="str">
        <f>IF(Indice_index!$Z$1=1,"setembro","September")</f>
        <v>September</v>
      </c>
      <c r="E627" s="33">
        <f t="shared" si="131"/>
        <v>5128.9837318200007</v>
      </c>
      <c r="F627" s="33">
        <v>5199.9696763000011</v>
      </c>
      <c r="G627" s="33">
        <f t="shared" si="132"/>
        <v>5237.1589197800004</v>
      </c>
      <c r="H627" s="33">
        <v>4645.2727130399999</v>
      </c>
      <c r="I627" s="33">
        <f t="shared" si="133"/>
        <v>554.69696326000121</v>
      </c>
      <c r="J627" s="206">
        <f t="shared" si="134"/>
        <v>1.3840157854197619E-2</v>
      </c>
      <c r="K627" s="206">
        <f t="shared" si="135"/>
        <v>-0.11301665956794454</v>
      </c>
      <c r="L627" s="372"/>
      <c r="M627" s="54"/>
      <c r="Z627" s="7"/>
    </row>
    <row r="628" spans="3:26">
      <c r="C628" s="20"/>
      <c r="D628" s="33" t="str">
        <f>IF(Indice_index!$Z$1=1,"outubro","October")</f>
        <v>October</v>
      </c>
      <c r="E628" s="33">
        <f t="shared" si="131"/>
        <v>5618.1945781399991</v>
      </c>
      <c r="F628" s="33">
        <v>5761.5188833400007</v>
      </c>
      <c r="G628" s="33">
        <f t="shared" si="132"/>
        <v>5778.0028582799996</v>
      </c>
      <c r="H628" s="33">
        <v>5142.0070710500004</v>
      </c>
      <c r="I628" s="33">
        <f t="shared" si="133"/>
        <v>619.51181229000031</v>
      </c>
      <c r="J628" s="206">
        <f t="shared" si="134"/>
        <v>2.5510740720456077E-2</v>
      </c>
      <c r="K628" s="206">
        <f t="shared" si="135"/>
        <v>-0.11007190595598337</v>
      </c>
      <c r="L628" s="372"/>
      <c r="M628" s="54"/>
      <c r="Z628" s="7"/>
    </row>
    <row r="629" spans="3:26">
      <c r="C629" s="20"/>
      <c r="D629" s="33" t="str">
        <f>IF(Indice_index!$Z$1=1,"novembro","November")</f>
        <v>November</v>
      </c>
      <c r="E629" s="33">
        <f t="shared" si="131"/>
        <v>6100.5174417400003</v>
      </c>
      <c r="F629" s="33">
        <v>6158.2498250200006</v>
      </c>
      <c r="G629" s="33">
        <f t="shared" si="132"/>
        <v>6280.0272733199999</v>
      </c>
      <c r="H629" s="33">
        <v>5567.0987799999984</v>
      </c>
      <c r="I629" s="33">
        <f t="shared" si="133"/>
        <v>591.15104502000213</v>
      </c>
      <c r="J629" s="206">
        <f t="shared" si="134"/>
        <v>9.4635223702489273E-3</v>
      </c>
      <c r="K629" s="206">
        <f t="shared" si="135"/>
        <v>-0.11352315241508572</v>
      </c>
      <c r="L629" s="372"/>
      <c r="M629" s="54"/>
      <c r="Z629" s="7"/>
    </row>
    <row r="630" spans="3:26">
      <c r="C630" s="20"/>
      <c r="D630" s="33" t="str">
        <f>IF(Indice_index!$Z$1=1,"dezembro","December")</f>
        <v>December</v>
      </c>
      <c r="E630" s="33">
        <f t="shared" si="131"/>
        <v>7010.9966759499985</v>
      </c>
      <c r="F630" s="33">
        <v>7245.4587148099999</v>
      </c>
      <c r="G630" s="33">
        <f t="shared" si="132"/>
        <v>7074.3951497300013</v>
      </c>
      <c r="H630" s="33">
        <v>6504.1663187000004</v>
      </c>
      <c r="I630" s="33">
        <v>741.29239610999957</v>
      </c>
      <c r="J630" s="206">
        <f t="shared" si="134"/>
        <v>3.3442041081588672E-2</v>
      </c>
      <c r="K630" s="206">
        <f t="shared" si="135"/>
        <v>-8.0604605618017258E-2</v>
      </c>
      <c r="L630" s="372"/>
      <c r="M630" s="54"/>
      <c r="Z630" s="7"/>
    </row>
    <row r="631" spans="3:26">
      <c r="C631" s="33"/>
      <c r="D631" s="33"/>
      <c r="E631" s="33"/>
      <c r="F631" s="33"/>
      <c r="G631" s="33"/>
      <c r="H631" s="33"/>
      <c r="I631" s="33"/>
      <c r="J631" s="33"/>
      <c r="K631" s="33"/>
      <c r="L631" s="372"/>
      <c r="M631" s="54"/>
      <c r="N631" s="12"/>
      <c r="Z631" s="7"/>
    </row>
    <row r="632" spans="3:26">
      <c r="C632" s="20" t="s">
        <v>97</v>
      </c>
      <c r="D632" s="33" t="str">
        <f>IF(Indice_index!$Z$1=1,"janeiro","January")</f>
        <v>January</v>
      </c>
      <c r="E632" s="33">
        <v>465.96077471999979</v>
      </c>
      <c r="F632" s="33">
        <v>489.38182208909831</v>
      </c>
      <c r="G632" s="33">
        <v>370.46125807999999</v>
      </c>
      <c r="H632" s="33">
        <v>347.4502446868039</v>
      </c>
      <c r="I632" s="33">
        <f>IF(F632=0,"",+F632-H632)</f>
        <v>141.93157740229441</v>
      </c>
      <c r="J632" s="206">
        <f>IF(E632=0,"",(F632-E632)/E632)</f>
        <v>5.0263989244958319E-2</v>
      </c>
      <c r="K632" s="206">
        <f>IF(G632=0,"",(H632-G632)/G632)</f>
        <v>-6.2114493462706255E-2</v>
      </c>
      <c r="L632" s="372"/>
      <c r="M632" s="54"/>
      <c r="Z632" s="7"/>
    </row>
    <row r="633" spans="3:26">
      <c r="C633" s="20"/>
      <c r="D633" s="33" t="str">
        <f>IF(Indice_index!$Z$1=1,"fevereiro","February")</f>
        <v>February</v>
      </c>
      <c r="E633" s="33">
        <v>888.81695568000021</v>
      </c>
      <c r="F633" s="33">
        <v>898.56950718682765</v>
      </c>
      <c r="G633" s="33">
        <v>805.67756277000001</v>
      </c>
      <c r="H633" s="33">
        <v>762.88340543779282</v>
      </c>
      <c r="I633" s="33">
        <f t="shared" ref="I633:I671" si="136">IF(F633=0,"",+F633-H633)</f>
        <v>135.68610174903483</v>
      </c>
      <c r="J633" s="206">
        <f t="shared" ref="J633:J671" si="137">IF(E633=0,"",(F633-E633)/E633)</f>
        <v>1.0972508393886497E-2</v>
      </c>
      <c r="K633" s="206">
        <f t="shared" ref="K633:K671" si="138">IF(G633=0,"",(H633-G633)/G633)</f>
        <v>-5.3115736753393754E-2</v>
      </c>
      <c r="L633" s="372"/>
      <c r="M633" s="54"/>
      <c r="Z633" s="7"/>
    </row>
    <row r="634" spans="3:26">
      <c r="C634" s="20"/>
      <c r="D634" s="33" t="str">
        <f>IF(Indice_index!$Z$1=1,"março","March")</f>
        <v>March</v>
      </c>
      <c r="E634" s="33">
        <v>1361.1703275899997</v>
      </c>
      <c r="F634" s="33">
        <v>1383.1926541466964</v>
      </c>
      <c r="G634" s="33">
        <v>1308.7001086999996</v>
      </c>
      <c r="H634" s="33">
        <v>1253.2000576141318</v>
      </c>
      <c r="I634" s="33">
        <f t="shared" si="136"/>
        <v>129.99259653256468</v>
      </c>
      <c r="J634" s="206">
        <f t="shared" si="137"/>
        <v>1.6178964608850998E-2</v>
      </c>
      <c r="K634" s="206">
        <f t="shared" si="138"/>
        <v>-4.2408532494888372E-2</v>
      </c>
      <c r="L634" s="372"/>
      <c r="M634" s="54"/>
      <c r="N634" s="336"/>
      <c r="Z634" s="7"/>
    </row>
    <row r="635" spans="3:26">
      <c r="C635" s="20"/>
      <c r="D635" s="33" t="str">
        <f>IF(Indice_index!$Z$1=1,"abril","April")</f>
        <v>April</v>
      </c>
      <c r="E635" s="33">
        <v>1853.1998869699999</v>
      </c>
      <c r="F635" s="33">
        <v>1873.4634446021378</v>
      </c>
      <c r="G635" s="33">
        <v>1798.55724637</v>
      </c>
      <c r="H635" s="33">
        <v>1712.2001354149365</v>
      </c>
      <c r="I635" s="33">
        <f t="shared" si="136"/>
        <v>161.26330918720123</v>
      </c>
      <c r="J635" s="206">
        <f t="shared" si="137"/>
        <v>1.0934361573520833E-2</v>
      </c>
      <c r="K635" s="206">
        <f t="shared" si="138"/>
        <v>-4.8014657931715381E-2</v>
      </c>
      <c r="L635" s="372"/>
      <c r="M635" s="54"/>
      <c r="N635" s="336"/>
      <c r="Z635" s="7"/>
    </row>
    <row r="636" spans="3:26">
      <c r="C636" s="20"/>
      <c r="D636" s="33" t="str">
        <f>IF(Indice_index!$Z$1=1,"maio","May")</f>
        <v>May</v>
      </c>
      <c r="E636" s="33">
        <v>2946.6156486499995</v>
      </c>
      <c r="F636" s="33">
        <v>2928.6038047256602</v>
      </c>
      <c r="G636" s="33">
        <v>2391.6655987200002</v>
      </c>
      <c r="H636" s="33">
        <v>2304.20546559286</v>
      </c>
      <c r="I636" s="33">
        <f t="shared" si="136"/>
        <v>624.39833913280017</v>
      </c>
      <c r="J636" s="206">
        <f t="shared" si="137"/>
        <v>-6.1127225509005302E-3</v>
      </c>
      <c r="K636" s="206">
        <f t="shared" si="138"/>
        <v>-3.6568713106860787E-2</v>
      </c>
      <c r="L636" s="372"/>
      <c r="M636" s="54"/>
      <c r="N636" s="336"/>
      <c r="Z636" s="7"/>
    </row>
    <row r="637" spans="3:26">
      <c r="C637" s="20"/>
      <c r="D637" s="33" t="str">
        <f>IF(Indice_index!$Z$1=1,"junho","June")</f>
        <v>June</v>
      </c>
      <c r="E637" s="33">
        <v>3446.0317080899999</v>
      </c>
      <c r="F637" s="33">
        <v>3451.1699104347094</v>
      </c>
      <c r="G637" s="33">
        <v>3076.9426286799994</v>
      </c>
      <c r="H637" s="33">
        <v>2979.4146296607109</v>
      </c>
      <c r="I637" s="33">
        <f t="shared" si="136"/>
        <v>471.75528077399849</v>
      </c>
      <c r="J637" s="206">
        <f t="shared" si="137"/>
        <v>1.4910490616342593E-3</v>
      </c>
      <c r="K637" s="206">
        <f t="shared" si="138"/>
        <v>-3.1696398272179592E-2</v>
      </c>
      <c r="L637" s="372"/>
      <c r="M637" s="54"/>
      <c r="N637" s="336"/>
      <c r="Z637" s="7"/>
    </row>
    <row r="638" spans="3:26">
      <c r="C638" s="20"/>
      <c r="D638" s="33" t="str">
        <f>IF(Indice_index!$Z$1=1,"julho","July")</f>
        <v>July</v>
      </c>
      <c r="E638" s="33">
        <v>3989.1600522100011</v>
      </c>
      <c r="F638" s="33">
        <v>4000.5551880862281</v>
      </c>
      <c r="G638" s="33">
        <v>3649.2236784499996</v>
      </c>
      <c r="H638" s="33">
        <v>3526.7101704861334</v>
      </c>
      <c r="I638" s="33">
        <f t="shared" si="136"/>
        <v>473.84501760009471</v>
      </c>
      <c r="J638" s="206">
        <f t="shared" si="137"/>
        <v>2.8565251148331429E-3</v>
      </c>
      <c r="K638" s="206">
        <f t="shared" si="138"/>
        <v>-3.3572485207567108E-2</v>
      </c>
      <c r="L638" s="372"/>
      <c r="M638" s="54"/>
      <c r="Z638" s="7"/>
    </row>
    <row r="639" spans="3:26">
      <c r="C639" s="20"/>
      <c r="D639" s="33" t="str">
        <f>IF(Indice_index!$Z$1=1,"agosto","August")</f>
        <v>August</v>
      </c>
      <c r="E639" s="33">
        <v>4754.2327091600027</v>
      </c>
      <c r="F639" s="33">
        <v>4798.5427991583574</v>
      </c>
      <c r="G639" s="33">
        <v>4132.8707992600002</v>
      </c>
      <c r="H639" s="33">
        <v>4069.2587719847747</v>
      </c>
      <c r="I639" s="33">
        <f t="shared" si="136"/>
        <v>729.28402717358267</v>
      </c>
      <c r="J639" s="206">
        <f t="shared" si="137"/>
        <v>9.3201348585613426E-3</v>
      </c>
      <c r="K639" s="206">
        <f t="shared" si="138"/>
        <v>-1.5391728985724735E-2</v>
      </c>
      <c r="L639" s="372"/>
      <c r="M639" s="54"/>
      <c r="Z639" s="7"/>
    </row>
    <row r="640" spans="3:26">
      <c r="C640" s="20"/>
      <c r="D640" s="33" t="str">
        <f>IF(Indice_index!$Z$1=1,"setembro","September")</f>
        <v>September</v>
      </c>
      <c r="E640" s="33">
        <v>5199.9696763000011</v>
      </c>
      <c r="F640" s="33">
        <v>5311.8793071154987</v>
      </c>
      <c r="G640" s="33">
        <v>4645.2727130399999</v>
      </c>
      <c r="H640" s="33">
        <v>4618.0442167070851</v>
      </c>
      <c r="I640" s="33">
        <f t="shared" si="136"/>
        <v>693.83509040841363</v>
      </c>
      <c r="J640" s="206">
        <f t="shared" si="137"/>
        <v>2.1521208349646773E-2</v>
      </c>
      <c r="K640" s="206">
        <f t="shared" si="138"/>
        <v>-5.8615495827575841E-3</v>
      </c>
      <c r="L640" s="372"/>
      <c r="M640" s="54"/>
      <c r="Z640" s="7"/>
    </row>
    <row r="641" spans="3:28">
      <c r="C641" s="20"/>
      <c r="D641" s="33" t="str">
        <f>IF(Indice_index!$Z$1=1,"outubro","October")</f>
        <v>October</v>
      </c>
      <c r="E641" s="33">
        <v>5770.4243189899998</v>
      </c>
      <c r="F641" s="33">
        <v>5801.8480643905041</v>
      </c>
      <c r="G641" s="33">
        <v>5149.5470982399993</v>
      </c>
      <c r="H641" s="33">
        <v>5160.58244767015</v>
      </c>
      <c r="I641" s="33">
        <f t="shared" si="136"/>
        <v>641.26561672035405</v>
      </c>
      <c r="J641" s="206">
        <f t="shared" si="137"/>
        <v>5.445655928124943E-3</v>
      </c>
      <c r="K641" s="206">
        <f t="shared" si="138"/>
        <v>2.1429747547939471E-3</v>
      </c>
      <c r="L641" s="372"/>
      <c r="M641" s="54"/>
      <c r="Z641" s="7"/>
    </row>
    <row r="642" spans="3:28">
      <c r="C642" s="20"/>
      <c r="D642" s="33" t="str">
        <f>IF(Indice_index!$Z$1=1,"novembro","November")</f>
        <v>November</v>
      </c>
      <c r="E642" s="33">
        <v>6248.940102059998</v>
      </c>
      <c r="F642" s="33">
        <v>6300.4051901884095</v>
      </c>
      <c r="G642" s="33">
        <v>5648.2702974499998</v>
      </c>
      <c r="H642" s="33">
        <v>5695.6137099588759</v>
      </c>
      <c r="I642" s="33">
        <f t="shared" si="136"/>
        <v>604.79148022953359</v>
      </c>
      <c r="J642" s="206">
        <f t="shared" si="137"/>
        <v>8.2358107595631655E-3</v>
      </c>
      <c r="K642" s="206">
        <f t="shared" si="138"/>
        <v>8.3819311073427254E-3</v>
      </c>
      <c r="L642" s="372"/>
      <c r="M642" s="54"/>
      <c r="Z642" s="7"/>
    </row>
    <row r="643" spans="3:28">
      <c r="C643" s="20"/>
      <c r="D643" s="33" t="str">
        <f>IF(Indice_index!$Z$1=1,"dezembro","December")</f>
        <v>December</v>
      </c>
      <c r="E643" s="33">
        <v>6938.42132176</v>
      </c>
      <c r="F643" s="33">
        <v>7322.5617257399999</v>
      </c>
      <c r="G643" s="33">
        <v>6521.2552617699994</v>
      </c>
      <c r="H643" s="33">
        <v>6662.1763318399999</v>
      </c>
      <c r="I643" s="33">
        <f t="shared" si="136"/>
        <v>660.38539390000005</v>
      </c>
      <c r="J643" s="206">
        <f t="shared" si="137"/>
        <v>5.536423721852609E-2</v>
      </c>
      <c r="K643" s="206">
        <f t="shared" si="138"/>
        <v>2.1609500688637619E-2</v>
      </c>
      <c r="L643" s="372"/>
      <c r="M643" s="54"/>
      <c r="Z643" s="7"/>
    </row>
    <row r="644" spans="3:28" ht="12" customHeight="1">
      <c r="C644" s="20"/>
      <c r="D644" s="33"/>
      <c r="E644" s="33"/>
      <c r="F644" s="33"/>
      <c r="G644" s="33"/>
      <c r="H644" s="33"/>
      <c r="I644" s="33"/>
      <c r="J644" s="206"/>
      <c r="K644" s="206"/>
      <c r="L644" s="372"/>
      <c r="M644" s="54"/>
    </row>
    <row r="645" spans="3:28" ht="12.75" customHeight="1">
      <c r="C645" s="20" t="s">
        <v>114</v>
      </c>
      <c r="D645" s="33" t="s">
        <v>113</v>
      </c>
      <c r="E645" s="33">
        <v>503.25906035999986</v>
      </c>
      <c r="F645" s="33">
        <v>580.33064508526309</v>
      </c>
      <c r="G645" s="33">
        <v>349.4381528400001</v>
      </c>
      <c r="H645" s="33">
        <v>360.32773307093868</v>
      </c>
      <c r="I645" s="33">
        <f t="shared" si="136"/>
        <v>220.00291201432441</v>
      </c>
      <c r="J645" s="206">
        <f t="shared" si="137"/>
        <v>0.15314495216465862</v>
      </c>
      <c r="K645" s="206">
        <f t="shared" si="138"/>
        <v>3.1163111819460288E-2</v>
      </c>
      <c r="L645" s="372"/>
      <c r="M645" s="54"/>
    </row>
    <row r="646" spans="3:28" s="35" customFormat="1" ht="15.75" customHeight="1">
      <c r="C646" s="71"/>
      <c r="D646" s="71" t="str">
        <f>IF(Indice_index!$Z$1=1,"fevereiro","February")</f>
        <v>February</v>
      </c>
      <c r="E646" s="33">
        <v>899.72722049999982</v>
      </c>
      <c r="F646" s="71">
        <v>1038.7820208336393</v>
      </c>
      <c r="G646" s="33">
        <v>765.3103240800001</v>
      </c>
      <c r="H646" s="71">
        <v>815.32883369556237</v>
      </c>
      <c r="I646" s="33">
        <f t="shared" si="136"/>
        <v>223.45318713807694</v>
      </c>
      <c r="J646" s="206">
        <f t="shared" si="137"/>
        <v>0.15455217666568255</v>
      </c>
      <c r="K646" s="206">
        <f t="shared" si="138"/>
        <v>6.5357160411615836E-2</v>
      </c>
      <c r="L646" s="372"/>
      <c r="M646" s="54"/>
      <c r="O646" s="257"/>
      <c r="P646" s="258"/>
      <c r="Q646" s="257"/>
      <c r="Z646" s="2"/>
      <c r="AA646" s="2"/>
      <c r="AB646" s="2"/>
    </row>
    <row r="647" spans="3:28" s="35" customFormat="1" ht="15.75" customHeight="1">
      <c r="C647" s="71"/>
      <c r="D647" s="71" t="str">
        <f>IF(Indice_index!$Z$1=1,"março","March")</f>
        <v>March</v>
      </c>
      <c r="E647" s="71">
        <v>1374.3300261299996</v>
      </c>
      <c r="F647" s="71">
        <v>1580.8466014915971</v>
      </c>
      <c r="G647" s="71">
        <v>1241.66289495</v>
      </c>
      <c r="H647" s="71">
        <v>1382.8333710823895</v>
      </c>
      <c r="I647" s="33">
        <f t="shared" si="136"/>
        <v>198.01323040920761</v>
      </c>
      <c r="J647" s="206">
        <f t="shared" si="137"/>
        <v>0.15026709118997505</v>
      </c>
      <c r="K647" s="206">
        <f t="shared" si="138"/>
        <v>0.11369468855560365</v>
      </c>
      <c r="L647" s="372"/>
      <c r="M647" s="54"/>
      <c r="O647" s="257"/>
      <c r="P647" s="257"/>
      <c r="Q647" s="257"/>
      <c r="Z647" s="2"/>
      <c r="AA647" s="2"/>
      <c r="AB647" s="2"/>
    </row>
    <row r="648" spans="3:28" s="35" customFormat="1" ht="15.75" customHeight="1">
      <c r="C648" s="71"/>
      <c r="D648" s="71" t="str">
        <f>IF(Indice_index!$Z$1=1,"abril","April")</f>
        <v>April</v>
      </c>
      <c r="E648" s="33">
        <v>1871.5648765599997</v>
      </c>
      <c r="F648" s="71">
        <v>2018.7104631349134</v>
      </c>
      <c r="G648" s="71">
        <v>1709.9</v>
      </c>
      <c r="H648" s="71">
        <v>1855.5785572425989</v>
      </c>
      <c r="I648" s="33">
        <f t="shared" si="136"/>
        <v>163.13190589231453</v>
      </c>
      <c r="J648" s="206">
        <f t="shared" si="137"/>
        <v>7.8621686278582223E-2</v>
      </c>
      <c r="K648" s="206">
        <f t="shared" si="138"/>
        <v>8.5197121026141173E-2</v>
      </c>
      <c r="L648" s="372"/>
      <c r="M648" s="54"/>
      <c r="N648"/>
      <c r="O648"/>
      <c r="P648"/>
      <c r="Q648"/>
      <c r="Z648" s="2"/>
      <c r="AA648" s="2"/>
      <c r="AB648" s="2"/>
    </row>
    <row r="649" spans="3:28" s="35" customFormat="1" ht="15.75" customHeight="1">
      <c r="C649" s="71"/>
      <c r="D649" s="71" t="str">
        <f>IF(Indice_index!$Z$1=1,"maio","May")</f>
        <v>May</v>
      </c>
      <c r="E649" s="71">
        <v>2912.8020228100004</v>
      </c>
      <c r="F649" s="71">
        <v>3108.1637153180855</v>
      </c>
      <c r="G649" s="71">
        <v>2299.58975865</v>
      </c>
      <c r="H649" s="71">
        <v>2504.9688048313392</v>
      </c>
      <c r="I649" s="33">
        <f t="shared" si="136"/>
        <v>603.19491048674627</v>
      </c>
      <c r="J649" s="206">
        <f t="shared" si="137"/>
        <v>6.7070020886492748E-2</v>
      </c>
      <c r="K649" s="206">
        <f t="shared" si="138"/>
        <v>8.9311167528380905E-2</v>
      </c>
      <c r="L649" s="372"/>
      <c r="M649" s="54"/>
      <c r="N649"/>
      <c r="O649"/>
      <c r="P649"/>
      <c r="Q649"/>
      <c r="Z649" s="2"/>
      <c r="AA649" s="2"/>
      <c r="AB649" s="2"/>
    </row>
    <row r="650" spans="3:28" s="35" customFormat="1" ht="15.75" customHeight="1">
      <c r="C650" s="71"/>
      <c r="D650" s="28" t="str">
        <f>IF(Indice_index!$Z$1=1,"junho","June")</f>
        <v>June</v>
      </c>
      <c r="E650" s="28">
        <v>3446.5293829400002</v>
      </c>
      <c r="F650" s="28">
        <v>3685.680152261285</v>
      </c>
      <c r="G650" s="28">
        <v>2973.0649563200009</v>
      </c>
      <c r="H650" s="28">
        <v>3243.9949739845019</v>
      </c>
      <c r="I650" s="33">
        <f t="shared" si="136"/>
        <v>441.68517827678306</v>
      </c>
      <c r="J650" s="206">
        <f t="shared" si="137"/>
        <v>6.9388867103544458E-2</v>
      </c>
      <c r="K650" s="206">
        <f t="shared" si="138"/>
        <v>9.1128186448994619E-2</v>
      </c>
      <c r="L650" s="372"/>
      <c r="M650" s="54"/>
      <c r="N650"/>
      <c r="O650"/>
      <c r="P650"/>
      <c r="Q650"/>
      <c r="Z650" s="2"/>
      <c r="AA650" s="2"/>
      <c r="AB650" s="2"/>
    </row>
    <row r="651" spans="3:28" s="35" customFormat="1" ht="15.75" customHeight="1">
      <c r="C651" s="71"/>
      <c r="D651" s="33" t="str">
        <f>IF(Indice_index!$Z$1=1,"julho","July")</f>
        <v>July</v>
      </c>
      <c r="E651" s="33">
        <v>3999.4222513299992</v>
      </c>
      <c r="F651" s="33">
        <v>4213.8306444736772</v>
      </c>
      <c r="G651" s="33">
        <v>3528.34151131</v>
      </c>
      <c r="H651" s="33">
        <v>3865.984719596941</v>
      </c>
      <c r="I651" s="33">
        <f t="shared" si="136"/>
        <v>347.84592487673626</v>
      </c>
      <c r="J651" s="206">
        <f t="shared" si="137"/>
        <v>5.3609841539581621E-2</v>
      </c>
      <c r="K651" s="206">
        <f t="shared" si="138"/>
        <v>9.5694593962810895E-2</v>
      </c>
      <c r="L651" s="372"/>
      <c r="M651" s="54"/>
      <c r="N651"/>
      <c r="O651"/>
      <c r="P651"/>
      <c r="Q651"/>
      <c r="Z651" s="2"/>
      <c r="AA651" s="2"/>
      <c r="AB651" s="2"/>
    </row>
    <row r="652" spans="3:28" s="35" customFormat="1" ht="15.75" customHeight="1">
      <c r="C652" s="71"/>
      <c r="D652" s="33" t="str">
        <f>IF(Indice_index!$Z$1=1,"agosto","August")</f>
        <v>August</v>
      </c>
      <c r="E652" s="33">
        <v>4795.1568870300007</v>
      </c>
      <c r="F652" s="33">
        <v>5091.8866587619941</v>
      </c>
      <c r="G652" s="33">
        <v>4068.9845600499989</v>
      </c>
      <c r="H652" s="33">
        <v>4489.6513658856065</v>
      </c>
      <c r="I652" s="33">
        <f t="shared" si="136"/>
        <v>602.23529287638758</v>
      </c>
      <c r="J652" s="206">
        <f t="shared" si="137"/>
        <v>6.1881139391829237E-2</v>
      </c>
      <c r="K652" s="206">
        <f t="shared" si="138"/>
        <v>0.10338373115636462</v>
      </c>
      <c r="L652" s="372"/>
      <c r="M652" s="54"/>
      <c r="N652"/>
      <c r="O652"/>
      <c r="P652"/>
      <c r="Q652"/>
      <c r="Z652" s="2"/>
      <c r="AA652" s="2"/>
      <c r="AB652" s="2"/>
    </row>
    <row r="653" spans="3:28" s="35" customFormat="1" ht="15.75" customHeight="1">
      <c r="C653" s="33"/>
      <c r="D653" s="33" t="str">
        <f>IF(Indice_index!$Z$1=1,"setembro","September")</f>
        <v>September</v>
      </c>
      <c r="E653" s="33">
        <v>5315.7191907600009</v>
      </c>
      <c r="F653" s="33">
        <v>5674.8388767090764</v>
      </c>
      <c r="G653" s="33">
        <v>4615.8949634999981</v>
      </c>
      <c r="H653" s="33">
        <v>5123.6262585568011</v>
      </c>
      <c r="I653" s="33">
        <f t="shared" si="136"/>
        <v>551.21261815227535</v>
      </c>
      <c r="J653" s="206">
        <f t="shared" si="137"/>
        <v>6.7558061865516147E-2</v>
      </c>
      <c r="K653" s="206">
        <f t="shared" si="138"/>
        <v>0.10999628437641401</v>
      </c>
      <c r="L653" s="372"/>
      <c r="M653" s="54"/>
      <c r="N653"/>
      <c r="O653"/>
      <c r="P653"/>
      <c r="Q653"/>
      <c r="Z653" s="2"/>
      <c r="AA653" s="2"/>
      <c r="AB653" s="2"/>
    </row>
    <row r="654" spans="3:28" ht="15.75" customHeight="1">
      <c r="C654" s="33"/>
      <c r="D654" s="33" t="str">
        <f>IF(Indice_index!$Z$1=1,"outubro","October")</f>
        <v>October</v>
      </c>
      <c r="E654" s="33">
        <v>5802.4802445900004</v>
      </c>
      <c r="F654" s="33">
        <v>6185.496027491231</v>
      </c>
      <c r="G654" s="33">
        <v>5159.6904058799983</v>
      </c>
      <c r="H654" s="33">
        <v>5662.4031824570229</v>
      </c>
      <c r="I654" s="33">
        <f t="shared" si="136"/>
        <v>523.09284503420804</v>
      </c>
      <c r="J654" s="206">
        <f t="shared" si="137"/>
        <v>6.6008976636902653E-2</v>
      </c>
      <c r="K654" s="206">
        <f t="shared" si="138"/>
        <v>9.7430802438094294E-2</v>
      </c>
      <c r="L654" s="372"/>
      <c r="M654" s="54"/>
      <c r="N654"/>
      <c r="O654"/>
      <c r="P654"/>
      <c r="Q654"/>
    </row>
    <row r="655" spans="3:28" s="24" customFormat="1" ht="15.75" customHeight="1">
      <c r="C655" s="33"/>
      <c r="D655" s="33" t="str">
        <f>IF(Indice_index!$Z$1=1,"novembro","November")</f>
        <v>November</v>
      </c>
      <c r="E655" s="33">
        <v>6301.2748997399985</v>
      </c>
      <c r="F655" s="33">
        <v>6702.4443189644307</v>
      </c>
      <c r="G655" s="33">
        <v>5700.2503323500005</v>
      </c>
      <c r="H655" s="33">
        <v>6297.8286226644304</v>
      </c>
      <c r="I655" s="33">
        <f t="shared" si="136"/>
        <v>404.61569630000031</v>
      </c>
      <c r="J655" s="206">
        <f t="shared" si="137"/>
        <v>6.366480206108531E-2</v>
      </c>
      <c r="K655" s="206">
        <f t="shared" si="138"/>
        <v>0.10483369246488351</v>
      </c>
      <c r="L655" s="372"/>
      <c r="M655" s="54"/>
      <c r="N655" s="221"/>
      <c r="O655" s="221"/>
      <c r="P655" s="221"/>
      <c r="Q655" s="221"/>
      <c r="Z655" s="42"/>
      <c r="AA655" s="42"/>
      <c r="AB655" s="42"/>
    </row>
    <row r="656" spans="3:28" s="24" customFormat="1" ht="15.75" customHeight="1">
      <c r="C656" s="33"/>
      <c r="D656" s="33" t="str">
        <f>IF(Indice_index!$Z$1=1,"dezembro","December")</f>
        <v>December</v>
      </c>
      <c r="E656" s="33">
        <v>7318.2332930599996</v>
      </c>
      <c r="F656" s="33">
        <v>7746.5160861200011</v>
      </c>
      <c r="G656" s="33">
        <v>6660.1033618800002</v>
      </c>
      <c r="H656" s="33">
        <v>7272.5431958200006</v>
      </c>
      <c r="I656" s="33">
        <f t="shared" si="136"/>
        <v>473.97289030000047</v>
      </c>
      <c r="J656" s="206">
        <f t="shared" si="137"/>
        <v>5.8522702940633102E-2</v>
      </c>
      <c r="K656" s="206">
        <f t="shared" si="138"/>
        <v>9.195650587727848E-2</v>
      </c>
      <c r="L656" s="372"/>
      <c r="M656" s="54"/>
      <c r="N656" s="221"/>
      <c r="O656" s="221"/>
      <c r="P656" s="221"/>
      <c r="Q656" s="221"/>
      <c r="Z656" s="42"/>
      <c r="AA656" s="42"/>
      <c r="AB656" s="42"/>
    </row>
    <row r="657" spans="3:28" s="24" customFormat="1" ht="15.75" customHeight="1">
      <c r="C657" s="33"/>
      <c r="D657" s="33"/>
      <c r="E657" s="33"/>
      <c r="F657" s="33"/>
      <c r="G657" s="33"/>
      <c r="H657" s="33"/>
      <c r="I657" s="33"/>
      <c r="J657" s="206"/>
      <c r="K657" s="206"/>
      <c r="L657" s="372"/>
      <c r="M657" s="54"/>
      <c r="N657" s="221"/>
      <c r="O657" s="221"/>
      <c r="P657" s="221"/>
      <c r="Q657" s="221"/>
      <c r="Z657" s="42"/>
      <c r="AA657" s="42"/>
      <c r="AB657" s="42"/>
    </row>
    <row r="658" spans="3:28" s="71" customFormat="1" ht="15.75" customHeight="1">
      <c r="C658" s="20" t="s">
        <v>126</v>
      </c>
      <c r="D658" s="71" t="str">
        <f>IF(Indice_index!$Z$1=1,"janeiro","January")</f>
        <v>January</v>
      </c>
      <c r="E658" s="71">
        <v>569.06567455999971</v>
      </c>
      <c r="F658" s="71">
        <v>542.13826695000012</v>
      </c>
      <c r="G658" s="71">
        <v>360.87765394999991</v>
      </c>
      <c r="H658" s="71">
        <v>373.18968058999997</v>
      </c>
      <c r="I658" s="71">
        <f t="shared" si="136"/>
        <v>168.94858636000015</v>
      </c>
      <c r="J658" s="204">
        <f t="shared" si="137"/>
        <v>-4.7318629138578427E-2</v>
      </c>
      <c r="K658" s="204">
        <f t="shared" si="138"/>
        <v>3.411689946783434E-2</v>
      </c>
      <c r="L658" s="372"/>
      <c r="M658" s="54"/>
      <c r="O658" s="368"/>
      <c r="P658" s="368"/>
      <c r="Q658" s="366"/>
      <c r="Z658" s="42"/>
      <c r="AA658" s="42"/>
      <c r="AB658" s="42"/>
    </row>
    <row r="659" spans="3:28" s="71" customFormat="1" ht="15.75" customHeight="1">
      <c r="D659" s="71" t="str">
        <f>IF(Indice_index!$Z$1=1,"fevereiro","February")</f>
        <v>February</v>
      </c>
      <c r="E659" s="71">
        <v>1028.4922588900004</v>
      </c>
      <c r="F659" s="71">
        <v>969.77510730000063</v>
      </c>
      <c r="G659" s="71">
        <v>813.57100869000033</v>
      </c>
      <c r="H659" s="71">
        <v>858.4813475899997</v>
      </c>
      <c r="I659" s="71">
        <f t="shared" si="136"/>
        <v>111.29375971000093</v>
      </c>
      <c r="J659" s="204">
        <f t="shared" si="137"/>
        <v>-5.7090513888135803E-2</v>
      </c>
      <c r="K659" s="204">
        <f t="shared" si="138"/>
        <v>5.5201498603438828E-2</v>
      </c>
      <c r="L659" s="372"/>
      <c r="M659" s="54"/>
      <c r="O659" s="368"/>
      <c r="P659" s="369"/>
      <c r="Q659" s="368"/>
      <c r="Z659" s="42"/>
      <c r="AA659" s="42"/>
      <c r="AB659" s="42"/>
    </row>
    <row r="660" spans="3:28" s="71" customFormat="1" ht="15.75" customHeight="1">
      <c r="D660" s="71" t="str">
        <f>IF(Indice_index!$Z$1=1,"março","March")</f>
        <v>March</v>
      </c>
      <c r="E660" s="71">
        <v>1548.8658681500003</v>
      </c>
      <c r="F660" s="71">
        <v>1505.6944855599995</v>
      </c>
      <c r="G660" s="71">
        <v>1381.6008200900008</v>
      </c>
      <c r="H660" s="71">
        <v>1410.2340011500003</v>
      </c>
      <c r="I660" s="71">
        <f t="shared" si="136"/>
        <v>95.460484409999253</v>
      </c>
      <c r="J660" s="204">
        <f t="shared" si="137"/>
        <v>-2.7872899440650505E-2</v>
      </c>
      <c r="K660" s="204">
        <f t="shared" si="138"/>
        <v>2.0724641042218172E-2</v>
      </c>
      <c r="L660" s="372"/>
      <c r="M660" s="54"/>
      <c r="O660" s="368"/>
      <c r="P660" s="368"/>
      <c r="Q660" s="368"/>
      <c r="Z660" s="42"/>
      <c r="AA660" s="42"/>
      <c r="AB660" s="42"/>
    </row>
    <row r="661" spans="3:28" s="71" customFormat="1" ht="15.75" customHeight="1">
      <c r="D661" s="71" t="str">
        <f>IF(Indice_index!$Z$1=1,"abril","April")</f>
        <v>April</v>
      </c>
      <c r="E661" s="71">
        <v>2040.1632972700002</v>
      </c>
      <c r="F661" s="71">
        <v>2022.7653328800002</v>
      </c>
      <c r="G661" s="71">
        <v>1858.7228414699998</v>
      </c>
      <c r="H661" s="71">
        <v>1926.5204412000001</v>
      </c>
      <c r="I661" s="71">
        <f t="shared" si="136"/>
        <v>96.244891680000137</v>
      </c>
      <c r="J661" s="204">
        <f t="shared" si="137"/>
        <v>-8.5277312915493942E-3</v>
      </c>
      <c r="K661" s="204">
        <f t="shared" si="138"/>
        <v>3.6475368041628757E-2</v>
      </c>
      <c r="L661" s="372"/>
      <c r="M661" s="54"/>
      <c r="N661" s="221"/>
      <c r="O661" s="221"/>
      <c r="P661" s="221"/>
      <c r="Q661" s="221"/>
      <c r="Z661" s="42"/>
      <c r="AA661" s="42"/>
      <c r="AB661" s="42"/>
    </row>
    <row r="662" spans="3:28" s="71" customFormat="1" ht="15.75" customHeight="1">
      <c r="D662" s="71" t="str">
        <f>IF(Indice_index!$Z$1=1,"maio","May")</f>
        <v>May</v>
      </c>
      <c r="E662" s="71">
        <v>3126.4275175900011</v>
      </c>
      <c r="F662" s="71">
        <v>3144.8932819499992</v>
      </c>
      <c r="G662" s="71">
        <v>2523.3644386899996</v>
      </c>
      <c r="H662" s="71">
        <v>2562.3604609200002</v>
      </c>
      <c r="I662" s="71">
        <f t="shared" si="136"/>
        <v>582.53282102999901</v>
      </c>
      <c r="J662" s="204">
        <f t="shared" si="137"/>
        <v>5.9063465428529542E-3</v>
      </c>
      <c r="K662" s="204">
        <f t="shared" si="138"/>
        <v>1.5453979469666016E-2</v>
      </c>
      <c r="L662" s="372"/>
      <c r="M662" s="54"/>
      <c r="N662" s="221"/>
      <c r="O662" s="221"/>
      <c r="P662" s="221"/>
      <c r="Q662" s="221"/>
      <c r="Z662" s="42"/>
      <c r="AA662" s="42"/>
      <c r="AB662" s="42"/>
    </row>
    <row r="663" spans="3:28" s="71" customFormat="1" ht="15.75" customHeight="1">
      <c r="D663" s="28" t="str">
        <f>IF(Indice_index!$Z$1=1,"junho","June")</f>
        <v>June</v>
      </c>
      <c r="E663" s="28">
        <v>3691.3534305899993</v>
      </c>
      <c r="F663" s="28">
        <v>3698.5837118225804</v>
      </c>
      <c r="G663" s="28">
        <v>3250.4708858200006</v>
      </c>
      <c r="H663" s="28">
        <v>3319.9536590000002</v>
      </c>
      <c r="I663" s="71">
        <f t="shared" si="136"/>
        <v>378.63005282258018</v>
      </c>
      <c r="J663" s="204">
        <f t="shared" si="137"/>
        <v>1.9587073870153517E-3</v>
      </c>
      <c r="K663" s="204">
        <f t="shared" si="138"/>
        <v>2.1376217668373648E-2</v>
      </c>
      <c r="L663" s="372"/>
      <c r="M663" s="54"/>
      <c r="N663" s="221"/>
      <c r="O663" s="221"/>
      <c r="P663" s="221"/>
      <c r="Q663" s="221"/>
      <c r="Z663" s="42"/>
      <c r="AA663" s="42"/>
      <c r="AB663" s="42"/>
    </row>
    <row r="664" spans="3:28" s="71" customFormat="1" ht="15.75" customHeight="1">
      <c r="D664" s="33" t="str">
        <f>IF(Indice_index!$Z$1=1,"julho","July")</f>
        <v>July</v>
      </c>
      <c r="E664" s="33">
        <v>4216.0147934099996</v>
      </c>
      <c r="F664" s="33">
        <v>4274.8068148574539</v>
      </c>
      <c r="G664" s="33">
        <v>3864.2655467499999</v>
      </c>
      <c r="H664" s="33">
        <v>3991.0827513525237</v>
      </c>
      <c r="I664" s="71">
        <f t="shared" si="136"/>
        <v>283.7240635049302</v>
      </c>
      <c r="J664" s="204">
        <f t="shared" si="137"/>
        <v>1.394492769317399E-2</v>
      </c>
      <c r="K664" s="204">
        <f t="shared" si="138"/>
        <v>3.2817932170624793E-2</v>
      </c>
      <c r="L664" s="372"/>
      <c r="M664" s="54"/>
      <c r="N664" s="221"/>
      <c r="O664" s="221"/>
      <c r="P664" s="221"/>
      <c r="Q664" s="221"/>
      <c r="Z664" s="42"/>
      <c r="AA664" s="42"/>
      <c r="AB664" s="42"/>
    </row>
    <row r="665" spans="3:28" s="71" customFormat="1" ht="15.75" customHeight="1">
      <c r="D665" s="33" t="str">
        <f>IF(Indice_index!$Z$1=1,"agosto","August")</f>
        <v>August</v>
      </c>
      <c r="E665" s="33">
        <v>5111.0333264800001</v>
      </c>
      <c r="F665" s="33">
        <v>5186.784174209999</v>
      </c>
      <c r="G665" s="33">
        <v>4489.1212380000024</v>
      </c>
      <c r="H665" s="33">
        <v>4570.3385303799996</v>
      </c>
      <c r="I665" s="71">
        <f t="shared" si="136"/>
        <v>616.44564382999943</v>
      </c>
      <c r="J665" s="204">
        <f t="shared" si="137"/>
        <v>1.4821043591623177E-2</v>
      </c>
      <c r="K665" s="204">
        <f t="shared" si="138"/>
        <v>1.8092024713545311E-2</v>
      </c>
      <c r="L665" s="372"/>
      <c r="M665" s="54"/>
      <c r="N665" s="221"/>
      <c r="O665" s="221"/>
      <c r="P665" s="221"/>
      <c r="Q665" s="221"/>
      <c r="Z665" s="42"/>
      <c r="AA665" s="42"/>
      <c r="AB665" s="42"/>
    </row>
    <row r="666" spans="3:28" s="71" customFormat="1" ht="15.75" customHeight="1">
      <c r="C666" s="33"/>
      <c r="D666" s="33" t="str">
        <f>IF(Indice_index!$Z$1=1,"setembro","September")</f>
        <v>September</v>
      </c>
      <c r="E666" s="33">
        <v>5675.4646331600024</v>
      </c>
      <c r="F666" s="33">
        <v>5868.0027378400018</v>
      </c>
      <c r="G666" s="33">
        <v>5123.5982105900002</v>
      </c>
      <c r="H666" s="33">
        <v>5228.0645878100013</v>
      </c>
      <c r="I666" s="71">
        <f t="shared" si="136"/>
        <v>639.93815003000054</v>
      </c>
      <c r="J666" s="204">
        <f t="shared" si="137"/>
        <v>3.3924641791450549E-2</v>
      </c>
      <c r="K666" s="204">
        <f t="shared" si="138"/>
        <v>2.0389260228110544E-2</v>
      </c>
      <c r="L666" s="372"/>
      <c r="M666" s="54"/>
      <c r="N666" s="221"/>
      <c r="O666" s="221"/>
      <c r="P666" s="221"/>
      <c r="Q666" s="221"/>
      <c r="Z666" s="42"/>
      <c r="AA666" s="42"/>
      <c r="AB666" s="42"/>
    </row>
    <row r="667" spans="3:28" s="24" customFormat="1" ht="15.75" customHeight="1">
      <c r="C667" s="33"/>
      <c r="D667" s="33" t="str">
        <f>IF(Indice_index!$Z$1=1,"outubro","October")</f>
        <v>October</v>
      </c>
      <c r="E667" s="33">
        <v>6185.9931609399982</v>
      </c>
      <c r="F667" s="33">
        <v>6378.6332022450015</v>
      </c>
      <c r="G667" s="33">
        <v>5663.0247109399997</v>
      </c>
      <c r="H667" s="33">
        <v>5816.1880518699982</v>
      </c>
      <c r="I667" s="71">
        <f t="shared" si="136"/>
        <v>562.44515037500332</v>
      </c>
      <c r="J667" s="204">
        <f t="shared" si="137"/>
        <v>3.1141327882705006E-2</v>
      </c>
      <c r="K667" s="204">
        <f t="shared" si="138"/>
        <v>2.7046207415290437E-2</v>
      </c>
      <c r="L667" s="372"/>
      <c r="M667" s="54"/>
      <c r="N667" s="370"/>
      <c r="O667" s="370"/>
      <c r="P667" s="221"/>
      <c r="Q667" s="221"/>
      <c r="Z667" s="42"/>
      <c r="AA667" s="42"/>
      <c r="AB667" s="42"/>
    </row>
    <row r="668" spans="3:28" s="24" customFormat="1" ht="15.75" customHeight="1">
      <c r="C668" s="33"/>
      <c r="D668" s="33" t="str">
        <f>IF(Indice_index!$Z$1=1,"novembro","November")</f>
        <v>November</v>
      </c>
      <c r="E668" s="33">
        <v>6702.3780206299998</v>
      </c>
      <c r="F668" s="33">
        <v>6920.4139581422987</v>
      </c>
      <c r="G668" s="33">
        <v>6297.3147124999969</v>
      </c>
      <c r="H668" s="33">
        <v>6503.9848675310004</v>
      </c>
      <c r="I668" s="71">
        <f t="shared" si="136"/>
        <v>416.42909061129831</v>
      </c>
      <c r="J668" s="204">
        <f t="shared" si="137"/>
        <v>3.253113101666031E-2</v>
      </c>
      <c r="K668" s="204">
        <f t="shared" si="138"/>
        <v>3.2818775059910689E-2</v>
      </c>
      <c r="L668" s="372"/>
      <c r="M668" s="54"/>
      <c r="N668" s="221"/>
      <c r="O668" s="221"/>
      <c r="P668" s="221"/>
      <c r="Q668" s="221"/>
      <c r="Z668" s="42"/>
      <c r="AA668" s="42"/>
      <c r="AB668" s="42"/>
    </row>
    <row r="669" spans="3:28" s="24" customFormat="1" ht="15.75" customHeight="1">
      <c r="C669" s="33"/>
      <c r="D669" s="33" t="str">
        <f>IF(Indice_index!$Z$1=1,"dezembro","December")</f>
        <v>December</v>
      </c>
      <c r="E669" s="33">
        <v>7746.5194774300007</v>
      </c>
      <c r="F669" s="33">
        <v>7994.3120060540869</v>
      </c>
      <c r="G669" s="33">
        <v>7272.5431918199993</v>
      </c>
      <c r="H669" s="33">
        <v>7528.2608304283767</v>
      </c>
      <c r="I669" s="71">
        <f t="shared" si="136"/>
        <v>466.05117562571013</v>
      </c>
      <c r="J669" s="204">
        <f t="shared" si="137"/>
        <v>3.1987595118820281E-2</v>
      </c>
      <c r="K669" s="204">
        <f t="shared" si="138"/>
        <v>3.5162065300073181E-2</v>
      </c>
      <c r="L669" s="372"/>
      <c r="M669" s="54"/>
      <c r="N669" s="221"/>
      <c r="O669" s="221"/>
      <c r="P669" s="221"/>
      <c r="Q669" s="221"/>
      <c r="Z669" s="42"/>
      <c r="AA669" s="42"/>
      <c r="AB669" s="42"/>
    </row>
    <row r="670" spans="3:28" s="24" customFormat="1" ht="15.75" customHeight="1">
      <c r="C670" s="33"/>
      <c r="D670" s="33"/>
      <c r="E670" s="33"/>
      <c r="F670" s="33"/>
      <c r="G670" s="33"/>
      <c r="H670" s="33"/>
      <c r="I670" s="33"/>
      <c r="J670" s="206"/>
      <c r="K670" s="206"/>
      <c r="L670" s="221"/>
      <c r="M670" s="221"/>
      <c r="N670" s="221"/>
      <c r="O670" s="221"/>
      <c r="P670" s="221"/>
      <c r="Q670" s="221"/>
      <c r="Z670" s="42"/>
      <c r="AA670" s="42"/>
      <c r="AB670" s="42"/>
    </row>
    <row r="671" spans="3:28" s="35" customFormat="1" ht="15.75" customHeight="1">
      <c r="C671" s="20" t="s">
        <v>127</v>
      </c>
      <c r="D671" s="71" t="str">
        <f>IF(Indice_index!$Z$1=1,"janeiro","January")</f>
        <v>January</v>
      </c>
      <c r="E671" s="71">
        <v>535.3919496499999</v>
      </c>
      <c r="F671" s="71">
        <v>625.9048478652212</v>
      </c>
      <c r="G671" s="71">
        <v>375.16942455000003</v>
      </c>
      <c r="H671" s="71">
        <v>417.01474571512466</v>
      </c>
      <c r="I671" s="71">
        <f t="shared" si="136"/>
        <v>208.89010215009654</v>
      </c>
      <c r="J671" s="204">
        <f t="shared" si="137"/>
        <v>0.16905913186478058</v>
      </c>
      <c r="K671" s="204">
        <f t="shared" si="138"/>
        <v>0.11153713076516386</v>
      </c>
      <c r="L671"/>
      <c r="M671" s="203"/>
      <c r="O671" s="257"/>
      <c r="P671" s="257"/>
      <c r="Q671" s="256"/>
      <c r="Z671" s="2"/>
      <c r="AA671" s="2"/>
      <c r="AB671" s="2"/>
    </row>
    <row r="672" spans="3:28" s="35" customFormat="1" ht="15.75" customHeight="1">
      <c r="C672" s="71"/>
      <c r="D672" s="71" t="str">
        <f>IF(Indice_index!$Z$1=1,"fevereiro","February")</f>
        <v>February</v>
      </c>
      <c r="E672" s="71">
        <v>981.7217841300004</v>
      </c>
      <c r="F672" s="71">
        <v>1127.69667707637</v>
      </c>
      <c r="G672" s="71">
        <v>864.81248945999982</v>
      </c>
      <c r="H672" s="71">
        <v>928.80945379604691</v>
      </c>
      <c r="I672" s="71">
        <f>IF(F672=0,"",+F672-H672)</f>
        <v>198.88722328032304</v>
      </c>
      <c r="J672" s="204">
        <f>IF(E672=0,"",(F672-E672)/E672)</f>
        <v>0.14869273077782638</v>
      </c>
      <c r="K672" s="204">
        <f t="shared" ref="K672" si="139">IF(G672=0,"",(H672-G672)/G672)</f>
        <v>7.4000971442962887E-2</v>
      </c>
      <c r="L672"/>
      <c r="M672" s="203"/>
      <c r="O672" s="257"/>
      <c r="P672" s="258"/>
      <c r="Q672" s="257"/>
      <c r="Z672" s="2"/>
      <c r="AA672" s="2"/>
      <c r="AB672" s="2"/>
    </row>
    <row r="673" spans="3:28" s="35" customFormat="1" ht="15.75" customHeight="1">
      <c r="C673" s="71"/>
      <c r="D673" s="71" t="str">
        <f>IF(Indice_index!$Z$1=1,"março","March")</f>
        <v>March</v>
      </c>
      <c r="E673" s="71">
        <v>1507.1295626400001</v>
      </c>
      <c r="F673" s="71">
        <v>1707.0440303006928</v>
      </c>
      <c r="G673" s="71">
        <v>1422.8066956800008</v>
      </c>
      <c r="H673" s="71">
        <v>1511.8335802701645</v>
      </c>
      <c r="I673" s="71">
        <f>IF(F673=0,"",+F673-H673)</f>
        <v>195.21045003052836</v>
      </c>
      <c r="J673" s="204">
        <f>IF(E673=0,"",(F673-E673)/E673)</f>
        <v>0.13264584055435</v>
      </c>
      <c r="K673" s="204">
        <f t="shared" ref="K673:K674" si="140">IF(G673=0,"",(H673-G673)/G673)</f>
        <v>6.2571314051635935E-2</v>
      </c>
      <c r="L673"/>
      <c r="M673" s="203"/>
      <c r="O673" s="257"/>
      <c r="P673" s="257"/>
      <c r="Q673" s="257"/>
      <c r="Z673" s="2"/>
      <c r="AA673" s="2"/>
      <c r="AB673" s="2"/>
    </row>
    <row r="674" spans="3:28" s="35" customFormat="1" ht="15.75" customHeight="1">
      <c r="C674" s="71"/>
      <c r="D674" s="71" t="str">
        <f>IF(Indice_index!$Z$1=1,"abril","April")</f>
        <v>April</v>
      </c>
      <c r="E674" s="71">
        <v>2022.0614756800003</v>
      </c>
      <c r="F674" s="71">
        <v>2241.0433895774418</v>
      </c>
      <c r="G674" s="71">
        <v>1946.3401096400003</v>
      </c>
      <c r="H674" s="71">
        <v>2070.8170644344323</v>
      </c>
      <c r="I674" s="71">
        <v>170.22632514300949</v>
      </c>
      <c r="J674" s="204">
        <f>IF(E674=0,"",(F674-E674)/E674)</f>
        <v>0.10829636810315073</v>
      </c>
      <c r="K674" s="204">
        <f t="shared" si="140"/>
        <v>6.3954369628366523E-2</v>
      </c>
      <c r="L674"/>
      <c r="M674" s="203"/>
      <c r="N674"/>
      <c r="O674"/>
      <c r="P674"/>
      <c r="Q674"/>
      <c r="Z674" s="2"/>
      <c r="AA674" s="2"/>
      <c r="AB674" s="2"/>
    </row>
    <row r="675" spans="3:28" s="35" customFormat="1" ht="15.75" customHeight="1">
      <c r="C675" s="71"/>
      <c r="D675" s="71" t="str">
        <f>IF(Indice_index!$Z$1=1,"maio","May")</f>
        <v>May</v>
      </c>
      <c r="E675" s="71">
        <v>3147.1653657799989</v>
      </c>
      <c r="F675" s="71">
        <v>3018.0487967522304</v>
      </c>
      <c r="G675" s="71">
        <v>2580.4301968700006</v>
      </c>
      <c r="H675" s="71">
        <v>2729.3191282697126</v>
      </c>
      <c r="I675" s="71">
        <v>288.72966848251781</v>
      </c>
      <c r="J675" s="204">
        <f>IF(E675=0,"",(F675-E675)/E675)</f>
        <v>-4.1026305904255531E-2</v>
      </c>
      <c r="K675" s="204">
        <f t="shared" ref="K675" si="141">IF(G675=0,"",(H675-G675)/G675)</f>
        <v>5.7699267192079302E-2</v>
      </c>
      <c r="M675"/>
      <c r="N675"/>
      <c r="O675"/>
      <c r="P675"/>
      <c r="Q675"/>
      <c r="Z675" s="2"/>
      <c r="AA675" s="2"/>
      <c r="AB675" s="2"/>
    </row>
    <row r="676" spans="3:28" s="35" customFormat="1" ht="15.75" customHeight="1">
      <c r="C676" s="71"/>
      <c r="D676" s="28" t="str">
        <f>IF(Indice_index!$Z$1=1,"junho","June")</f>
        <v>June</v>
      </c>
      <c r="E676" s="28"/>
      <c r="F676" s="28"/>
      <c r="G676" s="28"/>
      <c r="H676" s="28"/>
      <c r="I676" s="28"/>
      <c r="J676" s="226"/>
      <c r="K676" s="226"/>
      <c r="L676"/>
      <c r="M676"/>
      <c r="N676"/>
      <c r="O676"/>
      <c r="P676"/>
      <c r="Q676"/>
      <c r="Z676" s="2"/>
      <c r="AA676" s="2"/>
      <c r="AB676" s="2"/>
    </row>
    <row r="677" spans="3:28" s="35" customFormat="1" ht="15.75" customHeight="1">
      <c r="C677" s="71"/>
      <c r="D677" s="33" t="str">
        <f>IF(Indice_index!$Z$1=1,"julho","July")</f>
        <v>July</v>
      </c>
      <c r="E677" s="33"/>
      <c r="F677" s="33"/>
      <c r="G677" s="33"/>
      <c r="H677" s="33"/>
      <c r="I677" s="33"/>
      <c r="J677" s="206"/>
      <c r="K677" s="206"/>
      <c r="L677"/>
      <c r="M677"/>
      <c r="N677"/>
      <c r="O677"/>
      <c r="P677"/>
      <c r="Q677"/>
      <c r="Z677" s="2"/>
      <c r="AA677" s="2"/>
      <c r="AB677" s="2"/>
    </row>
    <row r="678" spans="3:28" s="35" customFormat="1" ht="15.75" customHeight="1">
      <c r="C678" s="71"/>
      <c r="D678" s="33" t="str">
        <f>IF(Indice_index!$Z$1=1,"agosto","August")</f>
        <v>August</v>
      </c>
      <c r="E678" s="33"/>
      <c r="F678" s="33"/>
      <c r="G678" s="33"/>
      <c r="H678" s="33"/>
      <c r="I678" s="33"/>
      <c r="J678" s="206"/>
      <c r="K678" s="206"/>
      <c r="L678"/>
      <c r="M678"/>
      <c r="N678"/>
      <c r="O678"/>
      <c r="P678"/>
      <c r="Q678"/>
      <c r="Z678" s="2"/>
      <c r="AA678" s="2"/>
      <c r="AB678" s="2"/>
    </row>
    <row r="679" spans="3:28" s="35" customFormat="1" ht="15.75" customHeight="1">
      <c r="C679" s="33"/>
      <c r="D679" s="33" t="str">
        <f>IF(Indice_index!$Z$1=1,"setembro","September")</f>
        <v>September</v>
      </c>
      <c r="E679" s="33"/>
      <c r="F679" s="33"/>
      <c r="G679" s="33"/>
      <c r="H679" s="33"/>
      <c r="I679" s="33"/>
      <c r="J679" s="206"/>
      <c r="K679" s="206"/>
      <c r="L679"/>
      <c r="M679"/>
      <c r="N679"/>
      <c r="O679"/>
      <c r="P679"/>
      <c r="Q679"/>
      <c r="Z679" s="2"/>
      <c r="AA679" s="2"/>
      <c r="AB679" s="2"/>
    </row>
    <row r="680" spans="3:28" ht="15.75" customHeight="1">
      <c r="C680" s="33"/>
      <c r="D680" s="33" t="str">
        <f>IF(Indice_index!$Z$1=1,"outubro","October")</f>
        <v>October</v>
      </c>
      <c r="E680" s="33"/>
      <c r="F680" s="33"/>
      <c r="G680" s="33"/>
      <c r="H680" s="33"/>
      <c r="I680" s="33"/>
      <c r="J680" s="206"/>
      <c r="K680" s="206"/>
      <c r="L680" s="358"/>
      <c r="M680" s="358"/>
      <c r="N680" s="358"/>
      <c r="O680" s="358"/>
      <c r="P680"/>
      <c r="Q680"/>
    </row>
    <row r="681" spans="3:28" s="24" customFormat="1" ht="15.75" customHeight="1">
      <c r="C681" s="33"/>
      <c r="D681" s="33" t="str">
        <f>IF(Indice_index!$Z$1=1,"novembro","November")</f>
        <v>November</v>
      </c>
      <c r="E681" s="33"/>
      <c r="F681" s="33"/>
      <c r="G681" s="33"/>
      <c r="H681" s="33"/>
      <c r="I681" s="33"/>
      <c r="J681" s="206"/>
      <c r="K681" s="206"/>
      <c r="L681" s="221"/>
      <c r="M681" s="221"/>
      <c r="N681" s="221"/>
      <c r="O681" s="221"/>
      <c r="P681" s="221"/>
      <c r="Q681" s="221"/>
      <c r="Z681" s="42"/>
      <c r="AA681" s="42"/>
      <c r="AB681" s="42"/>
    </row>
    <row r="682" spans="3:28" s="24" customFormat="1" ht="15.75" customHeight="1">
      <c r="C682" s="85"/>
      <c r="D682" s="85" t="str">
        <f>IF(Indice_index!$Z$1=1,"dezembro","December")</f>
        <v>December</v>
      </c>
      <c r="E682" s="85"/>
      <c r="F682" s="85"/>
      <c r="G682" s="85"/>
      <c r="H682" s="85"/>
      <c r="I682" s="85"/>
      <c r="J682" s="252"/>
      <c r="K682" s="252"/>
      <c r="L682" s="221"/>
      <c r="M682" s="221"/>
      <c r="N682" s="221"/>
      <c r="O682" s="221"/>
      <c r="P682" s="221"/>
      <c r="Q682" s="221"/>
      <c r="Z682" s="42"/>
      <c r="AA682" s="42"/>
      <c r="AB682" s="42"/>
    </row>
    <row r="683" spans="3:28" ht="12.75" customHeight="1">
      <c r="C683" s="339"/>
      <c r="D683" s="338"/>
      <c r="E683" s="338"/>
      <c r="F683" s="338"/>
      <c r="G683" s="338"/>
      <c r="H683" s="338"/>
      <c r="I683" s="338"/>
      <c r="J683" s="338"/>
      <c r="K683" s="338"/>
    </row>
    <row r="684" spans="3:28" ht="12.75" customHeight="1">
      <c r="C684" s="259"/>
      <c r="D684" s="259"/>
      <c r="E684" s="259"/>
      <c r="F684" s="259"/>
      <c r="G684" s="259"/>
      <c r="H684" s="259"/>
      <c r="I684" s="259"/>
      <c r="J684" s="259"/>
      <c r="K684" s="259"/>
    </row>
    <row r="685" spans="3:28" ht="12.75" customHeight="1">
      <c r="C685" s="259"/>
      <c r="D685" s="259"/>
      <c r="E685" s="259"/>
      <c r="F685" s="259"/>
      <c r="G685" s="259"/>
      <c r="H685" s="259"/>
      <c r="I685" s="259"/>
      <c r="J685" s="259"/>
      <c r="K685" s="259"/>
    </row>
    <row r="686" spans="3:28" ht="12.75" customHeight="1">
      <c r="C686" s="82" t="str">
        <f>IF(Indice_index!$Z$1=1,"1.6 Evolução da Receita, Despesa e Saldo da Administração Regional (valores acumulados)","1.6 Regional Government Revenue, Expenditure and Balance Evolution (cumulative values)")</f>
        <v>1.6 Regional Government Revenue, Expenditure and Balance Evolution (cumulative values)</v>
      </c>
      <c r="D686" s="83"/>
      <c r="E686" s="83"/>
      <c r="F686" s="83"/>
      <c r="G686" s="83"/>
      <c r="H686" s="83"/>
      <c r="I686" s="83"/>
      <c r="J686" s="84"/>
      <c r="K686" s="80" t="str">
        <f>IF(Indice_index!$Z$1=1,"€ Milhões","€ Millions")</f>
        <v>€ Millions</v>
      </c>
    </row>
    <row r="687" spans="3:28" ht="12.75" customHeight="1">
      <c r="C687" s="72"/>
      <c r="D687" s="72"/>
      <c r="E687" s="379" t="str">
        <f>IF(Indice_index!$Z$1=1,"Receita efetiva","Effective revenue")</f>
        <v>Effective revenue</v>
      </c>
      <c r="F687" s="380"/>
      <c r="G687" s="379" t="str">
        <f>IF(Indice_index!$Z$1=1,"Despesa  efetiva","Effective expenditure")</f>
        <v>Effective expenditure</v>
      </c>
      <c r="H687" s="380"/>
      <c r="I687" s="383" t="str">
        <f>IF(Indice_index!$Z$1=1,"Saldo global","Overall
balance")</f>
        <v>Overall
balance</v>
      </c>
      <c r="J687" s="387" t="str">
        <f>IF(Indice_index!$Z$1=1,"VH (%)","YOY Change Rate (%)")</f>
        <v>YOY Change Rate (%)</v>
      </c>
      <c r="K687" s="388"/>
    </row>
    <row r="688" spans="3:28" ht="12.75" customHeight="1">
      <c r="C688" s="73"/>
      <c r="D688" s="75"/>
      <c r="E688" s="381"/>
      <c r="F688" s="382"/>
      <c r="G688" s="381"/>
      <c r="H688" s="382"/>
      <c r="I688" s="384"/>
      <c r="J688" s="260" t="str">
        <f>IF(Indice_index!$Z$1=1,"Receita","Revenue")</f>
        <v>Revenue</v>
      </c>
      <c r="K688" s="74" t="str">
        <f>IF(Indice_index!$Z$1=1,"Despesa","Expenditure")</f>
        <v>Expenditure</v>
      </c>
    </row>
    <row r="689" spans="3:13" ht="12.75" customHeight="1">
      <c r="C689" s="23"/>
      <c r="D689" s="24"/>
      <c r="E689" s="18" t="str">
        <f>IF(Indice_index!$Z$1=1,"Ano n-1","Year n-1")</f>
        <v>Year n-1</v>
      </c>
      <c r="F689" s="18" t="str">
        <f>IF(Indice_index!$Z$1=1,"Ano n","Year n")</f>
        <v>Year n</v>
      </c>
      <c r="G689" s="18" t="str">
        <f>IF(Indice_index!$Z$1=1,"Ano n-1","Year n-1")</f>
        <v>Year n-1</v>
      </c>
      <c r="H689" s="18" t="str">
        <f>IF(Indice_index!$Z$1=1,"Ano n","Year n")</f>
        <v>Year n</v>
      </c>
      <c r="I689" s="18" t="str">
        <f>IF(Indice_index!$Z$1=1,"Ano n","Year n")</f>
        <v>Year n</v>
      </c>
      <c r="J689" s="19" t="str">
        <f>IF(Indice_index!$Z$1=1,"Ano n","Year n")</f>
        <v>Year n</v>
      </c>
      <c r="K689" s="19" t="str">
        <f>IF(Indice_index!$Z$1=1,"Ano n","Year n")</f>
        <v>Year n</v>
      </c>
    </row>
    <row r="690" spans="3:13" ht="12.75" customHeight="1">
      <c r="C690" s="20">
        <v>2008</v>
      </c>
      <c r="D690" s="7" t="str">
        <f>IF(Indice_index!$Z$1=1,"I TR","Q1")</f>
        <v>Q1</v>
      </c>
      <c r="E690" s="12">
        <v>425.0999018</v>
      </c>
      <c r="F690" s="12">
        <v>404.37642024000002</v>
      </c>
      <c r="G690" s="12">
        <v>373.72182068000006</v>
      </c>
      <c r="H690" s="12">
        <v>375.25180029000001</v>
      </c>
      <c r="I690" s="7">
        <f>+F690-H690</f>
        <v>29.12461995000001</v>
      </c>
      <c r="J690" s="52">
        <f>IF(E690=0,"-",(F690-E690)/E690)</f>
        <v>-4.8749673834904618E-2</v>
      </c>
      <c r="K690" s="52">
        <f>IF(G690=0,"-",(H690-G690)/G690)</f>
        <v>4.0938995941315103E-3</v>
      </c>
      <c r="L690" s="372"/>
      <c r="M690" s="54"/>
    </row>
    <row r="691" spans="3:13" ht="12.75" customHeight="1">
      <c r="C691" s="23"/>
      <c r="D691" s="7" t="str">
        <f>IF(Indice_index!$Z$1=1,"II TR","Q2")</f>
        <v>Q2</v>
      </c>
      <c r="E691" s="12">
        <v>992.7751816</v>
      </c>
      <c r="F691" s="12">
        <v>937.03355636000003</v>
      </c>
      <c r="G691" s="12">
        <v>902.06427322000002</v>
      </c>
      <c r="H691" s="12">
        <v>919.14595696999993</v>
      </c>
      <c r="I691" s="7">
        <f t="shared" ref="I691:I716" si="142">+F691-H691</f>
        <v>17.887599390000105</v>
      </c>
      <c r="J691" s="52">
        <f t="shared" ref="J691:J716" si="143">IF(E691=0,"-",(F691-E691)/E691)</f>
        <v>-5.6147279135407388E-2</v>
      </c>
      <c r="K691" s="52">
        <f t="shared" ref="K691:K716" si="144">IF(G691=0,"-",(H691-G691)/G691)</f>
        <v>1.8936215807577986E-2</v>
      </c>
      <c r="L691" s="372"/>
      <c r="M691" s="54"/>
    </row>
    <row r="692" spans="3:13">
      <c r="C692" s="23"/>
      <c r="D692" s="7" t="str">
        <f>IF(Indice_index!$Z$1=1,"III TR","Q3")</f>
        <v>Q3</v>
      </c>
      <c r="E692" s="12">
        <v>1443.4029095899998</v>
      </c>
      <c r="F692" s="12">
        <v>1417.6812496100001</v>
      </c>
      <c r="G692" s="12">
        <v>1381.8193845099997</v>
      </c>
      <c r="H692" s="12">
        <v>1636.5061671200001</v>
      </c>
      <c r="I692" s="7">
        <f t="shared" si="142"/>
        <v>-218.82491750999998</v>
      </c>
      <c r="J692" s="52">
        <f t="shared" si="143"/>
        <v>-1.7820152508426043E-2</v>
      </c>
      <c r="K692" s="52">
        <f t="shared" si="144"/>
        <v>0.18431264278458043</v>
      </c>
      <c r="L692" s="372"/>
      <c r="M692" s="54"/>
    </row>
    <row r="693" spans="3:13">
      <c r="C693" s="23"/>
      <c r="D693" s="7" t="str">
        <f>IF(Indice_index!$Z$1=1,"IV TR","Q4")</f>
        <v>Q4</v>
      </c>
      <c r="E693" s="12">
        <v>2162.8791463400003</v>
      </c>
      <c r="F693" s="12">
        <v>2115.8230853100004</v>
      </c>
      <c r="G693" s="12">
        <v>2167.4548097299999</v>
      </c>
      <c r="H693" s="12">
        <v>2287.2324886800002</v>
      </c>
      <c r="I693" s="7">
        <f t="shared" si="142"/>
        <v>-171.40940336999984</v>
      </c>
      <c r="J693" s="52">
        <f t="shared" si="143"/>
        <v>-2.1756213753148273E-2</v>
      </c>
      <c r="K693" s="52">
        <f t="shared" si="144"/>
        <v>5.5261903691049066E-2</v>
      </c>
      <c r="L693" s="372"/>
      <c r="M693" s="54"/>
    </row>
    <row r="694" spans="3:13" ht="12.75" customHeight="1">
      <c r="C694" s="23"/>
      <c r="E694" s="12"/>
      <c r="F694" s="12"/>
      <c r="G694" s="12"/>
      <c r="H694" s="12"/>
      <c r="J694" s="52"/>
      <c r="K694" s="52"/>
      <c r="L694" s="372"/>
      <c r="M694" s="54"/>
    </row>
    <row r="695" spans="3:13">
      <c r="C695" s="20">
        <v>2009</v>
      </c>
      <c r="D695" s="7" t="str">
        <f>IF(Indice_index!$Z$1=1,"I TR","Q1")</f>
        <v>Q1</v>
      </c>
      <c r="E695" s="32">
        <v>404.37642024000002</v>
      </c>
      <c r="F695" s="12">
        <v>397.54190218999992</v>
      </c>
      <c r="G695" s="12">
        <v>375.25180029000001</v>
      </c>
      <c r="H695" s="12">
        <v>386.90148533000001</v>
      </c>
      <c r="I695" s="7">
        <f t="shared" si="142"/>
        <v>10.640416859999902</v>
      </c>
      <c r="J695" s="52">
        <f t="shared" si="143"/>
        <v>-1.6901376311565765E-2</v>
      </c>
      <c r="K695" s="52">
        <f t="shared" si="144"/>
        <v>3.1044981079363147E-2</v>
      </c>
      <c r="L695" s="372"/>
      <c r="M695" s="54"/>
    </row>
    <row r="696" spans="3:13">
      <c r="C696" s="20"/>
      <c r="D696" s="7" t="str">
        <f>IF(Indice_index!$Z$1=1,"II TR","Q2")</f>
        <v>Q2</v>
      </c>
      <c r="E696" s="12">
        <v>937.03355636000003</v>
      </c>
      <c r="F696" s="12">
        <v>865.46123505999981</v>
      </c>
      <c r="G696" s="12">
        <v>919.14595696999993</v>
      </c>
      <c r="H696" s="12">
        <v>960.61918799</v>
      </c>
      <c r="I696" s="7">
        <f t="shared" si="142"/>
        <v>-95.157952930000192</v>
      </c>
      <c r="J696" s="52">
        <f t="shared" si="143"/>
        <v>-7.638181238463862E-2</v>
      </c>
      <c r="K696" s="52">
        <f t="shared" si="144"/>
        <v>4.5121485554610034E-2</v>
      </c>
      <c r="L696" s="372"/>
      <c r="M696" s="54"/>
    </row>
    <row r="697" spans="3:13">
      <c r="C697" s="20"/>
      <c r="D697" s="7" t="str">
        <f>IF(Indice_index!$Z$1=1,"III TR","Q3")</f>
        <v>Q3</v>
      </c>
      <c r="E697" s="12">
        <v>1417.6812496100001</v>
      </c>
      <c r="F697" s="12">
        <v>1342.5329133900002</v>
      </c>
      <c r="G697" s="12">
        <v>1636.5061671200001</v>
      </c>
      <c r="H697" s="12">
        <v>1461.1430097699999</v>
      </c>
      <c r="I697" s="7">
        <f t="shared" si="142"/>
        <v>-118.61009637999973</v>
      </c>
      <c r="J697" s="52">
        <f t="shared" si="143"/>
        <v>-5.3007921379134418E-2</v>
      </c>
      <c r="K697" s="52">
        <f t="shared" si="144"/>
        <v>-0.10715704032977305</v>
      </c>
      <c r="L697" s="372"/>
      <c r="M697" s="54"/>
    </row>
    <row r="698" spans="3:13">
      <c r="C698" s="20"/>
      <c r="D698" s="7" t="str">
        <f>IF(Indice_index!$Z$1=1,"IV TR","Q4")</f>
        <v>Q4</v>
      </c>
      <c r="E698" s="12">
        <v>2115.8230853100004</v>
      </c>
      <c r="F698" s="12">
        <v>2001.8007156000003</v>
      </c>
      <c r="G698" s="12">
        <v>2287.2324886800002</v>
      </c>
      <c r="H698" s="12">
        <v>2148.8494347699998</v>
      </c>
      <c r="I698" s="7">
        <f t="shared" si="142"/>
        <v>-147.04871916999946</v>
      </c>
      <c r="J698" s="52">
        <f t="shared" si="143"/>
        <v>-5.3890313656963437E-2</v>
      </c>
      <c r="K698" s="52">
        <f t="shared" si="144"/>
        <v>-6.0502399557057517E-2</v>
      </c>
      <c r="L698" s="372"/>
      <c r="M698" s="54"/>
    </row>
    <row r="699" spans="3:13" ht="12.75" customHeight="1">
      <c r="C699" s="20"/>
      <c r="E699" s="12"/>
      <c r="F699" s="12"/>
      <c r="G699" s="12"/>
      <c r="H699" s="12"/>
      <c r="J699" s="52"/>
      <c r="K699" s="52"/>
      <c r="L699" s="372"/>
      <c r="M699" s="54"/>
    </row>
    <row r="700" spans="3:13">
      <c r="C700" s="20" t="s">
        <v>3</v>
      </c>
      <c r="D700" s="7" t="str">
        <f>IF(Indice_index!$Z$1=1,"I TR","Q1")</f>
        <v>Q1</v>
      </c>
      <c r="E700" s="12">
        <v>397.54190218999992</v>
      </c>
      <c r="F700" s="12">
        <v>406.31942040999996</v>
      </c>
      <c r="G700" s="12">
        <v>386.90148533000001</v>
      </c>
      <c r="H700" s="12">
        <v>430.71720398999997</v>
      </c>
      <c r="I700" s="7">
        <f t="shared" si="142"/>
        <v>-24.397783580000009</v>
      </c>
      <c r="J700" s="52">
        <f t="shared" si="143"/>
        <v>2.2079479349588028E-2</v>
      </c>
      <c r="K700" s="52">
        <f t="shared" si="144"/>
        <v>0.11324773959610986</v>
      </c>
      <c r="L700" s="372"/>
      <c r="M700" s="54"/>
    </row>
    <row r="701" spans="3:13">
      <c r="C701" s="20"/>
      <c r="D701" s="7" t="str">
        <f>IF(Indice_index!$Z$1=1,"II TR","Q2")</f>
        <v>Q2</v>
      </c>
      <c r="E701" s="12">
        <v>865.46123505999981</v>
      </c>
      <c r="F701" s="12">
        <v>869.84729735999997</v>
      </c>
      <c r="G701" s="33">
        <v>960.61918799</v>
      </c>
      <c r="H701" s="33">
        <v>950.92993754999998</v>
      </c>
      <c r="I701" s="12">
        <f t="shared" si="142"/>
        <v>-81.082640190000006</v>
      </c>
      <c r="J701" s="52">
        <f t="shared" si="143"/>
        <v>5.0678899554595187E-3</v>
      </c>
      <c r="K701" s="52">
        <f t="shared" si="144"/>
        <v>-1.008646356551946E-2</v>
      </c>
      <c r="L701" s="372"/>
      <c r="M701" s="54"/>
    </row>
    <row r="702" spans="3:13">
      <c r="C702" s="20"/>
      <c r="D702" s="7" t="str">
        <f>IF(Indice_index!$Z$1=1,"III TR","Q3")</f>
        <v>Q3</v>
      </c>
      <c r="E702" s="12">
        <v>1342.5329133900002</v>
      </c>
      <c r="F702" s="12">
        <v>1404.3523082909999</v>
      </c>
      <c r="G702" s="28">
        <v>1461.1430097699999</v>
      </c>
      <c r="H702" s="28">
        <v>1451.0473881600001</v>
      </c>
      <c r="I702" s="12">
        <f t="shared" si="142"/>
        <v>-46.69507986900021</v>
      </c>
      <c r="J702" s="52">
        <f t="shared" si="143"/>
        <v>4.604683749979796E-2</v>
      </c>
      <c r="K702" s="52">
        <f t="shared" si="144"/>
        <v>-6.9094000672726861E-3</v>
      </c>
      <c r="L702" s="372"/>
      <c r="M702" s="54"/>
    </row>
    <row r="703" spans="3:13">
      <c r="C703" s="20"/>
      <c r="D703" s="7" t="str">
        <f>IF(Indice_index!$Z$1=1,"IV TR","Q4")</f>
        <v>Q4</v>
      </c>
      <c r="E703" s="12">
        <v>2001.8</v>
      </c>
      <c r="F703" s="12">
        <v>2144.8090481100003</v>
      </c>
      <c r="G703" s="28">
        <v>2148.8000000000002</v>
      </c>
      <c r="H703" s="28">
        <v>2276.2152452000005</v>
      </c>
      <c r="I703" s="7">
        <f t="shared" si="142"/>
        <v>-131.40619709000021</v>
      </c>
      <c r="J703" s="52">
        <f t="shared" si="143"/>
        <v>7.1440227849935214E-2</v>
      </c>
      <c r="K703" s="52">
        <f t="shared" si="144"/>
        <v>5.9296000186150541E-2</v>
      </c>
      <c r="L703" s="372"/>
      <c r="M703" s="54"/>
    </row>
    <row r="704" spans="3:13">
      <c r="C704" s="20"/>
      <c r="E704" s="12"/>
      <c r="F704" s="12"/>
      <c r="G704" s="28"/>
      <c r="H704" s="28"/>
      <c r="J704" s="52"/>
      <c r="K704" s="52"/>
      <c r="L704" s="372"/>
      <c r="M704" s="54"/>
    </row>
    <row r="705" spans="3:28">
      <c r="C705" s="20" t="s">
        <v>4</v>
      </c>
      <c r="D705" s="7" t="str">
        <f>IF(Indice_index!$Z$1=1,"janeiro","January")</f>
        <v>January</v>
      </c>
      <c r="E705" s="12"/>
      <c r="F705" s="12">
        <v>210.75892092999999</v>
      </c>
      <c r="G705" s="12"/>
      <c r="H705" s="12">
        <v>121.16334205999998</v>
      </c>
      <c r="I705" s="7">
        <f t="shared" si="142"/>
        <v>89.595578870000011</v>
      </c>
      <c r="J705" s="52" t="str">
        <f t="shared" si="143"/>
        <v>-</v>
      </c>
      <c r="K705" s="52" t="str">
        <f t="shared" si="144"/>
        <v>-</v>
      </c>
      <c r="L705" s="372"/>
      <c r="M705" s="54"/>
    </row>
    <row r="706" spans="3:28">
      <c r="C706" s="20"/>
      <c r="D706" s="7" t="str">
        <f>IF(Indice_index!$Z$1=1,"fevereiro","February")</f>
        <v>February</v>
      </c>
      <c r="E706" s="12"/>
      <c r="F706" s="12">
        <v>322.88092367999997</v>
      </c>
      <c r="G706" s="12"/>
      <c r="H706" s="12">
        <v>253.16642726000003</v>
      </c>
      <c r="I706" s="7">
        <f t="shared" si="142"/>
        <v>69.714496419999932</v>
      </c>
      <c r="J706" s="52" t="str">
        <f t="shared" si="143"/>
        <v>-</v>
      </c>
      <c r="K706" s="52" t="str">
        <f t="shared" si="144"/>
        <v>-</v>
      </c>
      <c r="L706" s="372"/>
      <c r="M706" s="54"/>
    </row>
    <row r="707" spans="3:28">
      <c r="C707" s="20"/>
      <c r="D707" s="7" t="str">
        <f>IF(Indice_index!$Z$1=1,"março","March")</f>
        <v>March</v>
      </c>
      <c r="E707" s="12">
        <v>406.31952040999994</v>
      </c>
      <c r="F707" s="12">
        <v>436.08804484000001</v>
      </c>
      <c r="G707" s="12">
        <v>430.71726670999999</v>
      </c>
      <c r="H707" s="12">
        <v>424.47959798700003</v>
      </c>
      <c r="I707" s="7">
        <f t="shared" si="142"/>
        <v>11.608446852999975</v>
      </c>
      <c r="J707" s="52">
        <f t="shared" si="143"/>
        <v>7.326383039624064E-2</v>
      </c>
      <c r="K707" s="52">
        <f t="shared" si="144"/>
        <v>-1.4482049374630135E-2</v>
      </c>
      <c r="L707" s="372"/>
      <c r="M707" s="54"/>
    </row>
    <row r="708" spans="3:28">
      <c r="C708" s="20"/>
      <c r="D708" s="7" t="str">
        <f>IF(Indice_index!$Z$1=1,"abril","April")</f>
        <v>April</v>
      </c>
      <c r="E708" s="12"/>
      <c r="F708" s="12">
        <v>702.68604497000001</v>
      </c>
      <c r="G708" s="12"/>
      <c r="H708" s="12">
        <v>569.57638300999997</v>
      </c>
      <c r="I708" s="7">
        <f t="shared" si="142"/>
        <v>133.10966196000004</v>
      </c>
      <c r="J708" s="52" t="str">
        <f t="shared" si="143"/>
        <v>-</v>
      </c>
      <c r="K708" s="52" t="str">
        <f t="shared" si="144"/>
        <v>-</v>
      </c>
      <c r="L708" s="372"/>
      <c r="M708" s="54"/>
    </row>
    <row r="709" spans="3:28">
      <c r="C709" s="20"/>
      <c r="D709" s="7" t="str">
        <f>IF(Indice_index!$Z$1=1,"maio","May")</f>
        <v>May</v>
      </c>
      <c r="E709" s="12"/>
      <c r="F709" s="12">
        <v>819.01666805999992</v>
      </c>
      <c r="G709" s="12"/>
      <c r="H709" s="12">
        <v>779.10727151699984</v>
      </c>
      <c r="I709" s="7">
        <f t="shared" si="142"/>
        <v>39.909396543000071</v>
      </c>
      <c r="J709" s="52" t="str">
        <f t="shared" si="143"/>
        <v>-</v>
      </c>
      <c r="K709" s="52" t="str">
        <f t="shared" si="144"/>
        <v>-</v>
      </c>
      <c r="L709" s="372"/>
      <c r="M709" s="54"/>
    </row>
    <row r="710" spans="3:28">
      <c r="C710" s="20"/>
      <c r="D710" s="7" t="str">
        <f>IF(Indice_index!$Z$1=1,"junho","June")</f>
        <v>June</v>
      </c>
      <c r="E710" s="12">
        <v>869.85486735999996</v>
      </c>
      <c r="F710" s="12">
        <v>937.94359436000002</v>
      </c>
      <c r="G710" s="12">
        <v>951.00984260999985</v>
      </c>
      <c r="H710" s="12">
        <v>977.80279314999973</v>
      </c>
      <c r="I710" s="7">
        <f t="shared" si="142"/>
        <v>-39.859198789999709</v>
      </c>
      <c r="J710" s="52">
        <f t="shared" si="143"/>
        <v>7.8275962525390708E-2</v>
      </c>
      <c r="K710" s="52">
        <f t="shared" si="144"/>
        <v>2.817315798379956E-2</v>
      </c>
      <c r="L710" s="372"/>
      <c r="M710" s="54"/>
    </row>
    <row r="711" spans="3:28" s="32" customFormat="1">
      <c r="C711" s="20"/>
      <c r="D711" s="7" t="str">
        <f>IF(Indice_index!$Z$1=1,"julho","July")</f>
        <v>July</v>
      </c>
      <c r="E711" s="12"/>
      <c r="F711" s="12">
        <v>1202.8629568800002</v>
      </c>
      <c r="G711" s="12"/>
      <c r="H711" s="12">
        <v>1174.8080392899999</v>
      </c>
      <c r="I711" s="7">
        <f t="shared" si="142"/>
        <v>28.054917590000287</v>
      </c>
      <c r="J711" s="52" t="str">
        <f t="shared" si="143"/>
        <v>-</v>
      </c>
      <c r="K711" s="52" t="str">
        <f t="shared" si="144"/>
        <v>-</v>
      </c>
      <c r="L711" s="372"/>
      <c r="M711" s="54"/>
      <c r="Z711" s="41"/>
      <c r="AA711" s="41"/>
      <c r="AB711" s="41"/>
    </row>
    <row r="712" spans="3:28" s="32" customFormat="1">
      <c r="C712" s="20"/>
      <c r="D712" s="7" t="str">
        <f>IF(Indice_index!$Z$1=1,"agosto","August")</f>
        <v>August</v>
      </c>
      <c r="E712" s="12"/>
      <c r="F712" s="12">
        <v>1349.29172793</v>
      </c>
      <c r="G712" s="12"/>
      <c r="H712" s="12">
        <v>1345.6162120199999</v>
      </c>
      <c r="I712" s="7">
        <f t="shared" si="142"/>
        <v>3.6755159100000583</v>
      </c>
      <c r="J712" s="52" t="str">
        <f t="shared" si="143"/>
        <v>-</v>
      </c>
      <c r="K712" s="52" t="str">
        <f t="shared" si="144"/>
        <v>-</v>
      </c>
      <c r="L712" s="372"/>
      <c r="M712" s="54"/>
      <c r="Z712" s="41"/>
      <c r="AA712" s="41"/>
      <c r="AB712" s="41"/>
    </row>
    <row r="713" spans="3:28" s="32" customFormat="1">
      <c r="C713" s="20"/>
      <c r="D713" s="7" t="str">
        <f>IF(Indice_index!$Z$1=1,"setembro","September")</f>
        <v>September</v>
      </c>
      <c r="E713" s="12">
        <v>1404.3523082909999</v>
      </c>
      <c r="F713" s="12">
        <v>1511.7252416800004</v>
      </c>
      <c r="G713" s="12">
        <v>1451.0473881599996</v>
      </c>
      <c r="H713" s="12">
        <v>1530.2268385100001</v>
      </c>
      <c r="I713" s="7">
        <f t="shared" si="142"/>
        <v>-18.501596829999698</v>
      </c>
      <c r="J713" s="52">
        <f t="shared" si="143"/>
        <v>7.6457262721820851E-2</v>
      </c>
      <c r="K713" s="52">
        <f t="shared" si="144"/>
        <v>5.4567101664683718E-2</v>
      </c>
      <c r="L713" s="372"/>
      <c r="M713" s="54"/>
      <c r="Z713" s="41"/>
      <c r="AA713" s="41"/>
      <c r="AB713" s="41"/>
    </row>
    <row r="714" spans="3:28" s="32" customFormat="1">
      <c r="C714" s="20"/>
      <c r="D714" s="7" t="str">
        <f>IF(Indice_index!$Z$1=1,"outubro","October")</f>
        <v>October</v>
      </c>
      <c r="E714" s="12"/>
      <c r="F714" s="32">
        <v>1727.8899235699998</v>
      </c>
      <c r="H714" s="32">
        <v>1688.076909209</v>
      </c>
      <c r="I714" s="32">
        <f t="shared" si="142"/>
        <v>39.813014360999887</v>
      </c>
      <c r="J714" s="52" t="str">
        <f t="shared" si="143"/>
        <v>-</v>
      </c>
      <c r="K714" s="52" t="str">
        <f t="shared" si="144"/>
        <v>-</v>
      </c>
      <c r="L714" s="372"/>
      <c r="M714" s="54"/>
      <c r="Z714" s="41"/>
      <c r="AA714" s="41"/>
      <c r="AB714" s="41"/>
    </row>
    <row r="715" spans="3:28" s="32" customFormat="1">
      <c r="C715" s="20"/>
      <c r="D715" s="12" t="str">
        <f>IF(Indice_index!$Z$1=1,"novembro","November")</f>
        <v>November</v>
      </c>
      <c r="E715" s="12"/>
      <c r="F715" s="32">
        <v>1887.2796723699998</v>
      </c>
      <c r="H715" s="32">
        <v>1893.74773157</v>
      </c>
      <c r="I715" s="32">
        <f t="shared" si="142"/>
        <v>-6.468059200000198</v>
      </c>
      <c r="J715" s="52" t="str">
        <f t="shared" si="143"/>
        <v>-</v>
      </c>
      <c r="K715" s="52" t="str">
        <f t="shared" si="144"/>
        <v>-</v>
      </c>
      <c r="L715" s="372"/>
      <c r="M715" s="54"/>
      <c r="Z715" s="41"/>
      <c r="AA715" s="41"/>
      <c r="AB715" s="41"/>
    </row>
    <row r="716" spans="3:28" s="32" customFormat="1">
      <c r="C716" s="20"/>
      <c r="D716" s="12" t="str">
        <f>IF(Indice_index!$Z$1=1,"dezembro","December")</f>
        <v>December</v>
      </c>
      <c r="E716" s="12">
        <v>2144.8062779100001</v>
      </c>
      <c r="F716" s="32">
        <v>2114.3150470609999</v>
      </c>
      <c r="G716" s="32">
        <v>2276.2152452</v>
      </c>
      <c r="H716" s="32">
        <v>2126.614456668</v>
      </c>
      <c r="I716" s="32">
        <f t="shared" si="142"/>
        <v>-12.299409607000143</v>
      </c>
      <c r="J716" s="52">
        <f t="shared" si="143"/>
        <v>-1.4216309959103762E-2</v>
      </c>
      <c r="K716" s="52">
        <f t="shared" si="144"/>
        <v>-6.5723480609961082E-2</v>
      </c>
      <c r="L716" s="372"/>
      <c r="M716" s="54"/>
      <c r="Z716" s="41"/>
      <c r="AA716" s="41"/>
      <c r="AB716" s="41"/>
    </row>
    <row r="717" spans="3:28" s="32" customFormat="1">
      <c r="C717" s="20"/>
      <c r="D717" s="12"/>
      <c r="E717" s="12"/>
      <c r="J717" s="52"/>
      <c r="K717" s="52"/>
      <c r="L717" s="372"/>
      <c r="M717" s="54"/>
      <c r="Z717" s="41"/>
      <c r="AA717" s="41"/>
      <c r="AB717" s="41"/>
    </row>
    <row r="718" spans="3:28" s="32" customFormat="1">
      <c r="C718" s="20" t="s">
        <v>5</v>
      </c>
      <c r="D718" s="12" t="str">
        <f>IF(Indice_index!$Z$1=1,"janeiro","January")</f>
        <v>January</v>
      </c>
      <c r="E718" s="12">
        <v>210.75892092999999</v>
      </c>
      <c r="F718" s="32">
        <v>170.63730784000001</v>
      </c>
      <c r="G718" s="32">
        <v>121.16334205999998</v>
      </c>
      <c r="H718" s="32">
        <v>109.34458078000002</v>
      </c>
      <c r="I718" s="32">
        <f t="shared" ref="I718:I728" si="145">+F718-H718</f>
        <v>61.29272705999999</v>
      </c>
      <c r="J718" s="52">
        <f>IF(E718=0,"-",(F718-E718)/E718)</f>
        <v>-0.19036733018445134</v>
      </c>
      <c r="K718" s="52">
        <f>IF(G718=0,"-",(H718-G718)/G718)</f>
        <v>-9.7544035011408986E-2</v>
      </c>
      <c r="L718" s="372"/>
      <c r="M718" s="54"/>
      <c r="Z718" s="41"/>
      <c r="AA718" s="41"/>
      <c r="AB718" s="41"/>
    </row>
    <row r="719" spans="3:28" s="32" customFormat="1">
      <c r="C719" s="20"/>
      <c r="D719" s="12" t="str">
        <f>IF(Indice_index!$Z$1=1,"fevereiro","February")</f>
        <v>February</v>
      </c>
      <c r="E719" s="12">
        <v>322.88092367999997</v>
      </c>
      <c r="F719" s="32">
        <v>283.80430794999995</v>
      </c>
      <c r="G719" s="32">
        <v>253.16642726000003</v>
      </c>
      <c r="H719" s="32">
        <v>246.28852852</v>
      </c>
      <c r="I719" s="32">
        <f t="shared" si="145"/>
        <v>37.515779429999952</v>
      </c>
      <c r="J719" s="52">
        <f>IF(E719=0,"-",(F719-E719)/E719)</f>
        <v>-0.1210248511575988</v>
      </c>
      <c r="K719" s="52">
        <f>IF(G719=0,"-",(H719-G719)/G719)</f>
        <v>-2.716749931829027E-2</v>
      </c>
      <c r="L719" s="372"/>
      <c r="M719" s="54"/>
      <c r="Z719" s="41"/>
      <c r="AA719" s="41"/>
      <c r="AB719" s="41"/>
    </row>
    <row r="720" spans="3:28" s="32" customFormat="1">
      <c r="C720" s="20"/>
      <c r="D720" s="12" t="str">
        <f>IF(Indice_index!$Z$1=1,"março","March")</f>
        <v>March</v>
      </c>
      <c r="E720" s="12">
        <v>436.08804484000001</v>
      </c>
      <c r="F720" s="32">
        <v>424.29008503400001</v>
      </c>
      <c r="G720" s="32">
        <v>424.47959798700003</v>
      </c>
      <c r="H720" s="32">
        <v>405.62273517200003</v>
      </c>
      <c r="I720" s="32">
        <f>+F720-H720</f>
        <v>18.66734986199998</v>
      </c>
      <c r="J720" s="52">
        <f>IF(E720=0,"-",(F720-E720)/E720)</f>
        <v>-2.7054077601069405E-2</v>
      </c>
      <c r="K720" s="52">
        <f>IF(G720=0,"-",(H720-G720)/G720)</f>
        <v>-4.442348443700115E-2</v>
      </c>
      <c r="L720" s="372"/>
      <c r="M720" s="54"/>
      <c r="Z720" s="41"/>
      <c r="AA720" s="41"/>
      <c r="AB720" s="41"/>
    </row>
    <row r="721" spans="3:28" s="32" customFormat="1">
      <c r="C721" s="20"/>
      <c r="D721" s="12" t="str">
        <f>IF(Indice_index!$Z$1=1,"abril","April")</f>
        <v>April</v>
      </c>
      <c r="E721" s="12">
        <v>702.68604497000001</v>
      </c>
      <c r="F721" s="32">
        <v>624.5239502899999</v>
      </c>
      <c r="G721" s="32">
        <v>569.57638300999997</v>
      </c>
      <c r="H721" s="32">
        <v>547.07775532000005</v>
      </c>
      <c r="I721" s="32">
        <f>+F721-H721</f>
        <v>77.446194969999851</v>
      </c>
      <c r="J721" s="52">
        <f>IF(E721=0,"-",(F721-E721)/E721)</f>
        <v>-0.11123331001021532</v>
      </c>
      <c r="K721" s="52">
        <f>IF(G721=0,"-",(H721-G721)/G721)</f>
        <v>-3.9500633033804911E-2</v>
      </c>
      <c r="L721" s="372"/>
      <c r="M721" s="54"/>
      <c r="Z721" s="41"/>
      <c r="AA721" s="41"/>
      <c r="AB721" s="41"/>
    </row>
    <row r="722" spans="3:28">
      <c r="C722" s="20"/>
      <c r="D722" s="12" t="str">
        <f>IF(Indice_index!$Z$1=1,"maio","May")</f>
        <v>May</v>
      </c>
      <c r="E722" s="12">
        <v>819.01666805999992</v>
      </c>
      <c r="F722" s="32">
        <v>787.33934606999992</v>
      </c>
      <c r="G722" s="32">
        <v>779.10727151699984</v>
      </c>
      <c r="H722" s="32">
        <v>790.04555604928009</v>
      </c>
      <c r="I722" s="32">
        <v>-2.7062099792801746</v>
      </c>
      <c r="J722" s="52">
        <v>-3.8677261678976699E-2</v>
      </c>
      <c r="K722" s="52">
        <v>1.3758689623077851E-2</v>
      </c>
      <c r="L722" s="372"/>
      <c r="M722" s="54"/>
      <c r="N722" s="208"/>
    </row>
    <row r="723" spans="3:28">
      <c r="C723" s="49"/>
      <c r="D723" s="32" t="str">
        <f>IF(Indice_index!$Z$1=1,"junho","June")</f>
        <v>June</v>
      </c>
      <c r="E723" s="12">
        <v>937.94359436000002</v>
      </c>
      <c r="F723" s="32">
        <v>896.05908821600019</v>
      </c>
      <c r="G723" s="32">
        <v>977.80279314999973</v>
      </c>
      <c r="H723" s="32">
        <v>984.15009819828015</v>
      </c>
      <c r="I723" s="32">
        <f t="shared" si="145"/>
        <v>-88.091009982279957</v>
      </c>
      <c r="J723" s="58">
        <f t="shared" ref="J723:J728" si="146">IF(E723=0,"-",(F723-E723)/E723)</f>
        <v>-4.4655676946735223E-2</v>
      </c>
      <c r="K723" s="58">
        <f t="shared" ref="K723:K728" si="147">IF(G723=0,"-",(H723-G723)/G723)</f>
        <v>6.491395905950036E-3</v>
      </c>
      <c r="L723" s="372"/>
      <c r="M723" s="54"/>
      <c r="N723" s="208"/>
    </row>
    <row r="724" spans="3:28">
      <c r="C724" s="49"/>
      <c r="D724" s="32" t="str">
        <f>IF(Indice_index!$Z$1=1,"julho","July")</f>
        <v>July</v>
      </c>
      <c r="E724" s="12">
        <v>1202.8629568800002</v>
      </c>
      <c r="F724" s="32">
        <v>1103.9628995009998</v>
      </c>
      <c r="G724" s="12">
        <v>1174.8080392899999</v>
      </c>
      <c r="H724" s="32">
        <v>1166.8922219092801</v>
      </c>
      <c r="I724" s="32">
        <f t="shared" si="145"/>
        <v>-62.929322408280314</v>
      </c>
      <c r="J724" s="58">
        <f t="shared" si="146"/>
        <v>-8.2220552901162147E-2</v>
      </c>
      <c r="K724" s="58">
        <f t="shared" si="147"/>
        <v>-6.7379666430472584E-3</v>
      </c>
      <c r="L724" s="372"/>
      <c r="M724" s="54"/>
      <c r="N724" s="208"/>
    </row>
    <row r="725" spans="3:28">
      <c r="C725" s="49"/>
      <c r="D725" s="32" t="str">
        <f>IF(Indice_index!$Z$1=1,"agosto","August")</f>
        <v>August</v>
      </c>
      <c r="E725" s="12">
        <v>1349.29172793</v>
      </c>
      <c r="F725" s="32">
        <v>1258.358552231</v>
      </c>
      <c r="G725" s="12">
        <v>1345.6162120199999</v>
      </c>
      <c r="H725" s="32">
        <v>1340.22957217928</v>
      </c>
      <c r="I725" s="32">
        <f t="shared" si="145"/>
        <v>-81.871019948280036</v>
      </c>
      <c r="J725" s="58">
        <f t="shared" si="146"/>
        <v>-6.7393265530875268E-2</v>
      </c>
      <c r="K725" s="58">
        <f t="shared" si="147"/>
        <v>-4.0031026622618059E-3</v>
      </c>
      <c r="L725" s="372"/>
      <c r="M725" s="54"/>
    </row>
    <row r="726" spans="3:28">
      <c r="C726" s="49"/>
      <c r="D726" s="32" t="str">
        <f>IF(Indice_index!$Z$1=1,"setembro","September")</f>
        <v>September</v>
      </c>
      <c r="E726" s="12">
        <v>1511.7252416800004</v>
      </c>
      <c r="F726" s="12">
        <v>1402.4486985849999</v>
      </c>
      <c r="G726" s="12">
        <v>1530.2268385100001</v>
      </c>
      <c r="H726" s="12">
        <v>1473.6326213392799</v>
      </c>
      <c r="I726" s="12">
        <f t="shared" si="145"/>
        <v>-71.183922754280047</v>
      </c>
      <c r="J726" s="52">
        <f t="shared" si="146"/>
        <v>-7.2285981659974172E-2</v>
      </c>
      <c r="K726" s="52">
        <f t="shared" si="147"/>
        <v>-3.6984201130485096E-2</v>
      </c>
      <c r="L726" s="372"/>
      <c r="M726" s="54"/>
    </row>
    <row r="727" spans="3:28">
      <c r="C727" s="49"/>
      <c r="D727" s="32" t="str">
        <f>IF(Indice_index!$Z$1=1,"outubro","October")</f>
        <v>October</v>
      </c>
      <c r="E727" s="12">
        <v>1727.8899235699998</v>
      </c>
      <c r="F727" s="12">
        <v>1612.4989800399999</v>
      </c>
      <c r="G727" s="12">
        <v>1688.076909209</v>
      </c>
      <c r="H727" s="12">
        <v>1669.7227434962804</v>
      </c>
      <c r="I727" s="12">
        <f t="shared" si="145"/>
        <v>-57.223763456280494</v>
      </c>
      <c r="J727" s="52">
        <f t="shared" si="146"/>
        <v>-6.6781420480530554E-2</v>
      </c>
      <c r="K727" s="52">
        <f t="shared" si="147"/>
        <v>-1.0872825528618825E-2</v>
      </c>
      <c r="L727" s="372"/>
      <c r="M727" s="54"/>
    </row>
    <row r="728" spans="3:28">
      <c r="C728" s="49"/>
      <c r="D728" s="32" t="str">
        <f>IF(Indice_index!$Z$1=1,"novembro","November")</f>
        <v>November</v>
      </c>
      <c r="E728" s="12">
        <v>1887.2796723699998</v>
      </c>
      <c r="F728" s="12">
        <v>1735.6602100200002</v>
      </c>
      <c r="G728" s="12">
        <v>1893.74773157</v>
      </c>
      <c r="H728" s="12">
        <v>1809.5706698362803</v>
      </c>
      <c r="I728" s="12">
        <f t="shared" si="145"/>
        <v>-73.910459816280081</v>
      </c>
      <c r="J728" s="52">
        <f t="shared" si="146"/>
        <v>-8.0337569767600772E-2</v>
      </c>
      <c r="K728" s="52">
        <f t="shared" si="147"/>
        <v>-4.4449986833216285E-2</v>
      </c>
      <c r="L728" s="372"/>
      <c r="M728" s="54"/>
    </row>
    <row r="729" spans="3:28">
      <c r="C729" s="49"/>
      <c r="D729" s="32" t="str">
        <f>IF(Indice_index!$Z$1=1,"dezembro","December")</f>
        <v>December</v>
      </c>
      <c r="E729" s="12">
        <v>2114.3150470609999</v>
      </c>
      <c r="F729" s="12">
        <v>2015.10184009</v>
      </c>
      <c r="G729" s="12">
        <v>2126.614456668</v>
      </c>
      <c r="H729" s="12">
        <v>2281.1599457924804</v>
      </c>
      <c r="I729" s="12">
        <f>+F729-H729</f>
        <v>-266.05810570248036</v>
      </c>
      <c r="J729" s="51">
        <f>IF(E729=0,"-",(F729-E729)/E729)</f>
        <v>-4.692451444684699E-2</v>
      </c>
      <c r="K729" s="51">
        <f>IF(G729=0,"-",(H729-G729)/G729)</f>
        <v>7.2672076802592467E-2</v>
      </c>
      <c r="L729" s="372"/>
      <c r="M729" s="54"/>
    </row>
    <row r="730" spans="3:28">
      <c r="C730" s="32"/>
      <c r="D730" s="32"/>
      <c r="E730" s="12"/>
      <c r="F730" s="12"/>
      <c r="G730" s="12"/>
      <c r="H730" s="12"/>
      <c r="I730" s="12"/>
      <c r="J730" s="52"/>
      <c r="K730" s="52"/>
      <c r="L730" s="372"/>
      <c r="M730" s="54"/>
    </row>
    <row r="731" spans="3:28">
      <c r="C731" s="20" t="s">
        <v>7</v>
      </c>
      <c r="D731" s="33" t="str">
        <f>IF(Indice_index!$Z$1=1,"janeiro","January")</f>
        <v>January</v>
      </c>
      <c r="E731" s="33">
        <f t="shared" ref="E731:E742" si="148">+F705</f>
        <v>210.75892092999999</v>
      </c>
      <c r="F731" s="33">
        <v>214.19398948</v>
      </c>
      <c r="G731" s="33">
        <f t="shared" ref="G731:G742" si="149">+H705</f>
        <v>121.16334205999998</v>
      </c>
      <c r="H731" s="33">
        <v>114.38331905</v>
      </c>
      <c r="I731" s="33">
        <f t="shared" ref="I731:I742" si="150">+F731-H731</f>
        <v>99.810670430000002</v>
      </c>
      <c r="J731" s="206">
        <f>IF(E731=0,"-",(F731-E731)/E731)</f>
        <v>1.629856774196007E-2</v>
      </c>
      <c r="K731" s="206">
        <f t="shared" ref="K731:K742" si="151">IF(G731=0,"-",(H731-G731)/G731)</f>
        <v>-5.5957708781609196E-2</v>
      </c>
      <c r="L731" s="372"/>
      <c r="M731" s="54"/>
    </row>
    <row r="732" spans="3:28">
      <c r="C732" s="49"/>
      <c r="D732" s="32" t="str">
        <f>IF(Indice_index!$Z$1=1,"fevereiro","February")</f>
        <v>February</v>
      </c>
      <c r="E732" s="33">
        <f t="shared" si="148"/>
        <v>322.88092367999997</v>
      </c>
      <c r="F732" s="32">
        <v>331.15047027000003</v>
      </c>
      <c r="G732" s="32">
        <f t="shared" si="149"/>
        <v>253.16642726000003</v>
      </c>
      <c r="H732" s="32">
        <v>310.23565223000003</v>
      </c>
      <c r="I732" s="32">
        <f t="shared" si="150"/>
        <v>20.91481804</v>
      </c>
      <c r="J732" s="34">
        <f>IF(E732=0,"-",(F732-E732)/E732)</f>
        <v>2.5611753384959413E-2</v>
      </c>
      <c r="K732" s="34">
        <f t="shared" si="151"/>
        <v>0.22542177328825011</v>
      </c>
      <c r="L732" s="372"/>
      <c r="M732" s="54"/>
    </row>
    <row r="733" spans="3:28">
      <c r="C733" s="49"/>
      <c r="D733" s="33" t="str">
        <f>IF(Indice_index!$Z$1=1,"março","March")</f>
        <v>March</v>
      </c>
      <c r="E733" s="33">
        <f t="shared" si="148"/>
        <v>436.08804484000001</v>
      </c>
      <c r="F733" s="33">
        <v>467.27881513</v>
      </c>
      <c r="G733" s="33">
        <f t="shared" si="149"/>
        <v>424.47959798700003</v>
      </c>
      <c r="H733" s="33">
        <v>463.60795355400001</v>
      </c>
      <c r="I733" s="33">
        <f t="shared" si="150"/>
        <v>3.670861575999993</v>
      </c>
      <c r="J733" s="223">
        <f>IF(E733=0,"-",(F733-E733)/E733)</f>
        <v>7.1524020571221647E-2</v>
      </c>
      <c r="K733" s="223">
        <f t="shared" si="151"/>
        <v>9.2179590615326351E-2</v>
      </c>
      <c r="L733" s="372"/>
      <c r="M733" s="54"/>
    </row>
    <row r="734" spans="3:28">
      <c r="C734" s="49"/>
      <c r="D734" s="33" t="str">
        <f>IF(Indice_index!$Z$1=1,"abril","April")</f>
        <v>April</v>
      </c>
      <c r="E734" s="33">
        <f t="shared" si="148"/>
        <v>702.68604497000001</v>
      </c>
      <c r="F734" s="33">
        <v>713.47182738000004</v>
      </c>
      <c r="G734" s="33">
        <f t="shared" si="149"/>
        <v>569.57638300999997</v>
      </c>
      <c r="H734" s="33">
        <v>643.21046831333319</v>
      </c>
      <c r="I734" s="33">
        <f t="shared" si="150"/>
        <v>70.261359066666841</v>
      </c>
      <c r="J734" s="223">
        <f>IF(E734=0,"-",(F734-E734)/E734)</f>
        <v>1.5349361905231097E-2</v>
      </c>
      <c r="K734" s="223">
        <f t="shared" si="151"/>
        <v>0.129278684123461</v>
      </c>
      <c r="L734" s="372"/>
      <c r="M734" s="54"/>
    </row>
    <row r="735" spans="3:28">
      <c r="C735" s="49"/>
      <c r="D735" s="33" t="str">
        <f>IF(Indice_index!$Z$1=1,"maio","May")</f>
        <v>May</v>
      </c>
      <c r="E735" s="33">
        <f t="shared" si="148"/>
        <v>819.01666805999992</v>
      </c>
      <c r="F735" s="33">
        <v>845.0166811900001</v>
      </c>
      <c r="G735" s="33">
        <f t="shared" si="149"/>
        <v>779.10727151699984</v>
      </c>
      <c r="H735" s="33">
        <v>862.72800840219998</v>
      </c>
      <c r="I735" s="33">
        <f t="shared" si="150"/>
        <v>-17.711327212199876</v>
      </c>
      <c r="J735" s="223">
        <f t="shared" ref="J735:J742" si="152">IF(E735=0,"-",(F735-E735)/E735)</f>
        <v>3.1745401704200073E-2</v>
      </c>
      <c r="K735" s="223">
        <f t="shared" si="151"/>
        <v>0.10732891341442903</v>
      </c>
      <c r="L735" s="372"/>
      <c r="M735" s="54"/>
    </row>
    <row r="736" spans="3:28">
      <c r="C736" s="49"/>
      <c r="D736" s="33" t="str">
        <f>IF(Indice_index!$Z$1=1,"junho","June")</f>
        <v>June</v>
      </c>
      <c r="E736" s="33">
        <f t="shared" si="148"/>
        <v>937.94359436000002</v>
      </c>
      <c r="F736" s="33">
        <v>1039.16399191</v>
      </c>
      <c r="G736" s="33">
        <f t="shared" si="149"/>
        <v>977.80279314999973</v>
      </c>
      <c r="H736" s="33">
        <v>1031.8099038821999</v>
      </c>
      <c r="I736" s="33">
        <f t="shared" si="150"/>
        <v>7.3540880278001168</v>
      </c>
      <c r="J736" s="223">
        <f t="shared" si="152"/>
        <v>0.10791736108509503</v>
      </c>
      <c r="K736" s="223">
        <f t="shared" si="151"/>
        <v>5.523313198790919E-2</v>
      </c>
      <c r="L736" s="372"/>
      <c r="M736" s="54"/>
    </row>
    <row r="737" spans="3:28" s="24" customFormat="1">
      <c r="C737" s="49"/>
      <c r="D737" s="33" t="str">
        <f>IF(Indice_index!$Z$1=1,"julho","July")</f>
        <v>July</v>
      </c>
      <c r="E737" s="33">
        <f t="shared" si="148"/>
        <v>1202.8629568800002</v>
      </c>
      <c r="F737" s="33">
        <v>1323.8051964599999</v>
      </c>
      <c r="G737" s="33">
        <f t="shared" si="149"/>
        <v>1174.8080392899999</v>
      </c>
      <c r="H737" s="33">
        <v>1475.3540594021999</v>
      </c>
      <c r="I737" s="33">
        <f t="shared" si="150"/>
        <v>-151.5488629422</v>
      </c>
      <c r="J737" s="223">
        <f t="shared" si="152"/>
        <v>0.10054531888961077</v>
      </c>
      <c r="K737" s="223">
        <f t="shared" si="151"/>
        <v>0.25582564134804209</v>
      </c>
      <c r="L737" s="372"/>
      <c r="M737" s="54"/>
      <c r="Z737" s="42"/>
      <c r="AA737" s="42"/>
      <c r="AB737" s="42"/>
    </row>
    <row r="738" spans="3:28" s="24" customFormat="1">
      <c r="C738" s="49"/>
      <c r="D738" s="33" t="str">
        <f>IF(Indice_index!$Z$1=1,"agosto","August")</f>
        <v>August</v>
      </c>
      <c r="E738" s="33">
        <f t="shared" si="148"/>
        <v>1349.29172793</v>
      </c>
      <c r="F738" s="33">
        <v>1495.6110903271428</v>
      </c>
      <c r="G738" s="33">
        <f t="shared" si="149"/>
        <v>1345.6162120199999</v>
      </c>
      <c r="H738" s="33">
        <v>1970.534552980057</v>
      </c>
      <c r="I738" s="33">
        <f t="shared" si="150"/>
        <v>-474.92346265291417</v>
      </c>
      <c r="J738" s="223">
        <f t="shared" si="152"/>
        <v>0.1084416063393622</v>
      </c>
      <c r="K738" s="223">
        <f t="shared" si="151"/>
        <v>0.46441053205055238</v>
      </c>
      <c r="L738" s="372"/>
      <c r="M738" s="54"/>
      <c r="Z738" s="42"/>
      <c r="AA738" s="42"/>
      <c r="AB738" s="42"/>
    </row>
    <row r="739" spans="3:28">
      <c r="C739" s="49"/>
      <c r="D739" s="33" t="str">
        <f>IF(Indice_index!$Z$1=1,"setembro","September")</f>
        <v>September</v>
      </c>
      <c r="E739" s="33">
        <f t="shared" si="148"/>
        <v>1511.7252416800004</v>
      </c>
      <c r="F739" s="33">
        <v>1741.6779729492855</v>
      </c>
      <c r="G739" s="33">
        <f t="shared" si="149"/>
        <v>1530.2268385100001</v>
      </c>
      <c r="H739" s="33">
        <v>2464.1983339960393</v>
      </c>
      <c r="I739" s="33">
        <f t="shared" si="150"/>
        <v>-722.52036104675381</v>
      </c>
      <c r="J739" s="223">
        <f t="shared" si="152"/>
        <v>0.15211278142960394</v>
      </c>
      <c r="K739" s="223">
        <f t="shared" si="151"/>
        <v>0.61034839540225172</v>
      </c>
      <c r="L739" s="372"/>
      <c r="M739" s="54"/>
    </row>
    <row r="740" spans="3:28">
      <c r="C740" s="49"/>
      <c r="D740" s="33" t="str">
        <f>IF(Indice_index!$Z$1=1,"outubro","October")</f>
        <v>October</v>
      </c>
      <c r="E740" s="33">
        <f t="shared" si="148"/>
        <v>1727.8899235699998</v>
      </c>
      <c r="F740" s="33">
        <v>2020.076577461429</v>
      </c>
      <c r="G740" s="33">
        <f t="shared" si="149"/>
        <v>1688.076909209</v>
      </c>
      <c r="H740" s="33">
        <v>2733.5781328430003</v>
      </c>
      <c r="I740" s="33">
        <f t="shared" si="150"/>
        <v>-713.50155538157128</v>
      </c>
      <c r="J740" s="223">
        <f t="shared" si="152"/>
        <v>0.16910027074394948</v>
      </c>
      <c r="K740" s="223">
        <f t="shared" si="151"/>
        <v>0.61934454403733408</v>
      </c>
      <c r="L740" s="372"/>
      <c r="M740" s="54"/>
    </row>
    <row r="741" spans="3:28">
      <c r="C741" s="49"/>
      <c r="D741" s="33" t="str">
        <f>IF(Indice_index!$Z$1=1,"novembro","November")</f>
        <v>November</v>
      </c>
      <c r="E741" s="33">
        <f t="shared" si="148"/>
        <v>1887.2796723699998</v>
      </c>
      <c r="F741" s="33">
        <v>2165.4120710999996</v>
      </c>
      <c r="G741" s="33">
        <f t="shared" si="149"/>
        <v>1893.74773157</v>
      </c>
      <c r="H741" s="33">
        <v>2925.3426519300001</v>
      </c>
      <c r="I741" s="33">
        <f t="shared" si="150"/>
        <v>-759.93058083000051</v>
      </c>
      <c r="J741" s="223">
        <f t="shared" si="152"/>
        <v>0.14737211596240415</v>
      </c>
      <c r="K741" s="223">
        <f t="shared" si="151"/>
        <v>0.54473724412319824</v>
      </c>
      <c r="L741" s="372"/>
      <c r="M741" s="54"/>
    </row>
    <row r="742" spans="3:28">
      <c r="C742" s="49"/>
      <c r="D742" s="33" t="str">
        <f>IF(Indice_index!$Z$1=1,"dezembro","December")</f>
        <v>December</v>
      </c>
      <c r="E742" s="33">
        <f t="shared" si="148"/>
        <v>2114.3150470609999</v>
      </c>
      <c r="F742" s="33">
        <v>2443.85039719</v>
      </c>
      <c r="G742" s="33">
        <f t="shared" si="149"/>
        <v>2126.614456668</v>
      </c>
      <c r="H742" s="33">
        <v>3275.15017218</v>
      </c>
      <c r="I742" s="33">
        <f t="shared" si="150"/>
        <v>-831.29977499000006</v>
      </c>
      <c r="J742" s="223">
        <f t="shared" si="152"/>
        <v>0.15585915192112462</v>
      </c>
      <c r="K742" s="223">
        <f t="shared" si="151"/>
        <v>0.54007707504797875</v>
      </c>
      <c r="L742" s="372"/>
      <c r="M742" s="54"/>
    </row>
    <row r="743" spans="3:28">
      <c r="C743" s="32"/>
      <c r="D743" s="32"/>
      <c r="E743" s="12"/>
      <c r="F743" s="12"/>
      <c r="G743" s="12"/>
      <c r="H743" s="12"/>
      <c r="I743" s="12"/>
      <c r="J743" s="52"/>
      <c r="K743" s="52"/>
      <c r="L743" s="372"/>
      <c r="M743" s="54"/>
    </row>
    <row r="744" spans="3:28">
      <c r="C744" s="20" t="s">
        <v>16</v>
      </c>
      <c r="D744" s="33" t="str">
        <f>IF(Indice_index!$Z$1=1,"janeiro","January")</f>
        <v>January</v>
      </c>
      <c r="E744" s="33">
        <f t="shared" ref="E744:E755" si="153">+F718</f>
        <v>170.63730784000001</v>
      </c>
      <c r="F744" s="33">
        <v>190.61608264</v>
      </c>
      <c r="G744" s="33">
        <f t="shared" ref="G744:G755" si="154">+H718</f>
        <v>109.34458078000002</v>
      </c>
      <c r="H744" s="33">
        <v>177.50065404999998</v>
      </c>
      <c r="I744" s="33">
        <f t="shared" ref="I744:I753" si="155">+F744-H744</f>
        <v>13.115428590000022</v>
      </c>
      <c r="J744" s="206">
        <f>IF(E744=0,"-",(F744-E744)/E744)</f>
        <v>0.1170832747709154</v>
      </c>
      <c r="K744" s="206">
        <f t="shared" ref="K744:K753" si="156">IF(G744=0,"-",(H744-G744)/G744)</f>
        <v>0.62331459669802169</v>
      </c>
      <c r="L744" s="372"/>
      <c r="M744" s="54"/>
    </row>
    <row r="745" spans="3:28">
      <c r="C745" s="49"/>
      <c r="D745" s="32" t="str">
        <f>IF(Indice_index!$Z$1=1,"fevereiro","February")</f>
        <v>February</v>
      </c>
      <c r="E745" s="33">
        <f t="shared" si="153"/>
        <v>283.80430794999995</v>
      </c>
      <c r="F745" s="32">
        <v>324.05520869999998</v>
      </c>
      <c r="G745" s="33">
        <f t="shared" si="154"/>
        <v>246.28852852</v>
      </c>
      <c r="H745" s="32">
        <v>401.98174686999994</v>
      </c>
      <c r="I745" s="32">
        <f t="shared" si="155"/>
        <v>-77.926538169999958</v>
      </c>
      <c r="J745" s="34">
        <f>IF(E745=0,"-",(F745-E745)/E745)</f>
        <v>0.14182625006908403</v>
      </c>
      <c r="K745" s="34">
        <f t="shared" si="156"/>
        <v>0.63215781622308398</v>
      </c>
      <c r="L745" s="372"/>
      <c r="M745" s="54"/>
    </row>
    <row r="746" spans="3:28">
      <c r="C746" s="49"/>
      <c r="D746" s="33" t="str">
        <f>IF(Indice_index!$Z$1=1,"março","March")</f>
        <v>March</v>
      </c>
      <c r="E746" s="33">
        <f t="shared" si="153"/>
        <v>424.29008503400001</v>
      </c>
      <c r="F746" s="32">
        <v>473.54162635</v>
      </c>
      <c r="G746" s="33">
        <f t="shared" si="154"/>
        <v>405.62273517200003</v>
      </c>
      <c r="H746" s="32">
        <v>598.04386303000001</v>
      </c>
      <c r="I746" s="32">
        <f t="shared" si="155"/>
        <v>-124.50223668000001</v>
      </c>
      <c r="J746" s="34">
        <f>IF(E746=0,"-",(F746-E746)/E746)</f>
        <v>0.11607987802037201</v>
      </c>
      <c r="K746" s="223">
        <f t="shared" si="156"/>
        <v>0.47438447397778588</v>
      </c>
      <c r="L746" s="372"/>
      <c r="M746" s="54"/>
    </row>
    <row r="747" spans="3:28">
      <c r="C747" s="49"/>
      <c r="D747" s="33" t="str">
        <f>IF(Indice_index!$Z$1=1,"abril","April")</f>
        <v>April</v>
      </c>
      <c r="E747" s="33">
        <f t="shared" si="153"/>
        <v>624.5239502899999</v>
      </c>
      <c r="F747" s="33">
        <v>699.78103232000012</v>
      </c>
      <c r="G747" s="33">
        <f t="shared" si="154"/>
        <v>547.07775532000005</v>
      </c>
      <c r="H747" s="33">
        <v>810.19797158000006</v>
      </c>
      <c r="I747" s="33">
        <f t="shared" si="155"/>
        <v>-110.41693925999994</v>
      </c>
      <c r="J747" s="223">
        <f>IF(E747=0,"-",(F747-E747)/E747)</f>
        <v>0.12050311600548598</v>
      </c>
      <c r="K747" s="223">
        <f t="shared" si="156"/>
        <v>0.48095579412855882</v>
      </c>
      <c r="L747" s="372"/>
      <c r="M747" s="54"/>
    </row>
    <row r="748" spans="3:28">
      <c r="C748" s="49"/>
      <c r="D748" s="33" t="str">
        <f>IF(Indice_index!$Z$1=1,"maio","May")</f>
        <v>May</v>
      </c>
      <c r="E748" s="33">
        <f t="shared" si="153"/>
        <v>787.33934606999992</v>
      </c>
      <c r="F748" s="33">
        <v>867.24499109999988</v>
      </c>
      <c r="G748" s="33">
        <f t="shared" si="154"/>
        <v>790.04555604928009</v>
      </c>
      <c r="H748" s="33">
        <v>1015.689553653</v>
      </c>
      <c r="I748" s="33">
        <f t="shared" si="155"/>
        <v>-148.44456255300008</v>
      </c>
      <c r="J748" s="223">
        <f t="shared" ref="J748:J753" si="157">IF(E748=0,"-",(F748-E748)/E748)</f>
        <v>0.10148818984958462</v>
      </c>
      <c r="K748" s="223">
        <f t="shared" si="156"/>
        <v>0.28560884353565685</v>
      </c>
      <c r="L748" s="372"/>
      <c r="M748" s="54"/>
    </row>
    <row r="749" spans="3:28">
      <c r="C749" s="49"/>
      <c r="D749" s="33" t="str">
        <f>IF(Indice_index!$Z$1=1,"junho","June")</f>
        <v>June</v>
      </c>
      <c r="E749" s="33">
        <f t="shared" si="153"/>
        <v>896.05908821600019</v>
      </c>
      <c r="F749" s="33">
        <v>1057.9974155699999</v>
      </c>
      <c r="G749" s="33">
        <f t="shared" si="154"/>
        <v>984.15009819828015</v>
      </c>
      <c r="H749" s="33">
        <v>1349.8675238599999</v>
      </c>
      <c r="I749" s="33">
        <f t="shared" si="155"/>
        <v>-291.87010828999996</v>
      </c>
      <c r="J749" s="223">
        <f t="shared" si="157"/>
        <v>0.18072282228218814</v>
      </c>
      <c r="K749" s="223">
        <f t="shared" si="156"/>
        <v>0.37160736592035309</v>
      </c>
      <c r="L749" s="372"/>
      <c r="M749" s="54"/>
    </row>
    <row r="750" spans="3:28" s="24" customFormat="1">
      <c r="C750" s="49"/>
      <c r="D750" s="33" t="str">
        <f>IF(Indice_index!$Z$1=1,"julho","July")</f>
        <v>July</v>
      </c>
      <c r="E750" s="33">
        <f t="shared" si="153"/>
        <v>1103.9628995009998</v>
      </c>
      <c r="F750" s="33">
        <v>1301.4708412699999</v>
      </c>
      <c r="G750" s="33">
        <f t="shared" si="154"/>
        <v>1166.8922219092801</v>
      </c>
      <c r="H750" s="33">
        <v>1602.7206620700001</v>
      </c>
      <c r="I750" s="33">
        <f t="shared" si="155"/>
        <v>-301.24982080000018</v>
      </c>
      <c r="J750" s="223">
        <f t="shared" si="157"/>
        <v>0.17890813346922738</v>
      </c>
      <c r="K750" s="223">
        <f t="shared" si="156"/>
        <v>0.37349502548539859</v>
      </c>
      <c r="L750" s="372"/>
      <c r="M750" s="54"/>
      <c r="Z750" s="42"/>
      <c r="AA750" s="42"/>
      <c r="AB750" s="42"/>
    </row>
    <row r="751" spans="3:28" s="24" customFormat="1">
      <c r="C751" s="49"/>
      <c r="D751" s="33" t="str">
        <f>IF(Indice_index!$Z$1=1,"agosto","August")</f>
        <v>August</v>
      </c>
      <c r="E751" s="33">
        <f t="shared" si="153"/>
        <v>1258.358552231</v>
      </c>
      <c r="F751" s="33">
        <v>1462.7718276199998</v>
      </c>
      <c r="G751" s="33">
        <f t="shared" si="154"/>
        <v>1340.22957217928</v>
      </c>
      <c r="H751" s="33">
        <v>1800.22627685</v>
      </c>
      <c r="I751" s="33">
        <f t="shared" si="155"/>
        <v>-337.45444923000014</v>
      </c>
      <c r="J751" s="223">
        <f t="shared" si="157"/>
        <v>0.1624443804403653</v>
      </c>
      <c r="K751" s="223">
        <f t="shared" si="156"/>
        <v>0.34322232117497781</v>
      </c>
      <c r="L751" s="372"/>
      <c r="M751" s="54"/>
      <c r="Z751" s="42"/>
      <c r="AA751" s="42"/>
      <c r="AB751" s="42"/>
    </row>
    <row r="752" spans="3:28">
      <c r="C752" s="49"/>
      <c r="D752" s="33" t="str">
        <f>IF(Indice_index!$Z$1=1,"setembro","September")</f>
        <v>September</v>
      </c>
      <c r="E752" s="33">
        <f t="shared" si="153"/>
        <v>1402.4486985849999</v>
      </c>
      <c r="F752" s="33">
        <v>1641.8507912700002</v>
      </c>
      <c r="G752" s="33">
        <f t="shared" si="154"/>
        <v>1473.6326213392799</v>
      </c>
      <c r="H752" s="33">
        <v>1977.69097403</v>
      </c>
      <c r="I752" s="33">
        <f t="shared" si="155"/>
        <v>-335.84018275999983</v>
      </c>
      <c r="J752" s="223">
        <f t="shared" si="157"/>
        <v>0.1707029233415418</v>
      </c>
      <c r="K752" s="223">
        <f t="shared" si="156"/>
        <v>0.34205157065036829</v>
      </c>
      <c r="L752" s="372"/>
      <c r="M752" s="54"/>
    </row>
    <row r="753" spans="3:28">
      <c r="C753" s="49"/>
      <c r="D753" s="33" t="str">
        <f>IF(Indice_index!$Z$1=1,"outubro","October")</f>
        <v>October</v>
      </c>
      <c r="E753" s="33">
        <f t="shared" si="153"/>
        <v>1612.4989800399999</v>
      </c>
      <c r="F753" s="33">
        <v>1914.59414702</v>
      </c>
      <c r="G753" s="33">
        <f t="shared" si="154"/>
        <v>1669.7227434962804</v>
      </c>
      <c r="H753" s="33">
        <v>2214.0541299199995</v>
      </c>
      <c r="I753" s="33">
        <f t="shared" si="155"/>
        <v>-299.45998289999943</v>
      </c>
      <c r="J753" s="223">
        <f t="shared" si="157"/>
        <v>0.18734595849016061</v>
      </c>
      <c r="K753" s="223">
        <f t="shared" si="156"/>
        <v>0.32600106128034645</v>
      </c>
      <c r="L753" s="372"/>
      <c r="M753" s="54"/>
    </row>
    <row r="754" spans="3:28">
      <c r="C754" s="49"/>
      <c r="D754" s="33" t="str">
        <f>IF(Indice_index!$Z$1=1,"novembro","November")</f>
        <v>November</v>
      </c>
      <c r="E754" s="33">
        <f t="shared" si="153"/>
        <v>1735.6602100200002</v>
      </c>
      <c r="F754" s="33">
        <v>2062.20404186</v>
      </c>
      <c r="G754" s="33">
        <f t="shared" si="154"/>
        <v>1809.5706698362803</v>
      </c>
      <c r="H754" s="33">
        <v>2360.4135830099999</v>
      </c>
      <c r="I754" s="33">
        <f>+F754-H754</f>
        <v>-298.20954114999995</v>
      </c>
      <c r="J754" s="223">
        <f>IF(E754=0,"-",(F754-E754)/E754)</f>
        <v>0.18813811018703766</v>
      </c>
      <c r="K754" s="223">
        <f>IF(G754=0,"-",(H754-G754)/G754)</f>
        <v>0.30440530583066794</v>
      </c>
      <c r="L754" s="372"/>
      <c r="M754" s="54"/>
    </row>
    <row r="755" spans="3:28">
      <c r="C755" s="49"/>
      <c r="D755" s="33" t="str">
        <f>IF(Indice_index!$Z$1=1,"dezembro","December")</f>
        <v>December</v>
      </c>
      <c r="E755" s="33">
        <f t="shared" si="153"/>
        <v>2015.10184009</v>
      </c>
      <c r="F755" s="33">
        <v>2319.4852664649998</v>
      </c>
      <c r="G755" s="33">
        <f t="shared" si="154"/>
        <v>2281.1599457924804</v>
      </c>
      <c r="H755" s="33">
        <v>2738.9812138449997</v>
      </c>
      <c r="I755" s="33">
        <f>+F755-H755</f>
        <v>-419.49594737999996</v>
      </c>
      <c r="J755" s="223">
        <f>IF(E755=0,"-",(F755-E755)/E755)</f>
        <v>0.15105113812084314</v>
      </c>
      <c r="K755" s="223">
        <f>IF(G755=0,"-",(H755-G755)/G755)</f>
        <v>0.20069669770283083</v>
      </c>
      <c r="L755" s="372"/>
      <c r="M755" s="54"/>
    </row>
    <row r="756" spans="3:28">
      <c r="C756" s="32"/>
      <c r="D756" s="32"/>
      <c r="E756" s="12"/>
      <c r="F756" s="12"/>
      <c r="G756" s="12"/>
      <c r="H756" s="12"/>
      <c r="I756" s="12"/>
      <c r="J756" s="52"/>
      <c r="K756" s="52"/>
      <c r="L756" s="372"/>
      <c r="M756" s="54"/>
    </row>
    <row r="757" spans="3:28">
      <c r="C757" s="20" t="s">
        <v>23</v>
      </c>
      <c r="D757" s="33" t="str">
        <f>IF(Indice_index!$Z$1=1,"janeiro","January")</f>
        <v>January</v>
      </c>
      <c r="E757" s="33">
        <v>190.61608264</v>
      </c>
      <c r="F757" s="33">
        <v>201.71894329000003</v>
      </c>
      <c r="G757" s="33">
        <v>177.50065404999998</v>
      </c>
      <c r="H757" s="33">
        <v>169.01888812424221</v>
      </c>
      <c r="I757" s="33">
        <f>IF(F757=0,"",+F757-H757)</f>
        <v>32.700055165757817</v>
      </c>
      <c r="J757" s="223">
        <f>IF(E757=0,"",(F757-E757)/E757)</f>
        <v>5.8247239667436827E-2</v>
      </c>
      <c r="K757" s="223">
        <f>IF(G757=0,"",(H757-G757)/G757)</f>
        <v>-4.7784420689337574E-2</v>
      </c>
      <c r="L757" s="372"/>
      <c r="M757" s="54"/>
    </row>
    <row r="758" spans="3:28">
      <c r="C758" s="49"/>
      <c r="D758" s="32" t="str">
        <f>IF(Indice_index!$Z$1=1,"fevereiro","February")</f>
        <v>February</v>
      </c>
      <c r="E758" s="33">
        <v>324.05520869999998</v>
      </c>
      <c r="F758" s="32">
        <v>333.43215461</v>
      </c>
      <c r="G758" s="33">
        <v>401.98174686999994</v>
      </c>
      <c r="H758" s="32">
        <v>376.8035631942422</v>
      </c>
      <c r="I758" s="32">
        <f t="shared" ref="I758:I820" si="158">IF(F758=0,"",+F758-H758)</f>
        <v>-43.371408584242204</v>
      </c>
      <c r="J758" s="34">
        <f t="shared" ref="J758:J768" si="159">IF(E758=0,"",(F758-E758)/E758)</f>
        <v>2.8936260421849588E-2</v>
      </c>
      <c r="K758" s="34">
        <f t="shared" ref="K758:K768" si="160">IF(G758=0,"",(H758-G758)/G758)</f>
        <v>-6.2635141699357577E-2</v>
      </c>
      <c r="L758" s="372"/>
      <c r="M758" s="54"/>
    </row>
    <row r="759" spans="3:28">
      <c r="C759" s="49"/>
      <c r="D759" s="33" t="str">
        <f>IF(Indice_index!$Z$1=1,"março","March")</f>
        <v>March</v>
      </c>
      <c r="E759" s="33">
        <v>473.54162635</v>
      </c>
      <c r="F759" s="32">
        <v>477.26876906000001</v>
      </c>
      <c r="G759" s="33">
        <v>598.04386303000001</v>
      </c>
      <c r="H759" s="32">
        <v>547.56103191</v>
      </c>
      <c r="I759" s="32">
        <f t="shared" si="158"/>
        <v>-70.292262849999986</v>
      </c>
      <c r="J759" s="34">
        <f t="shared" si="159"/>
        <v>7.8707815799180375E-3</v>
      </c>
      <c r="K759" s="223">
        <f t="shared" si="160"/>
        <v>-8.4413258359057206E-2</v>
      </c>
      <c r="L759" s="372"/>
      <c r="M759" s="54"/>
    </row>
    <row r="760" spans="3:28">
      <c r="C760" s="49"/>
      <c r="D760" s="33" t="str">
        <f>IF(Indice_index!$Z$1=1,"abril","April")</f>
        <v>April</v>
      </c>
      <c r="E760" s="33">
        <v>699.78103232000001</v>
      </c>
      <c r="F760" s="33">
        <v>711.92032660000007</v>
      </c>
      <c r="G760" s="33">
        <v>810.19797158000006</v>
      </c>
      <c r="H760" s="33">
        <v>754.90530286299986</v>
      </c>
      <c r="I760" s="33">
        <f t="shared" si="158"/>
        <v>-42.984976262999794</v>
      </c>
      <c r="J760" s="223">
        <f t="shared" si="159"/>
        <v>1.734727538949488E-2</v>
      </c>
      <c r="K760" s="223">
        <f t="shared" si="160"/>
        <v>-6.8245874041342899E-2</v>
      </c>
      <c r="L760" s="372"/>
      <c r="M760" s="54"/>
    </row>
    <row r="761" spans="3:28">
      <c r="C761" s="49"/>
      <c r="D761" s="33" t="str">
        <f>IF(Indice_index!$Z$1=1,"maio","May")</f>
        <v>May</v>
      </c>
      <c r="E761" s="33">
        <f>F735</f>
        <v>845.0166811900001</v>
      </c>
      <c r="F761" s="33">
        <v>842.81756242999995</v>
      </c>
      <c r="G761" s="33">
        <f>H735</f>
        <v>862.72800840219998</v>
      </c>
      <c r="H761" s="33">
        <v>922.68003921616264</v>
      </c>
      <c r="I761" s="33">
        <f t="shared" si="158"/>
        <v>-79.862476786162688</v>
      </c>
      <c r="J761" s="223">
        <f t="shared" si="159"/>
        <v>-2.602456033061056E-3</v>
      </c>
      <c r="K761" s="223">
        <f t="shared" si="160"/>
        <v>6.949123041107215E-2</v>
      </c>
      <c r="L761" s="372"/>
      <c r="M761" s="54"/>
    </row>
    <row r="762" spans="3:28">
      <c r="C762" s="49"/>
      <c r="D762" s="33" t="str">
        <f>IF(Indice_index!$Z$1=1,"junho","June")</f>
        <v>June</v>
      </c>
      <c r="E762" s="33">
        <f>F736</f>
        <v>1039.16399191</v>
      </c>
      <c r="F762" s="33">
        <v>1025.3113234800001</v>
      </c>
      <c r="G762" s="33">
        <f>H736</f>
        <v>1031.8099038821999</v>
      </c>
      <c r="H762" s="33">
        <v>1157.4606089057627</v>
      </c>
      <c r="I762" s="33">
        <f t="shared" si="158"/>
        <v>-132.14928542576263</v>
      </c>
      <c r="J762" s="223">
        <f t="shared" si="159"/>
        <v>-1.3330589337048301E-2</v>
      </c>
      <c r="K762" s="223">
        <f t="shared" si="160"/>
        <v>0.1217769906557401</v>
      </c>
      <c r="L762" s="372"/>
      <c r="M762" s="54"/>
    </row>
    <row r="763" spans="3:28" s="24" customFormat="1">
      <c r="C763" s="49"/>
      <c r="D763" s="33" t="str">
        <f>IF(Indice_index!$Z$1=1,"julho","July")</f>
        <v>July</v>
      </c>
      <c r="E763" s="33">
        <v>1301.4708412700002</v>
      </c>
      <c r="F763" s="33">
        <v>1301.5006470933333</v>
      </c>
      <c r="G763" s="33">
        <v>1602.7206620700003</v>
      </c>
      <c r="H763" s="33">
        <v>1406.4336341674293</v>
      </c>
      <c r="I763" s="33">
        <f t="shared" si="158"/>
        <v>-104.93298707409599</v>
      </c>
      <c r="J763" s="223">
        <f t="shared" si="159"/>
        <v>2.2901645114137148E-5</v>
      </c>
      <c r="K763" s="223">
        <f t="shared" si="160"/>
        <v>-0.12247114082191699</v>
      </c>
      <c r="L763" s="372"/>
      <c r="M763" s="54"/>
      <c r="Z763" s="42"/>
      <c r="AA763" s="42"/>
      <c r="AB763" s="42"/>
    </row>
    <row r="764" spans="3:28" s="24" customFormat="1">
      <c r="C764" s="49"/>
      <c r="D764" s="33" t="str">
        <f>IF(Indice_index!$Z$1=1,"agosto","August")</f>
        <v>August</v>
      </c>
      <c r="E764" s="33">
        <v>1462.7718276199998</v>
      </c>
      <c r="F764" s="33">
        <v>1501.5914157199998</v>
      </c>
      <c r="G764" s="33">
        <v>1800.22627685</v>
      </c>
      <c r="H764" s="33">
        <v>1679.8971836467626</v>
      </c>
      <c r="I764" s="33">
        <f t="shared" si="158"/>
        <v>-178.30576792676288</v>
      </c>
      <c r="J764" s="223">
        <f t="shared" si="159"/>
        <v>2.6538375546349739E-2</v>
      </c>
      <c r="K764" s="223">
        <f t="shared" si="160"/>
        <v>-6.6841093672839164E-2</v>
      </c>
      <c r="L764" s="372"/>
      <c r="M764" s="54"/>
      <c r="Z764" s="42"/>
      <c r="AA764" s="42"/>
      <c r="AB764" s="42"/>
    </row>
    <row r="765" spans="3:28">
      <c r="C765" s="49"/>
      <c r="D765" s="33" t="str">
        <f>IF(Indice_index!$Z$1=1,"setembro","September")</f>
        <v>September</v>
      </c>
      <c r="E765" s="33">
        <f>+F739</f>
        <v>1741.6779729492855</v>
      </c>
      <c r="F765" s="33">
        <v>1662.6947605750001</v>
      </c>
      <c r="G765" s="33">
        <f>+H739</f>
        <v>2464.1983339960393</v>
      </c>
      <c r="H765" s="33">
        <v>1849.2947170357627</v>
      </c>
      <c r="I765" s="33">
        <f t="shared" si="158"/>
        <v>-186.59995646076254</v>
      </c>
      <c r="J765" s="223">
        <f t="shared" si="159"/>
        <v>-4.5348918457376167E-2</v>
      </c>
      <c r="K765" s="223">
        <f t="shared" si="160"/>
        <v>-0.24953495361029854</v>
      </c>
      <c r="L765" s="372"/>
      <c r="M765" s="54"/>
    </row>
    <row r="766" spans="3:28">
      <c r="C766" s="49"/>
      <c r="D766" s="33" t="str">
        <f>IF(Indice_index!$Z$1=1,"outubro","October")</f>
        <v>October</v>
      </c>
      <c r="E766" s="33">
        <f>+F740</f>
        <v>2020.076577461429</v>
      </c>
      <c r="F766" s="33">
        <v>1986.4984378199999</v>
      </c>
      <c r="G766" s="33">
        <f>+H740</f>
        <v>2733.5781328430003</v>
      </c>
      <c r="H766" s="33">
        <v>2121.5369638957627</v>
      </c>
      <c r="I766" s="33">
        <f t="shared" si="158"/>
        <v>-135.03852607576277</v>
      </c>
      <c r="J766" s="223">
        <f t="shared" si="159"/>
        <v>-1.6622211264696572E-2</v>
      </c>
      <c r="K766" s="223">
        <f t="shared" si="160"/>
        <v>-0.22389744840060491</v>
      </c>
      <c r="L766" s="372"/>
      <c r="M766" s="54"/>
    </row>
    <row r="767" spans="3:28">
      <c r="C767" s="49"/>
      <c r="D767" s="33" t="str">
        <f>IF(Indice_index!$Z$1=1,"novembro","November")</f>
        <v>November</v>
      </c>
      <c r="E767" s="331">
        <v>2062.20404186</v>
      </c>
      <c r="F767" s="33">
        <v>2152.7763783829996</v>
      </c>
      <c r="G767" s="33">
        <v>2360.4135830099999</v>
      </c>
      <c r="H767" s="33">
        <v>2293.9735200457631</v>
      </c>
      <c r="I767" s="33">
        <f t="shared" si="158"/>
        <v>-141.19714166276344</v>
      </c>
      <c r="J767" s="223">
        <f t="shared" si="159"/>
        <v>4.3920162449739043E-2</v>
      </c>
      <c r="K767" s="223">
        <f t="shared" si="160"/>
        <v>-2.814763626275717E-2</v>
      </c>
      <c r="L767" s="372"/>
      <c r="M767" s="54"/>
    </row>
    <row r="768" spans="3:28">
      <c r="C768" s="49"/>
      <c r="D768" s="33" t="str">
        <f>IF(Indice_index!$Z$1=1,"dezembro","December")</f>
        <v>December</v>
      </c>
      <c r="E768" s="331">
        <v>2319.4852664649998</v>
      </c>
      <c r="F768" s="33">
        <v>2456.0435232230002</v>
      </c>
      <c r="G768" s="33">
        <v>2738.9812138450002</v>
      </c>
      <c r="H768" s="33">
        <v>2649.5399954147624</v>
      </c>
      <c r="I768" s="33">
        <f t="shared" si="158"/>
        <v>-193.49647219176222</v>
      </c>
      <c r="J768" s="223">
        <f t="shared" si="159"/>
        <v>5.8874379903314226E-2</v>
      </c>
      <c r="K768" s="223">
        <f t="shared" si="160"/>
        <v>-3.2654922194475217E-2</v>
      </c>
      <c r="L768" s="372"/>
      <c r="M768" s="54"/>
    </row>
    <row r="769" spans="3:28">
      <c r="C769" s="32"/>
      <c r="D769" s="32"/>
      <c r="E769" s="12"/>
      <c r="F769" s="12"/>
      <c r="G769" s="12"/>
      <c r="H769" s="12"/>
      <c r="I769" s="12"/>
      <c r="J769" s="52"/>
      <c r="K769" s="52"/>
      <c r="L769" s="372"/>
      <c r="M769" s="54"/>
    </row>
    <row r="770" spans="3:28">
      <c r="C770" s="20" t="s">
        <v>97</v>
      </c>
      <c r="D770" s="33" t="str">
        <f>IF(Indice_index!$Z$1=1,"janeiro","January")</f>
        <v>January</v>
      </c>
      <c r="E770" s="33">
        <v>201.7</v>
      </c>
      <c r="F770" s="33">
        <v>174.4</v>
      </c>
      <c r="G770" s="33">
        <v>169</v>
      </c>
      <c r="H770" s="33">
        <v>147.80000000000001</v>
      </c>
      <c r="I770" s="33">
        <f t="shared" si="158"/>
        <v>26.599999999999994</v>
      </c>
      <c r="J770" s="223">
        <f>IF(E770=0,"",(F770-E770)/E770)</f>
        <v>-0.13534952900347041</v>
      </c>
      <c r="K770" s="223">
        <f>IF(G770=0,"",(H770-G770)/G770)</f>
        <v>-0.12544378698224845</v>
      </c>
      <c r="L770" s="372"/>
      <c r="M770" s="54"/>
    </row>
    <row r="771" spans="3:28">
      <c r="C771" s="49"/>
      <c r="D771" s="32" t="str">
        <f>IF(Indice_index!$Z$1=1,"fevereiro","February")</f>
        <v>February</v>
      </c>
      <c r="E771" s="33">
        <v>333.43215461</v>
      </c>
      <c r="F771" s="32">
        <v>345.04842360999999</v>
      </c>
      <c r="G771" s="33">
        <v>376.8035631942422</v>
      </c>
      <c r="H771" s="32">
        <v>357.78533023</v>
      </c>
      <c r="I771" s="33">
        <f t="shared" si="158"/>
        <v>-12.736906620000013</v>
      </c>
      <c r="J771" s="34">
        <f t="shared" ref="J771:J778" si="161">IF(E771=0,"",(F771-E771)/E771)</f>
        <v>3.4838478651187658E-2</v>
      </c>
      <c r="K771" s="34">
        <f t="shared" ref="K771:K778" si="162">IF(G771=0,"",(H771-G771)/G771)</f>
        <v>-5.047254012945282E-2</v>
      </c>
      <c r="L771" s="372"/>
      <c r="M771" s="54"/>
    </row>
    <row r="772" spans="3:28">
      <c r="C772" s="49"/>
      <c r="D772" s="33" t="str">
        <f>IF(Indice_index!$Z$1=1,"março","March")</f>
        <v>March</v>
      </c>
      <c r="E772" s="33">
        <v>477.26876906000001</v>
      </c>
      <c r="F772" s="32">
        <v>486.26183832000004</v>
      </c>
      <c r="G772" s="33">
        <v>547.56103191</v>
      </c>
      <c r="H772" s="32">
        <v>511.45425555999998</v>
      </c>
      <c r="I772" s="33">
        <f t="shared" si="158"/>
        <v>-25.192417239999941</v>
      </c>
      <c r="J772" s="34">
        <f t="shared" si="161"/>
        <v>1.8842777577322393E-2</v>
      </c>
      <c r="K772" s="223">
        <f t="shared" si="162"/>
        <v>-6.5941099248886498E-2</v>
      </c>
      <c r="L772" s="372"/>
      <c r="M772" s="54"/>
    </row>
    <row r="773" spans="3:28">
      <c r="C773" s="49"/>
      <c r="D773" s="33" t="str">
        <f>IF(Indice_index!$Z$1=1,"abril","April")</f>
        <v>April</v>
      </c>
      <c r="E773" s="33">
        <v>711.92032659999995</v>
      </c>
      <c r="F773" s="33">
        <v>780.36983370000007</v>
      </c>
      <c r="G773" s="33">
        <v>754.90530286299997</v>
      </c>
      <c r="H773" s="33">
        <v>750.4460840170002</v>
      </c>
      <c r="I773" s="33">
        <f t="shared" si="158"/>
        <v>29.923749682999869</v>
      </c>
      <c r="J773" s="223">
        <f t="shared" si="161"/>
        <v>9.6147707183614678E-2</v>
      </c>
      <c r="K773" s="223">
        <f t="shared" si="162"/>
        <v>-5.906991021374544E-3</v>
      </c>
      <c r="L773" s="372"/>
      <c r="M773" s="54"/>
    </row>
    <row r="774" spans="3:28">
      <c r="C774" s="49"/>
      <c r="D774" s="33" t="str">
        <f>IF(Indice_index!$Z$1=1,"maio","May")</f>
        <v>May</v>
      </c>
      <c r="E774" s="33">
        <v>842.81756242999995</v>
      </c>
      <c r="F774" s="33">
        <v>928.88113422000015</v>
      </c>
      <c r="G774" s="33">
        <v>922.68003921616264</v>
      </c>
      <c r="H774" s="33">
        <v>945.22834218000003</v>
      </c>
      <c r="I774" s="33">
        <f t="shared" si="158"/>
        <v>-16.347207959999878</v>
      </c>
      <c r="J774" s="223">
        <f t="shared" ref="J774:J775" si="163">IF(E774=0,"",(F774-E774)/E774)</f>
        <v>0.10211411772419988</v>
      </c>
      <c r="K774" s="223">
        <f t="shared" ref="K774:K775" si="164">IF(G774=0,"",(H774-G774)/G774)</f>
        <v>2.4437835441842522E-2</v>
      </c>
      <c r="L774" s="372"/>
      <c r="M774" s="54"/>
    </row>
    <row r="775" spans="3:28">
      <c r="C775" s="49"/>
      <c r="D775" s="33" t="str">
        <f>IF(Indice_index!$Z$1=1,"junho","June")</f>
        <v>June</v>
      </c>
      <c r="E775" s="33">
        <v>1025.3113234799998</v>
      </c>
      <c r="F775" s="33">
        <v>1149.625049645</v>
      </c>
      <c r="G775" s="33">
        <v>1157.4606089057627</v>
      </c>
      <c r="H775" s="33">
        <v>1188.3307627810002</v>
      </c>
      <c r="I775" s="33">
        <f t="shared" si="158"/>
        <v>-38.705713136000213</v>
      </c>
      <c r="J775" s="223">
        <f t="shared" si="163"/>
        <v>0.12124485833538644</v>
      </c>
      <c r="K775" s="223">
        <f t="shared" si="164"/>
        <v>2.6670587005480449E-2</v>
      </c>
      <c r="L775" s="372"/>
      <c r="M775" s="54"/>
    </row>
    <row r="776" spans="3:28" s="24" customFormat="1">
      <c r="C776" s="49"/>
      <c r="D776" s="33" t="str">
        <f>IF(Indice_index!$Z$1=1,"julho","July")</f>
        <v>July</v>
      </c>
      <c r="E776" s="33">
        <v>1301.5006470933333</v>
      </c>
      <c r="F776" s="33">
        <v>1420.1029165100001</v>
      </c>
      <c r="G776" s="33">
        <v>1406.4336341674293</v>
      </c>
      <c r="H776" s="33">
        <v>1422.3001176400001</v>
      </c>
      <c r="I776" s="33">
        <f t="shared" si="158"/>
        <v>-2.1972011299999394</v>
      </c>
      <c r="J776" s="223">
        <f t="shared" ref="J776" si="165">IF(E776=0,"",(F776-E776)/E776)</f>
        <v>9.1127322665219987E-2</v>
      </c>
      <c r="K776" s="223">
        <f t="shared" ref="K776" si="166">IF(G776=0,"",(H776-G776)/G776)</f>
        <v>1.1281359523205135E-2</v>
      </c>
      <c r="L776" s="372"/>
      <c r="M776" s="54"/>
      <c r="Z776" s="42"/>
      <c r="AA776" s="42"/>
      <c r="AB776" s="42"/>
    </row>
    <row r="777" spans="3:28" s="24" customFormat="1">
      <c r="C777" s="49"/>
      <c r="D777" s="33" t="str">
        <f>IF(Indice_index!$Z$1=1,"agosto","August")</f>
        <v>August</v>
      </c>
      <c r="E777" s="33">
        <v>1501.59141572</v>
      </c>
      <c r="F777" s="33">
        <v>1651.1688251099999</v>
      </c>
      <c r="G777" s="33">
        <v>1679.8971836467626</v>
      </c>
      <c r="H777" s="33">
        <v>1620.8323163709999</v>
      </c>
      <c r="I777" s="33">
        <f t="shared" si="158"/>
        <v>30.33650873900001</v>
      </c>
      <c r="J777" s="223">
        <f t="shared" ref="J777" si="167">IF(E777=0,"",(F777-E777)/E777)</f>
        <v>9.9612589566036441E-2</v>
      </c>
      <c r="K777" s="223">
        <f t="shared" ref="K777" si="168">IF(G777=0,"",(H777-G777)/G777)</f>
        <v>-3.5159810880534499E-2</v>
      </c>
      <c r="L777" s="372"/>
      <c r="M777" s="54"/>
      <c r="Z777" s="42"/>
      <c r="AA777" s="42"/>
      <c r="AB777" s="42"/>
    </row>
    <row r="778" spans="3:28">
      <c r="C778" s="49"/>
      <c r="D778" s="33" t="str">
        <f>IF(Indice_index!$Z$1=1,"setembro","September")</f>
        <v>September</v>
      </c>
      <c r="E778" s="33">
        <v>1662.6947605750001</v>
      </c>
      <c r="F778" s="33">
        <v>1827.2509430699999</v>
      </c>
      <c r="G778" s="33">
        <v>1849.2947170357627</v>
      </c>
      <c r="H778" s="33">
        <v>1803.4417744259999</v>
      </c>
      <c r="I778" s="33">
        <f t="shared" si="158"/>
        <v>23.80916864400001</v>
      </c>
      <c r="J778" s="223">
        <f t="shared" si="161"/>
        <v>9.8969568195483026E-2</v>
      </c>
      <c r="K778" s="223">
        <f t="shared" si="162"/>
        <v>-2.4794827015598951E-2</v>
      </c>
      <c r="L778" s="372"/>
      <c r="M778" s="54"/>
    </row>
    <row r="779" spans="3:28">
      <c r="C779" s="49"/>
      <c r="D779" s="33" t="str">
        <f>IF(Indice_index!$Z$1=1,"outubro","October")</f>
        <v>October</v>
      </c>
      <c r="E779" s="33">
        <v>1986.4984378199999</v>
      </c>
      <c r="F779" s="33">
        <v>2108.1346266099999</v>
      </c>
      <c r="G779" s="33">
        <v>2121.5369638957627</v>
      </c>
      <c r="H779" s="33">
        <v>2061.3107374159999</v>
      </c>
      <c r="I779" s="33">
        <f t="shared" si="158"/>
        <v>46.823889194000003</v>
      </c>
      <c r="J779" s="223">
        <f t="shared" ref="J779:J780" si="169">IF(E779=0,"",(F779-E779)/E779)</f>
        <v>6.1231454540424696E-2</v>
      </c>
      <c r="K779" s="223">
        <f t="shared" ref="K779:K780" si="170">IF(G779=0,"",(H779-G779)/G779)</f>
        <v>-2.8388016567559491E-2</v>
      </c>
      <c r="L779" s="372"/>
      <c r="M779" s="54"/>
    </row>
    <row r="780" spans="3:28">
      <c r="C780" s="49"/>
      <c r="D780" s="33" t="str">
        <f>IF(Indice_index!$Z$1=1,"novembro","November")</f>
        <v>November</v>
      </c>
      <c r="E780" s="331">
        <v>2152.7763783829996</v>
      </c>
      <c r="F780" s="331">
        <v>2274.04087153</v>
      </c>
      <c r="G780" s="331">
        <v>2293.9735200457631</v>
      </c>
      <c r="H780" s="331">
        <v>2239.1762241160095</v>
      </c>
      <c r="I780" s="33">
        <f t="shared" si="158"/>
        <v>34.864647413990497</v>
      </c>
      <c r="J780" s="223">
        <f t="shared" si="169"/>
        <v>5.6329349562115216E-2</v>
      </c>
      <c r="K780" s="223">
        <f t="shared" si="170"/>
        <v>-2.3887501512511088E-2</v>
      </c>
      <c r="L780" s="372"/>
      <c r="M780" s="54"/>
    </row>
    <row r="781" spans="3:28">
      <c r="C781" s="49"/>
      <c r="D781" s="33" t="str">
        <f>IF(Indice_index!$Z$1=1,"dezembro","December")</f>
        <v>December</v>
      </c>
      <c r="E781" s="331">
        <v>2456.4970068730004</v>
      </c>
      <c r="F781" s="33">
        <v>2567.0216820699998</v>
      </c>
      <c r="G781" s="33">
        <v>2649.4207289047627</v>
      </c>
      <c r="H781" s="33">
        <v>2597.6682206020105</v>
      </c>
      <c r="I781" s="33">
        <f t="shared" si="158"/>
        <v>-30.646538532010709</v>
      </c>
      <c r="J781" s="223">
        <f t="shared" ref="J781" si="171">IF(E781=0,"",(F781-E781)/E781)</f>
        <v>4.4992798642849503E-2</v>
      </c>
      <c r="K781" s="223">
        <f t="shared" ref="K781" si="172">IF(G781=0,"",(H781-G781)/G781)</f>
        <v>-1.9533518303884494E-2</v>
      </c>
      <c r="L781" s="372"/>
      <c r="M781" s="54"/>
    </row>
    <row r="782" spans="3:28">
      <c r="C782" s="49"/>
      <c r="D782" s="33"/>
      <c r="E782" s="331"/>
      <c r="F782" s="33"/>
      <c r="G782" s="33"/>
      <c r="H782" s="33"/>
      <c r="I782" s="33"/>
      <c r="J782" s="223"/>
      <c r="K782" s="223"/>
      <c r="L782" s="372"/>
      <c r="M782" s="54"/>
    </row>
    <row r="783" spans="3:28">
      <c r="C783" s="49" t="s">
        <v>114</v>
      </c>
      <c r="D783" s="33" t="s">
        <v>113</v>
      </c>
      <c r="E783" s="331">
        <v>174.4</v>
      </c>
      <c r="F783" s="33">
        <v>235.99482118</v>
      </c>
      <c r="G783" s="33">
        <v>147.80000000000001</v>
      </c>
      <c r="H783" s="33">
        <v>165.90904788000003</v>
      </c>
      <c r="I783" s="33">
        <f t="shared" si="158"/>
        <v>70.085773299999971</v>
      </c>
      <c r="J783" s="223">
        <f t="shared" ref="J783:J794" si="173">IF(E783=0,"",(F783-E783)/E783)</f>
        <v>0.35318131410550457</v>
      </c>
      <c r="K783" s="223">
        <f t="shared" ref="K783:K794" si="174">IF(G783=0,"",(H783-G783)/G783)</f>
        <v>0.12252400460081203</v>
      </c>
      <c r="L783" s="372"/>
      <c r="M783" s="54"/>
    </row>
    <row r="784" spans="3:28" s="35" customFormat="1" ht="15.75" customHeight="1">
      <c r="C784" s="71"/>
      <c r="D784" s="71" t="str">
        <f>IF(Indice_index!$Z$1=1,"fevereiro","February")</f>
        <v>February</v>
      </c>
      <c r="E784" s="71">
        <v>345.04842360999999</v>
      </c>
      <c r="F784" s="71">
        <v>373.71839596999996</v>
      </c>
      <c r="G784" s="71">
        <v>357.78533023</v>
      </c>
      <c r="H784" s="71">
        <v>384.62275077100003</v>
      </c>
      <c r="I784" s="33">
        <f t="shared" si="158"/>
        <v>-10.904354801000068</v>
      </c>
      <c r="J784" s="223">
        <f t="shared" si="173"/>
        <v>8.3089706830264967E-2</v>
      </c>
      <c r="K784" s="223">
        <f t="shared" si="174"/>
        <v>7.5009840464246441E-2</v>
      </c>
      <c r="L784" s="372"/>
      <c r="M784" s="54"/>
      <c r="O784" s="257"/>
      <c r="P784" s="258"/>
      <c r="Q784" s="257"/>
      <c r="Z784" s="2"/>
      <c r="AA784" s="2"/>
      <c r="AB784" s="2"/>
    </row>
    <row r="785" spans="3:28" s="35" customFormat="1" ht="15.75" customHeight="1">
      <c r="C785" s="71"/>
      <c r="D785" s="71" t="str">
        <f>IF(Indice_index!$Z$1=1,"março","March")</f>
        <v>March</v>
      </c>
      <c r="E785" s="71">
        <v>486.26183832000004</v>
      </c>
      <c r="F785" s="71">
        <v>532.73922825</v>
      </c>
      <c r="G785" s="71">
        <v>511.45425555999998</v>
      </c>
      <c r="H785" s="71">
        <v>587.27541666000002</v>
      </c>
      <c r="I785" s="33">
        <f t="shared" si="158"/>
        <v>-54.536188410000022</v>
      </c>
      <c r="J785" s="223">
        <f t="shared" si="173"/>
        <v>9.5580994162684091E-2</v>
      </c>
      <c r="K785" s="223">
        <f t="shared" si="174"/>
        <v>0.14824622197537912</v>
      </c>
      <c r="L785" s="372"/>
      <c r="M785" s="54"/>
      <c r="O785" s="257"/>
      <c r="P785" s="257"/>
      <c r="Q785" s="257"/>
      <c r="Z785" s="2"/>
      <c r="AA785" s="2"/>
      <c r="AB785" s="2"/>
    </row>
    <row r="786" spans="3:28" s="35" customFormat="1" ht="15.75" customHeight="1">
      <c r="C786" s="71"/>
      <c r="D786" s="71" t="str">
        <f>IF(Indice_index!$Z$1=1,"abril","April")</f>
        <v>April</v>
      </c>
      <c r="E786" s="71">
        <v>780.36983370000007</v>
      </c>
      <c r="F786" s="71">
        <v>793.16748026000005</v>
      </c>
      <c r="G786" s="71">
        <v>750.44608401699998</v>
      </c>
      <c r="H786" s="71">
        <v>837.01232522299995</v>
      </c>
      <c r="I786" s="33">
        <f t="shared" si="158"/>
        <v>-43.8448449629999</v>
      </c>
      <c r="J786" s="223">
        <f t="shared" si="173"/>
        <v>1.6399463443277862E-2</v>
      </c>
      <c r="K786" s="223">
        <f t="shared" si="174"/>
        <v>0.11535304540817481</v>
      </c>
      <c r="L786" s="372"/>
      <c r="M786" s="54"/>
      <c r="N786"/>
      <c r="O786"/>
      <c r="P786"/>
      <c r="Q786"/>
      <c r="Z786" s="2"/>
      <c r="AA786" s="2"/>
      <c r="AB786" s="2"/>
    </row>
    <row r="787" spans="3:28" s="35" customFormat="1" ht="15.75" customHeight="1">
      <c r="C787" s="71"/>
      <c r="D787" s="71" t="str">
        <f>IF(Indice_index!$Z$1=1,"maio","May")</f>
        <v>May</v>
      </c>
      <c r="E787" s="71">
        <v>928.88113422000015</v>
      </c>
      <c r="F787" s="71">
        <v>949.13091982999993</v>
      </c>
      <c r="G787" s="71">
        <v>945.22834218000003</v>
      </c>
      <c r="H787" s="71">
        <v>1027.36364482</v>
      </c>
      <c r="I787" s="33">
        <f t="shared" si="158"/>
        <v>-78.232724990000065</v>
      </c>
      <c r="J787" s="223">
        <f t="shared" si="173"/>
        <v>2.1800190426952661E-2</v>
      </c>
      <c r="K787" s="223">
        <f t="shared" si="174"/>
        <v>8.6894667642497453E-2</v>
      </c>
      <c r="L787" s="372"/>
      <c r="M787" s="54"/>
      <c r="N787"/>
      <c r="O787"/>
      <c r="P787"/>
      <c r="Q787"/>
      <c r="Z787" s="2"/>
      <c r="AA787" s="2"/>
      <c r="AB787" s="2"/>
    </row>
    <row r="788" spans="3:28" s="35" customFormat="1" ht="15.75" customHeight="1">
      <c r="C788" s="71"/>
      <c r="D788" s="28" t="str">
        <f>IF(Indice_index!$Z$1=1,"junho","June")</f>
        <v>June</v>
      </c>
      <c r="E788" s="28">
        <v>1149.625049645</v>
      </c>
      <c r="F788" s="28">
        <v>1156.4613058650002</v>
      </c>
      <c r="G788" s="28">
        <v>1188.3307627810002</v>
      </c>
      <c r="H788" s="28">
        <v>1280.0086821709997</v>
      </c>
      <c r="I788" s="33">
        <f t="shared" si="158"/>
        <v>-123.54737630599948</v>
      </c>
      <c r="J788" s="223">
        <f t="shared" si="173"/>
        <v>5.9465094485469279E-3</v>
      </c>
      <c r="K788" s="223">
        <f t="shared" si="174"/>
        <v>7.7148486146609158E-2</v>
      </c>
      <c r="L788" s="372"/>
      <c r="M788" s="54"/>
      <c r="N788"/>
      <c r="O788"/>
      <c r="P788"/>
      <c r="Q788"/>
      <c r="Z788" s="2"/>
      <c r="AA788" s="2"/>
      <c r="AB788" s="2"/>
    </row>
    <row r="789" spans="3:28" s="35" customFormat="1" ht="15.75" customHeight="1">
      <c r="C789" s="71"/>
      <c r="D789" s="33" t="str">
        <f>IF(Indice_index!$Z$1=1,"julho","July")</f>
        <v>July</v>
      </c>
      <c r="E789" s="33">
        <v>1420.1029165100001</v>
      </c>
      <c r="F789" s="33">
        <v>1403.17492584</v>
      </c>
      <c r="G789" s="33">
        <v>1422.3001176400001</v>
      </c>
      <c r="H789" s="33">
        <v>1519.9570778480004</v>
      </c>
      <c r="I789" s="33">
        <f t="shared" si="158"/>
        <v>-116.78215200800037</v>
      </c>
      <c r="J789" s="223">
        <f t="shared" si="173"/>
        <v>-1.192025625269596E-2</v>
      </c>
      <c r="K789" s="223">
        <f t="shared" si="174"/>
        <v>6.8661289552616342E-2</v>
      </c>
      <c r="L789" s="372"/>
      <c r="M789" s="54"/>
      <c r="N789"/>
      <c r="O789"/>
      <c r="P789"/>
      <c r="Q789"/>
      <c r="Z789" s="2"/>
      <c r="AA789" s="2"/>
      <c r="AB789" s="2"/>
    </row>
    <row r="790" spans="3:28" s="35" customFormat="1" ht="15.75" customHeight="1">
      <c r="C790" s="71"/>
      <c r="D790" s="33" t="str">
        <f>IF(Indice_index!$Z$1=1,"agosto","August")</f>
        <v>August</v>
      </c>
      <c r="E790" s="33">
        <v>1651.1688251099999</v>
      </c>
      <c r="F790" s="33">
        <v>1568.0863731100001</v>
      </c>
      <c r="G790" s="33">
        <v>1620.8323163709999</v>
      </c>
      <c r="H790" s="33">
        <v>1719.066488125</v>
      </c>
      <c r="I790" s="33">
        <f t="shared" si="158"/>
        <v>-150.98011501499991</v>
      </c>
      <c r="J790" s="223">
        <f t="shared" si="173"/>
        <v>-5.0317357460079815E-2</v>
      </c>
      <c r="K790" s="223">
        <f t="shared" si="174"/>
        <v>6.060723910906695E-2</v>
      </c>
      <c r="L790" s="372"/>
      <c r="M790" s="54"/>
      <c r="N790"/>
      <c r="O790"/>
      <c r="P790"/>
      <c r="Q790"/>
      <c r="Z790" s="2"/>
      <c r="AA790" s="2"/>
      <c r="AB790" s="2"/>
    </row>
    <row r="791" spans="3:28" s="35" customFormat="1" ht="15.75" customHeight="1">
      <c r="C791" s="33"/>
      <c r="D791" s="33" t="str">
        <f>IF(Indice_index!$Z$1=1,"setembro","September")</f>
        <v>September</v>
      </c>
      <c r="E791" s="33">
        <v>1827.2509430699999</v>
      </c>
      <c r="F791" s="33">
        <v>1743.1178487699997</v>
      </c>
      <c r="G791" s="33">
        <v>1803.4417744259999</v>
      </c>
      <c r="H791" s="33">
        <v>1888.5046620300004</v>
      </c>
      <c r="I791" s="33">
        <f t="shared" si="158"/>
        <v>-145.38681326000074</v>
      </c>
      <c r="J791" s="223">
        <f t="shared" si="173"/>
        <v>-4.6043535847707165E-2</v>
      </c>
      <c r="K791" s="223">
        <f t="shared" si="174"/>
        <v>4.7166971958977899E-2</v>
      </c>
      <c r="L791" s="372"/>
      <c r="M791" s="54"/>
      <c r="N791"/>
      <c r="O791"/>
      <c r="P791"/>
      <c r="Q791"/>
      <c r="Z791" s="2"/>
      <c r="AA791" s="2"/>
      <c r="AB791" s="2"/>
    </row>
    <row r="792" spans="3:28" ht="15.75" customHeight="1">
      <c r="C792" s="33"/>
      <c r="D792" s="33" t="str">
        <f>IF(Indice_index!$Z$1=1,"outubro","October")</f>
        <v>October</v>
      </c>
      <c r="E792" s="33">
        <v>2108.1346266099999</v>
      </c>
      <c r="F792" s="33">
        <v>2038.8575143300004</v>
      </c>
      <c r="G792" s="33">
        <v>2061.3107374159999</v>
      </c>
      <c r="H792" s="33">
        <v>2126.6745399289998</v>
      </c>
      <c r="I792" s="33">
        <f t="shared" si="158"/>
        <v>-87.817025598999408</v>
      </c>
      <c r="J792" s="223">
        <f t="shared" si="173"/>
        <v>-3.2861806549518639E-2</v>
      </c>
      <c r="K792" s="223">
        <f t="shared" si="174"/>
        <v>3.1709824883044115E-2</v>
      </c>
      <c r="L792" s="372"/>
      <c r="M792" s="54"/>
      <c r="N792"/>
      <c r="O792"/>
      <c r="P792"/>
      <c r="Q792"/>
    </row>
    <row r="793" spans="3:28" s="24" customFormat="1" ht="15.75" customHeight="1">
      <c r="C793" s="33"/>
      <c r="D793" s="33" t="str">
        <f>IF(Indice_index!$Z$1=1,"novembro","November")</f>
        <v>November</v>
      </c>
      <c r="E793" s="33">
        <v>2274.04087153</v>
      </c>
      <c r="F793" s="33">
        <v>2195.7991227500002</v>
      </c>
      <c r="G793" s="33">
        <v>2239.1762241160095</v>
      </c>
      <c r="H793" s="33">
        <v>2316.2302524215556</v>
      </c>
      <c r="I793" s="33">
        <f t="shared" si="158"/>
        <v>-120.43112967155548</v>
      </c>
      <c r="J793" s="223">
        <f t="shared" si="173"/>
        <v>-3.4406483084606095E-2</v>
      </c>
      <c r="K793" s="223">
        <f t="shared" si="174"/>
        <v>3.4411774953517028E-2</v>
      </c>
      <c r="L793" s="372"/>
      <c r="M793" s="54"/>
      <c r="N793" s="221"/>
      <c r="O793" s="221"/>
      <c r="P793" s="221"/>
      <c r="Q793" s="221"/>
      <c r="Z793" s="42"/>
      <c r="AA793" s="42"/>
      <c r="AB793" s="42"/>
    </row>
    <row r="794" spans="3:28" s="24" customFormat="1" ht="15.75" customHeight="1">
      <c r="C794" s="33"/>
      <c r="D794" s="33" t="str">
        <f>IF(Indice_index!$Z$1=1,"dezembro","December")</f>
        <v>December</v>
      </c>
      <c r="E794" s="33">
        <v>2567.61046463</v>
      </c>
      <c r="F794" s="33">
        <v>2455.65556608</v>
      </c>
      <c r="G794" s="33">
        <v>2594.8005563020101</v>
      </c>
      <c r="H794" s="33">
        <v>2637.1341933969998</v>
      </c>
      <c r="I794" s="33">
        <f t="shared" si="158"/>
        <v>-181.47862731699979</v>
      </c>
      <c r="J794" s="223">
        <f t="shared" si="173"/>
        <v>-4.3602758320325306E-2</v>
      </c>
      <c r="K794" s="223">
        <f t="shared" si="174"/>
        <v>1.6314794211128723E-2</v>
      </c>
      <c r="L794" s="372"/>
      <c r="M794" s="54"/>
      <c r="N794" s="221"/>
      <c r="O794" s="221"/>
      <c r="P794" s="221"/>
      <c r="Q794" s="221"/>
      <c r="Z794" s="42"/>
      <c r="AA794" s="42"/>
      <c r="AB794" s="42"/>
    </row>
    <row r="795" spans="3:28" s="24" customFormat="1" ht="15.75" customHeight="1">
      <c r="C795" s="33"/>
      <c r="D795" s="33"/>
      <c r="E795" s="33"/>
      <c r="F795" s="33"/>
      <c r="G795" s="33"/>
      <c r="H795" s="33"/>
      <c r="I795" s="33"/>
      <c r="J795" s="206"/>
      <c r="K795" s="206"/>
      <c r="L795" s="372"/>
      <c r="M795" s="54"/>
      <c r="N795" s="221"/>
      <c r="O795" s="221"/>
      <c r="P795" s="221"/>
      <c r="Q795" s="221"/>
      <c r="Z795" s="42"/>
      <c r="AA795" s="42"/>
      <c r="AB795" s="42"/>
    </row>
    <row r="796" spans="3:28" s="71" customFormat="1" ht="15.75" customHeight="1">
      <c r="C796" s="20" t="s">
        <v>126</v>
      </c>
      <c r="D796" s="71" t="str">
        <f>IF(Indice_index!$Z$1=1,"janeiro","January")</f>
        <v>January</v>
      </c>
      <c r="E796" s="71">
        <v>235.99482118</v>
      </c>
      <c r="F796" s="71">
        <v>253.41002372</v>
      </c>
      <c r="G796" s="71">
        <v>165.90904788000003</v>
      </c>
      <c r="H796" s="71">
        <v>163.75863802999999</v>
      </c>
      <c r="I796" s="33">
        <f t="shared" si="158"/>
        <v>89.651385690000012</v>
      </c>
      <c r="J796" s="223">
        <f t="shared" ref="J796:J807" si="175">IF(E796=0,"",(F796-E796)/E796)</f>
        <v>7.3794850467150383E-2</v>
      </c>
      <c r="K796" s="223">
        <f t="shared" ref="K796:K807" si="176">IF(G796=0,"",(H796-G796)/G796)</f>
        <v>-1.2961377799934155E-2</v>
      </c>
      <c r="L796" s="372"/>
      <c r="M796" s="54"/>
      <c r="O796" s="368"/>
      <c r="P796" s="368"/>
      <c r="Q796" s="366"/>
      <c r="Z796" s="42"/>
      <c r="AA796" s="42"/>
      <c r="AB796" s="42"/>
    </row>
    <row r="797" spans="3:28" s="71" customFormat="1" ht="15.75" customHeight="1">
      <c r="D797" s="71" t="str">
        <f>IF(Indice_index!$Z$1=1,"fevereiro","February")</f>
        <v>February</v>
      </c>
      <c r="E797" s="71">
        <v>373.71839596999996</v>
      </c>
      <c r="F797" s="71">
        <v>405.72288436000002</v>
      </c>
      <c r="G797" s="71">
        <v>384.62275077100003</v>
      </c>
      <c r="H797" s="71">
        <v>343.49791963000007</v>
      </c>
      <c r="I797" s="33">
        <f t="shared" si="158"/>
        <v>62.224964729999954</v>
      </c>
      <c r="J797" s="223">
        <f t="shared" si="175"/>
        <v>8.5637979652918139E-2</v>
      </c>
      <c r="K797" s="223">
        <f t="shared" si="176"/>
        <v>-0.10692251318613551</v>
      </c>
      <c r="L797" s="372"/>
      <c r="M797" s="54"/>
      <c r="O797" s="368"/>
      <c r="P797" s="369"/>
      <c r="Q797" s="368"/>
      <c r="Z797" s="42"/>
      <c r="AA797" s="42"/>
      <c r="AB797" s="42"/>
    </row>
    <row r="798" spans="3:28" s="71" customFormat="1" ht="15.75" customHeight="1">
      <c r="D798" s="71" t="str">
        <f>IF(Indice_index!$Z$1=1,"março","March")</f>
        <v>March</v>
      </c>
      <c r="E798" s="71">
        <v>532.73922825</v>
      </c>
      <c r="F798" s="71">
        <v>553.11217054999997</v>
      </c>
      <c r="G798" s="71">
        <v>587.27541666000002</v>
      </c>
      <c r="H798" s="71">
        <v>537.07433602000003</v>
      </c>
      <c r="I798" s="33">
        <f t="shared" si="158"/>
        <v>16.037834529999941</v>
      </c>
      <c r="J798" s="223">
        <f t="shared" si="175"/>
        <v>3.8241866225851705E-2</v>
      </c>
      <c r="K798" s="223">
        <f t="shared" si="176"/>
        <v>-8.5481324802437003E-2</v>
      </c>
      <c r="L798" s="372"/>
      <c r="M798" s="54"/>
      <c r="O798" s="368"/>
      <c r="P798" s="368"/>
      <c r="Q798" s="368"/>
      <c r="Z798" s="42"/>
      <c r="AA798" s="42"/>
      <c r="AB798" s="42"/>
    </row>
    <row r="799" spans="3:28" s="71" customFormat="1" ht="15.75" customHeight="1">
      <c r="D799" s="71" t="str">
        <f>IF(Indice_index!$Z$1=1,"abril","April")</f>
        <v>April</v>
      </c>
      <c r="E799" s="71">
        <v>793.16748026000005</v>
      </c>
      <c r="F799" s="71">
        <v>822.1811596</v>
      </c>
      <c r="G799" s="71">
        <v>837.01232522299995</v>
      </c>
      <c r="H799" s="71">
        <v>785.71449327765004</v>
      </c>
      <c r="I799" s="33">
        <f t="shared" si="158"/>
        <v>36.466666322349965</v>
      </c>
      <c r="J799" s="223">
        <f t="shared" si="175"/>
        <v>3.6579511972035565E-2</v>
      </c>
      <c r="K799" s="223">
        <f t="shared" si="176"/>
        <v>-6.1286829834534338E-2</v>
      </c>
      <c r="L799" s="372"/>
      <c r="M799" s="54"/>
      <c r="N799" s="221"/>
      <c r="O799" s="221"/>
      <c r="P799" s="221"/>
      <c r="Q799" s="221"/>
      <c r="Z799" s="42"/>
      <c r="AA799" s="42"/>
      <c r="AB799" s="42"/>
    </row>
    <row r="800" spans="3:28" s="71" customFormat="1" ht="15.75" customHeight="1">
      <c r="D800" s="71" t="str">
        <f>IF(Indice_index!$Z$1=1,"maio","May")</f>
        <v>May</v>
      </c>
      <c r="E800" s="71">
        <v>949.13091982999993</v>
      </c>
      <c r="F800" s="71">
        <v>965.80201824800019</v>
      </c>
      <c r="G800" s="71">
        <v>1027.36364482</v>
      </c>
      <c r="H800" s="71">
        <v>996.74333620000016</v>
      </c>
      <c r="I800" s="33">
        <f t="shared" si="158"/>
        <v>-30.941317951999963</v>
      </c>
      <c r="J800" s="223">
        <f t="shared" si="175"/>
        <v>1.756459311323063E-2</v>
      </c>
      <c r="K800" s="223">
        <f t="shared" si="176"/>
        <v>-2.9804742239408995E-2</v>
      </c>
      <c r="L800" s="372"/>
      <c r="M800" s="54"/>
      <c r="N800" s="221"/>
      <c r="O800" s="221"/>
      <c r="P800" s="221"/>
      <c r="Q800" s="221"/>
      <c r="Z800" s="42"/>
      <c r="AA800" s="42"/>
      <c r="AB800" s="42"/>
    </row>
    <row r="801" spans="3:28" s="71" customFormat="1" ht="15.75" customHeight="1">
      <c r="D801" s="28" t="str">
        <f>IF(Indice_index!$Z$1=1,"junho","June")</f>
        <v>June</v>
      </c>
      <c r="E801" s="28">
        <v>1156.4613058650002</v>
      </c>
      <c r="F801" s="28">
        <v>1114.0207220899999</v>
      </c>
      <c r="G801" s="28">
        <v>1280.0086821709997</v>
      </c>
      <c r="H801" s="28">
        <v>1233.189916308</v>
      </c>
      <c r="I801" s="33">
        <f t="shared" si="158"/>
        <v>-119.16919421800003</v>
      </c>
      <c r="J801" s="223">
        <f t="shared" si="175"/>
        <v>-3.6698663033309126E-2</v>
      </c>
      <c r="K801" s="223">
        <f t="shared" si="176"/>
        <v>-3.657691273124121E-2</v>
      </c>
      <c r="L801" s="372"/>
      <c r="M801" s="54"/>
      <c r="N801" s="221"/>
      <c r="O801" s="221"/>
      <c r="P801" s="221"/>
      <c r="Q801" s="221"/>
      <c r="Z801" s="42"/>
      <c r="AA801" s="42"/>
      <c r="AB801" s="42"/>
    </row>
    <row r="802" spans="3:28" s="71" customFormat="1" ht="15.75" customHeight="1">
      <c r="D802" s="33" t="str">
        <f>IF(Indice_index!$Z$1=1,"julho","July")</f>
        <v>July</v>
      </c>
      <c r="E802" s="33">
        <v>1403.17492584</v>
      </c>
      <c r="F802" s="33">
        <v>1430.3625473100003</v>
      </c>
      <c r="G802" s="33">
        <v>1519.9570778480004</v>
      </c>
      <c r="H802" s="33">
        <v>1486.1015741429999</v>
      </c>
      <c r="I802" s="33">
        <f t="shared" si="158"/>
        <v>-55.739026832999571</v>
      </c>
      <c r="J802" s="223">
        <f t="shared" si="175"/>
        <v>1.9375789126024064E-2</v>
      </c>
      <c r="K802" s="223">
        <f t="shared" si="176"/>
        <v>-2.2273986679238411E-2</v>
      </c>
      <c r="L802" s="372"/>
      <c r="M802" s="54"/>
      <c r="N802" s="221"/>
      <c r="O802" s="221"/>
      <c r="P802" s="221"/>
      <c r="Q802" s="221"/>
      <c r="Z802" s="42"/>
      <c r="AA802" s="42"/>
      <c r="AB802" s="42"/>
    </row>
    <row r="803" spans="3:28" s="71" customFormat="1" ht="15.75" customHeight="1">
      <c r="D803" s="33" t="str">
        <f>IF(Indice_index!$Z$1=1,"agosto","August")</f>
        <v>August</v>
      </c>
      <c r="E803" s="33">
        <v>1568.0863731100001</v>
      </c>
      <c r="F803" s="33">
        <v>1642.81307457</v>
      </c>
      <c r="G803" s="33">
        <v>1719.066488125</v>
      </c>
      <c r="H803" s="33">
        <v>1685.2707779290001</v>
      </c>
      <c r="I803" s="33">
        <f t="shared" si="158"/>
        <v>-42.457703359000107</v>
      </c>
      <c r="J803" s="223">
        <f t="shared" si="175"/>
        <v>4.7654710060258863E-2</v>
      </c>
      <c r="K803" s="223">
        <f t="shared" si="176"/>
        <v>-1.9659338617473199E-2</v>
      </c>
      <c r="L803" s="372"/>
      <c r="M803" s="54"/>
      <c r="N803" s="221"/>
      <c r="O803" s="221"/>
      <c r="P803" s="221"/>
      <c r="Q803" s="221"/>
      <c r="Z803" s="42"/>
      <c r="AA803" s="42"/>
      <c r="AB803" s="42"/>
    </row>
    <row r="804" spans="3:28" s="71" customFormat="1" ht="15.75" customHeight="1">
      <c r="C804" s="33"/>
      <c r="D804" s="33" t="str">
        <f>IF(Indice_index!$Z$1=1,"setembro","September")</f>
        <v>September</v>
      </c>
      <c r="E804" s="33">
        <v>1743.1178487699997</v>
      </c>
      <c r="F804" s="33">
        <v>1820.6172399100003</v>
      </c>
      <c r="G804" s="33">
        <v>1888.5046620300004</v>
      </c>
      <c r="H804" s="33">
        <v>1860.535504443</v>
      </c>
      <c r="I804" s="33">
        <f t="shared" si="158"/>
        <v>-39.918264532999729</v>
      </c>
      <c r="J804" s="223">
        <f t="shared" si="175"/>
        <v>4.4460213171867123E-2</v>
      </c>
      <c r="K804" s="223">
        <f t="shared" si="176"/>
        <v>-1.4810213683526544E-2</v>
      </c>
      <c r="L804" s="372"/>
      <c r="M804" s="54"/>
      <c r="N804" s="221"/>
      <c r="O804" s="221"/>
      <c r="P804" s="221"/>
      <c r="Q804" s="221"/>
      <c r="Z804" s="42"/>
      <c r="AA804" s="42"/>
      <c r="AB804" s="42"/>
    </row>
    <row r="805" spans="3:28" s="24" customFormat="1" ht="15.75" customHeight="1">
      <c r="C805" s="33"/>
      <c r="D805" s="33" t="str">
        <f>IF(Indice_index!$Z$1=1,"outubro","October")</f>
        <v>October</v>
      </c>
      <c r="E805" s="33">
        <v>2038.8575143300004</v>
      </c>
      <c r="F805" s="33">
        <v>2134.2362456120004</v>
      </c>
      <c r="G805" s="33">
        <v>2126.6745399289998</v>
      </c>
      <c r="H805" s="33">
        <v>2100.2577307620004</v>
      </c>
      <c r="I805" s="33">
        <f t="shared" si="158"/>
        <v>33.97851485000001</v>
      </c>
      <c r="J805" s="223">
        <f t="shared" si="175"/>
        <v>4.6780479073027764E-2</v>
      </c>
      <c r="K805" s="223">
        <f t="shared" si="176"/>
        <v>-1.2421651113517994E-2</v>
      </c>
      <c r="L805" s="372"/>
      <c r="M805" s="54"/>
      <c r="N805" s="370"/>
      <c r="O805" s="370"/>
      <c r="P805" s="221"/>
      <c r="Q805" s="221"/>
      <c r="Z805" s="42"/>
      <c r="AA805" s="42"/>
      <c r="AB805" s="42"/>
    </row>
    <row r="806" spans="3:28" s="24" customFormat="1" ht="15.75" customHeight="1">
      <c r="C806" s="33"/>
      <c r="D806" s="33" t="str">
        <f>IF(Indice_index!$Z$1=1,"novembro","November")</f>
        <v>November</v>
      </c>
      <c r="E806" s="33">
        <v>2195.7991227500002</v>
      </c>
      <c r="F806" s="33">
        <v>2307.6825382100001</v>
      </c>
      <c r="G806" s="33">
        <v>2316.2302524215556</v>
      </c>
      <c r="H806" s="33">
        <v>2342.5052415190003</v>
      </c>
      <c r="I806" s="33">
        <f t="shared" si="158"/>
        <v>-34.82270330900019</v>
      </c>
      <c r="J806" s="223">
        <f t="shared" si="175"/>
        <v>5.0953392913227001E-2</v>
      </c>
      <c r="K806" s="223">
        <f t="shared" si="176"/>
        <v>1.1343858871532676E-2</v>
      </c>
      <c r="L806" s="372"/>
      <c r="M806" s="54"/>
      <c r="N806" s="221"/>
      <c r="O806" s="221"/>
      <c r="P806" s="221"/>
      <c r="Q806" s="221"/>
      <c r="Z806" s="42"/>
      <c r="AA806" s="42"/>
      <c r="AB806" s="42"/>
    </row>
    <row r="807" spans="3:28" s="24" customFormat="1" ht="15.75" customHeight="1">
      <c r="C807" s="33"/>
      <c r="D807" s="33" t="str">
        <f>IF(Indice_index!$Z$1=1,"dezembro","December")</f>
        <v>December</v>
      </c>
      <c r="E807" s="33">
        <v>2455.6472260800001</v>
      </c>
      <c r="F807" s="33">
        <v>2640.5562582800003</v>
      </c>
      <c r="G807" s="33">
        <v>2637.1258533970008</v>
      </c>
      <c r="H807" s="33">
        <v>2672.8017581030003</v>
      </c>
      <c r="I807" s="33">
        <f t="shared" si="158"/>
        <v>-32.245499823000046</v>
      </c>
      <c r="J807" s="223">
        <f t="shared" si="175"/>
        <v>7.5299509732582495E-2</v>
      </c>
      <c r="K807" s="223">
        <f t="shared" si="176"/>
        <v>1.3528328448960366E-2</v>
      </c>
      <c r="L807" s="372"/>
      <c r="M807" s="54"/>
      <c r="N807" s="221"/>
      <c r="O807" s="221"/>
      <c r="P807" s="221"/>
      <c r="Q807" s="221"/>
      <c r="Z807" s="42"/>
      <c r="AA807" s="42"/>
      <c r="AB807" s="42"/>
    </row>
    <row r="808" spans="3:28" s="24" customFormat="1" ht="15.75" customHeight="1">
      <c r="C808" s="33"/>
      <c r="D808" s="33"/>
      <c r="E808" s="33"/>
      <c r="F808" s="33"/>
      <c r="G808" s="33"/>
      <c r="H808" s="33"/>
      <c r="I808" s="33"/>
      <c r="J808" s="206"/>
      <c r="K808" s="206"/>
      <c r="L808" s="221"/>
      <c r="M808" s="221"/>
      <c r="N808" s="221"/>
      <c r="O808" s="221"/>
      <c r="P808" s="221"/>
      <c r="Q808" s="221"/>
      <c r="Z808" s="42"/>
      <c r="AA808" s="42"/>
      <c r="AB808" s="42"/>
    </row>
    <row r="809" spans="3:28" s="35" customFormat="1" ht="15.75" customHeight="1">
      <c r="C809" s="20" t="s">
        <v>127</v>
      </c>
      <c r="D809" s="71" t="str">
        <f>IF(Indice_index!$Z$1=1,"janeiro","January")</f>
        <v>January</v>
      </c>
      <c r="E809" s="71">
        <v>253.41002372</v>
      </c>
      <c r="F809" s="71">
        <v>240.52974170899998</v>
      </c>
      <c r="G809" s="71">
        <v>163.75863802999999</v>
      </c>
      <c r="H809" s="71">
        <v>140.87112861100002</v>
      </c>
      <c r="I809" s="33">
        <f t="shared" ref="I809:I810" si="177">IF(F809=0,"",+F809-H809)</f>
        <v>99.658613097999961</v>
      </c>
      <c r="J809" s="223">
        <f t="shared" ref="J809:J810" si="178">IF(E809=0,"",(F809-E809)/E809)</f>
        <v>-5.0827831598452528E-2</v>
      </c>
      <c r="K809" s="223">
        <f t="shared" ref="K809:K810" si="179">IF(G809=0,"",(H809-G809)/G809)</f>
        <v>-0.13976367716741184</v>
      </c>
      <c r="L809" s="223"/>
      <c r="M809" s="223"/>
      <c r="O809" s="257"/>
      <c r="P809" s="257"/>
      <c r="Q809" s="256"/>
      <c r="Z809" s="2"/>
      <c r="AA809" s="2"/>
      <c r="AB809" s="2"/>
    </row>
    <row r="810" spans="3:28" s="35" customFormat="1" ht="15.75" customHeight="1">
      <c r="C810" s="71"/>
      <c r="D810" s="71" t="str">
        <f>IF(Indice_index!$Z$1=1,"fevereiro","February")</f>
        <v>February</v>
      </c>
      <c r="E810" s="71">
        <v>405.72288436000002</v>
      </c>
      <c r="F810" s="71">
        <v>392.47680673899998</v>
      </c>
      <c r="G810" s="71">
        <v>343.49791963000007</v>
      </c>
      <c r="H810" s="71">
        <v>350.26903057099992</v>
      </c>
      <c r="I810" s="33">
        <f t="shared" si="177"/>
        <v>42.207776168000066</v>
      </c>
      <c r="J810" s="223">
        <f t="shared" si="178"/>
        <v>-3.2648090930081052E-2</v>
      </c>
      <c r="K810" s="223">
        <f t="shared" si="179"/>
        <v>1.9712232750327491E-2</v>
      </c>
      <c r="L810" s="223"/>
      <c r="M810" s="223"/>
      <c r="O810" s="257"/>
      <c r="P810" s="258"/>
      <c r="Q810" s="257"/>
      <c r="Z810" s="2"/>
      <c r="AA810" s="2"/>
      <c r="AB810" s="2"/>
    </row>
    <row r="811" spans="3:28" s="35" customFormat="1" ht="15.75" customHeight="1">
      <c r="C811" s="71"/>
      <c r="D811" s="71" t="str">
        <f>IF(Indice_index!$Z$1=1,"março","March")</f>
        <v>March</v>
      </c>
      <c r="E811" s="71">
        <v>553.11217054999997</v>
      </c>
      <c r="F811" s="71">
        <v>551.18401901999994</v>
      </c>
      <c r="G811" s="71">
        <v>537.07433602000003</v>
      </c>
      <c r="H811" s="71">
        <v>537.77632086199981</v>
      </c>
      <c r="I811" s="33">
        <f t="shared" si="158"/>
        <v>13.40769815800013</v>
      </c>
      <c r="J811" s="223">
        <f t="shared" ref="J811:J820" si="180">IF(E811=0,"",(F811-E811)/E811)</f>
        <v>-3.4860045261393075E-3</v>
      </c>
      <c r="K811" s="223">
        <f t="shared" ref="K811:K820" si="181">IF(G811=0,"",(H811-G811)/G811)</f>
        <v>1.3070534094066881E-3</v>
      </c>
      <c r="L811" s="223"/>
      <c r="M811" s="223"/>
      <c r="O811" s="257"/>
      <c r="P811" s="257"/>
      <c r="Q811" s="257"/>
      <c r="Z811" s="2"/>
      <c r="AA811" s="2"/>
      <c r="AB811" s="2"/>
    </row>
    <row r="812" spans="3:28" s="35" customFormat="1" ht="15.75" customHeight="1">
      <c r="C812" s="71"/>
      <c r="D812" s="71" t="str">
        <f>IF(Indice_index!$Z$1=1,"abril","April")</f>
        <v>April</v>
      </c>
      <c r="E812" s="71">
        <v>822.1811596</v>
      </c>
      <c r="F812" s="71">
        <v>821.48049854999988</v>
      </c>
      <c r="G812" s="71">
        <v>785.71449327765004</v>
      </c>
      <c r="H812" s="71">
        <v>797.81742617999987</v>
      </c>
      <c r="I812" s="33">
        <v>23.663072370000123</v>
      </c>
      <c r="J812" s="223">
        <v>-8.5219789071912168E-4</v>
      </c>
      <c r="K812" s="223">
        <v>1.540372871558192E-2</v>
      </c>
      <c r="L812" s="223"/>
      <c r="M812" s="223"/>
      <c r="N812"/>
      <c r="O812"/>
      <c r="P812"/>
      <c r="Q812"/>
      <c r="Z812" s="2"/>
      <c r="AA812" s="2"/>
      <c r="AB812" s="2"/>
    </row>
    <row r="813" spans="3:28" s="35" customFormat="1" ht="15.75" customHeight="1">
      <c r="C813" s="71"/>
      <c r="D813" s="71" t="str">
        <f>IF(Indice_index!$Z$1=1,"maio","May")</f>
        <v>May</v>
      </c>
      <c r="E813" s="71">
        <v>965.80201824800019</v>
      </c>
      <c r="F813" s="71">
        <v>970.04645941000012</v>
      </c>
      <c r="G813" s="71">
        <v>996.74333620000016</v>
      </c>
      <c r="H813" s="71">
        <v>1012.7848486939999</v>
      </c>
      <c r="I813" s="33">
        <v>-42.738389283999709</v>
      </c>
      <c r="J813" s="223">
        <v>4.3947321312286132E-3</v>
      </c>
      <c r="K813" s="223">
        <v>1.6093924996937226E-2</v>
      </c>
      <c r="L813" s="223"/>
      <c r="M813" s="223"/>
      <c r="N813"/>
      <c r="O813"/>
      <c r="P813"/>
      <c r="Q813"/>
      <c r="Z813" s="2"/>
      <c r="AA813" s="2"/>
      <c r="AB813" s="2"/>
    </row>
    <row r="814" spans="3:28" s="35" customFormat="1" ht="15.75" customHeight="1">
      <c r="C814" s="71"/>
      <c r="D814" s="28" t="str">
        <f>IF(Indice_index!$Z$1=1,"junho","June")</f>
        <v>June</v>
      </c>
      <c r="E814" s="28"/>
      <c r="F814" s="28"/>
      <c r="G814" s="28"/>
      <c r="H814" s="28"/>
      <c r="I814" s="33" t="str">
        <f t="shared" si="158"/>
        <v/>
      </c>
      <c r="J814" s="223" t="str">
        <f t="shared" si="180"/>
        <v/>
      </c>
      <c r="K814" s="223" t="str">
        <f t="shared" si="181"/>
        <v/>
      </c>
      <c r="L814" s="223"/>
      <c r="M814" s="223"/>
      <c r="N814"/>
      <c r="O814"/>
      <c r="P814"/>
      <c r="Q814"/>
      <c r="Z814" s="2"/>
      <c r="AA814" s="2"/>
      <c r="AB814" s="2"/>
    </row>
    <row r="815" spans="3:28" s="35" customFormat="1" ht="15.75" customHeight="1">
      <c r="C815" s="71"/>
      <c r="D815" s="33" t="str">
        <f>IF(Indice_index!$Z$1=1,"julho","July")</f>
        <v>July</v>
      </c>
      <c r="E815" s="33"/>
      <c r="F815" s="33"/>
      <c r="G815" s="33"/>
      <c r="H815" s="33"/>
      <c r="I815" s="33" t="str">
        <f t="shared" si="158"/>
        <v/>
      </c>
      <c r="J815" s="223" t="str">
        <f t="shared" si="180"/>
        <v/>
      </c>
      <c r="K815" s="223" t="str">
        <f t="shared" si="181"/>
        <v/>
      </c>
      <c r="L815" s="223"/>
      <c r="M815" s="223"/>
      <c r="N815"/>
      <c r="O815"/>
      <c r="P815"/>
      <c r="Q815"/>
      <c r="Z815" s="2"/>
      <c r="AA815" s="2"/>
      <c r="AB815" s="2"/>
    </row>
    <row r="816" spans="3:28" s="35" customFormat="1" ht="15.75" customHeight="1">
      <c r="C816" s="71"/>
      <c r="D816" s="33" t="str">
        <f>IF(Indice_index!$Z$1=1,"agosto","August")</f>
        <v>August</v>
      </c>
      <c r="E816" s="33"/>
      <c r="F816" s="33"/>
      <c r="G816" s="33"/>
      <c r="H816" s="33"/>
      <c r="I816" s="33" t="str">
        <f t="shared" si="158"/>
        <v/>
      </c>
      <c r="J816" s="223" t="str">
        <f t="shared" si="180"/>
        <v/>
      </c>
      <c r="K816" s="223" t="str">
        <f t="shared" si="181"/>
        <v/>
      </c>
      <c r="L816" s="223"/>
      <c r="M816" s="223"/>
      <c r="N816"/>
      <c r="O816"/>
      <c r="P816"/>
      <c r="Q816"/>
      <c r="Z816" s="2"/>
      <c r="AA816" s="2"/>
      <c r="AB816" s="2"/>
    </row>
    <row r="817" spans="3:28" s="35" customFormat="1" ht="15.75" customHeight="1">
      <c r="C817" s="33"/>
      <c r="D817" s="33" t="str">
        <f>IF(Indice_index!$Z$1=1,"setembro","September")</f>
        <v>September</v>
      </c>
      <c r="E817" s="33"/>
      <c r="F817" s="33"/>
      <c r="G817" s="33"/>
      <c r="H817" s="33"/>
      <c r="I817" s="33" t="str">
        <f t="shared" si="158"/>
        <v/>
      </c>
      <c r="J817" s="223" t="str">
        <f t="shared" si="180"/>
        <v/>
      </c>
      <c r="K817" s="223" t="str">
        <f t="shared" si="181"/>
        <v/>
      </c>
      <c r="L817" s="223"/>
      <c r="M817" s="223"/>
      <c r="N817"/>
      <c r="O817"/>
      <c r="P817"/>
      <c r="Q817"/>
      <c r="Z817" s="2"/>
      <c r="AA817" s="2"/>
      <c r="AB817" s="2"/>
    </row>
    <row r="818" spans="3:28" ht="15.75" customHeight="1">
      <c r="C818" s="33"/>
      <c r="D818" s="33" t="str">
        <f>IF(Indice_index!$Z$1=1,"outubro","October")</f>
        <v>October</v>
      </c>
      <c r="E818" s="33"/>
      <c r="F818" s="33"/>
      <c r="G818" s="33"/>
      <c r="H818" s="33"/>
      <c r="I818" s="33" t="str">
        <f t="shared" si="158"/>
        <v/>
      </c>
      <c r="J818" s="223" t="str">
        <f t="shared" si="180"/>
        <v/>
      </c>
      <c r="K818" s="223" t="str">
        <f t="shared" si="181"/>
        <v/>
      </c>
      <c r="L818" s="223"/>
      <c r="M818" s="223"/>
      <c r="N818" s="358"/>
      <c r="O818" s="358"/>
      <c r="P818"/>
      <c r="Q818"/>
    </row>
    <row r="819" spans="3:28" s="24" customFormat="1" ht="15.75" customHeight="1">
      <c r="C819" s="33"/>
      <c r="D819" s="33" t="str">
        <f>IF(Indice_index!$Z$1=1,"novembro","November")</f>
        <v>November</v>
      </c>
      <c r="E819" s="33"/>
      <c r="F819" s="33"/>
      <c r="G819" s="33"/>
      <c r="H819" s="33"/>
      <c r="I819" s="33" t="str">
        <f t="shared" si="158"/>
        <v/>
      </c>
      <c r="J819" s="223" t="str">
        <f t="shared" si="180"/>
        <v/>
      </c>
      <c r="K819" s="223" t="str">
        <f t="shared" si="181"/>
        <v/>
      </c>
      <c r="L819" s="223"/>
      <c r="M819" s="223"/>
      <c r="N819" s="221"/>
      <c r="O819" s="221"/>
      <c r="P819" s="221"/>
      <c r="Q819" s="221"/>
      <c r="Z819" s="42"/>
      <c r="AA819" s="42"/>
      <c r="AB819" s="42"/>
    </row>
    <row r="820" spans="3:28" s="24" customFormat="1" ht="15.75" customHeight="1">
      <c r="C820" s="85"/>
      <c r="D820" s="85" t="str">
        <f>IF(Indice_index!$Z$1=1,"dezembro","December")</f>
        <v>December</v>
      </c>
      <c r="E820" s="85"/>
      <c r="F820" s="85"/>
      <c r="G820" s="85"/>
      <c r="H820" s="85"/>
      <c r="I820" s="33" t="str">
        <f t="shared" si="158"/>
        <v/>
      </c>
      <c r="J820" s="223" t="str">
        <f t="shared" si="180"/>
        <v/>
      </c>
      <c r="K820" s="223" t="str">
        <f t="shared" si="181"/>
        <v/>
      </c>
      <c r="L820" s="223"/>
      <c r="M820" s="223"/>
      <c r="N820" s="221"/>
      <c r="O820" s="221"/>
      <c r="P820" s="221"/>
      <c r="Q820" s="221"/>
      <c r="Z820" s="42"/>
      <c r="AA820" s="42"/>
      <c r="AB820" s="42"/>
    </row>
    <row r="821" spans="3:28">
      <c r="C821" s="86"/>
      <c r="D821" s="87"/>
      <c r="E821" s="87"/>
      <c r="F821" s="87"/>
      <c r="G821" s="87"/>
      <c r="H821" s="87"/>
      <c r="I821" s="87"/>
      <c r="J821" s="88"/>
      <c r="K821" s="88"/>
    </row>
    <row r="827" spans="3:28">
      <c r="H827" s="208"/>
    </row>
  </sheetData>
  <mergeCells count="29">
    <mergeCell ref="N2:O2"/>
    <mergeCell ref="E7:F8"/>
    <mergeCell ref="G7:H8"/>
    <mergeCell ref="I7:I8"/>
    <mergeCell ref="J7:K7"/>
    <mergeCell ref="C4:K4"/>
    <mergeCell ref="C7:D8"/>
    <mergeCell ref="E562:F563"/>
    <mergeCell ref="G562:H563"/>
    <mergeCell ref="I562:I563"/>
    <mergeCell ref="J562:K562"/>
    <mergeCell ref="E687:F688"/>
    <mergeCell ref="G687:H688"/>
    <mergeCell ref="I687:I688"/>
    <mergeCell ref="J687:K687"/>
    <mergeCell ref="E156:F157"/>
    <mergeCell ref="G156:H157"/>
    <mergeCell ref="I156:I157"/>
    <mergeCell ref="J156:K156"/>
    <mergeCell ref="C558:K558"/>
    <mergeCell ref="I413:I414"/>
    <mergeCell ref="J413:K413"/>
    <mergeCell ref="E413:F414"/>
    <mergeCell ref="G413:H414"/>
    <mergeCell ref="I304:I305"/>
    <mergeCell ref="J304:K304"/>
    <mergeCell ref="C303:J303"/>
    <mergeCell ref="E304:F305"/>
    <mergeCell ref="G304:H305"/>
  </mergeCells>
  <printOptions horizontalCentered="1" verticalCentered="1"/>
  <pageMargins left="0" right="0" top="0" bottom="0" header="0" footer="0"/>
  <pageSetup paperSize="9" scale="90" fitToHeight="0" orientation="portrait" r:id="rId1"/>
  <headerFooter>
    <oddHeader>&amp;L&amp;G</oddHeader>
  </headerFooter>
  <ignoredErrors>
    <ignoredError sqref="C10:C60 C62 C159:K247 C251:C255 C75:K98 C100:K103 C249:H250 D251:H252 C822:D822 C158:E158 H158:K158 C152:K157 D253:D255 C99:E99 G99 I99:K99 C248:E248 G248 C256:D261 C104:D112 I104:K112 I248:K261 H822:K822 C114 C263 C683:K686 C821:K821 C513:D518 C365:D370 D744:K769 C775:D776 D774 D509:H509 D510:D512 C558:K558 D362:D364 D360:H361 C303 C359:H359 C690:K743 C415:E415 G415:K415 C306:E306 G306:K306 G564:K564 C301:K302 C687:K688 C360:C364 D481:K508 C689:E689 H689:K689 I359:K370 C416:K480 C564:E578 F565:K578 I509:K518 C304:K305 D303:K303 C413:K414 C410:K412 C562:K563 C559:K561 C744:C774 C481:C512 C307:K358 E774:H776 E362:H370 E510:H518 C519:K530 C371:K382 D289 D398 C579:K632 C782:K782 C383:E383 G383 I383:K383 C531:E531 G531 I531:K531 C794:E794 G794 C656:E656 G656 C813:D820 C672:D682 C290:D300 I289:K300 C399:D409 I546:K557 C127 C140 C276:C289 C385:C398 C546:D557 C533:C544 D671 C658:C671 D809 D810:D812 C810:C812 C796:C809 D770:H773 J770:K773 J774:K776 C777:H781 J777:K780 C783:H793 C644:K644 C634:H643 C633:H633 C646:H655 C645:H645 J633" numberStoredAsText="1"/>
    <ignoredError sqref="F158:G158 F306 F415 F564 F689:G689" numberStoredAsText="1" formula="1"/>
    <ignoredError sqref="F9:G9" formula="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Y72"/>
  <sheetViews>
    <sheetView showGridLines="0" zoomScale="90" zoomScaleNormal="90" workbookViewId="0">
      <selection activeCell="B2" sqref="B2"/>
    </sheetView>
  </sheetViews>
  <sheetFormatPr defaultRowHeight="12.75"/>
  <cols>
    <col min="1" max="1" width="4.28515625" style="104" customWidth="1"/>
    <col min="2" max="2" width="4.140625" style="104" customWidth="1"/>
    <col min="3" max="3" width="7.85546875" style="104" customWidth="1"/>
    <col min="4" max="4" width="9.7109375" style="104" bestFit="1" customWidth="1"/>
    <col min="5" max="5" width="14" style="104" customWidth="1"/>
    <col min="6" max="6" width="13.7109375" style="104" customWidth="1"/>
    <col min="7" max="7" width="14.28515625" style="104" customWidth="1"/>
    <col min="8" max="8" width="2" style="104" customWidth="1"/>
    <col min="9" max="9" width="19.5703125" style="104" customWidth="1"/>
    <col min="10" max="10" width="2" style="104" customWidth="1"/>
    <col min="11" max="12" width="13.140625" style="104" customWidth="1"/>
    <col min="13" max="13" width="14" style="104" bestFit="1" customWidth="1"/>
    <col min="14" max="14" width="13.28515625" style="104" customWidth="1"/>
    <col min="15" max="15" width="14.140625" style="104" bestFit="1" customWidth="1"/>
    <col min="16" max="17" width="13.28515625" style="104" customWidth="1"/>
    <col min="18" max="18" width="1.5703125" style="104" customWidth="1"/>
    <col min="19" max="19" width="4.28515625" style="104" customWidth="1"/>
    <col min="20" max="20" width="15" style="104" bestFit="1" customWidth="1"/>
    <col min="21" max="21" width="10.28515625" style="104" customWidth="1"/>
    <col min="22" max="22" width="25.42578125" style="104" customWidth="1"/>
    <col min="23" max="23" width="8.28515625" style="104" customWidth="1"/>
    <col min="24" max="24" width="13.5703125" style="104" customWidth="1"/>
    <col min="25" max="25" width="8.42578125" style="104" customWidth="1"/>
    <col min="26" max="16384" width="9.140625" style="104"/>
  </cols>
  <sheetData>
    <row r="2" spans="2:25" s="92" customFormat="1" ht="19.5" thickBot="1">
      <c r="B2" s="89"/>
      <c r="C2" s="121" t="str">
        <f>IF(Indice_index!$Z$1=1,"2 - Receita do subsetor Estado - Classificação Económica","2 - State subsector revenue - Economic Classification")</f>
        <v>2 - State subsector revenue - Economic Classification</v>
      </c>
      <c r="D2" s="90"/>
      <c r="E2" s="90"/>
      <c r="F2" s="90"/>
      <c r="G2" s="90"/>
      <c r="H2" s="90"/>
      <c r="I2" s="90"/>
      <c r="J2" s="90"/>
      <c r="K2" s="90"/>
      <c r="L2" s="90"/>
      <c r="M2" s="90"/>
      <c r="N2" s="90"/>
      <c r="O2" s="90"/>
      <c r="P2" s="90"/>
      <c r="Q2" s="90"/>
      <c r="R2" s="90"/>
      <c r="S2" s="91"/>
      <c r="T2" s="91"/>
      <c r="V2" s="94"/>
      <c r="W2" s="94"/>
      <c r="X2" s="94"/>
    </row>
    <row r="4" spans="2:25" s="96" customFormat="1">
      <c r="C4" s="97"/>
      <c r="D4" s="97"/>
      <c r="E4" s="114"/>
      <c r="F4" s="114"/>
      <c r="G4" s="114"/>
      <c r="H4" s="115"/>
      <c r="I4" s="114"/>
      <c r="J4" s="115"/>
      <c r="K4" s="116"/>
      <c r="L4" s="116"/>
      <c r="M4" s="114"/>
      <c r="N4" s="114"/>
      <c r="O4" s="114"/>
      <c r="P4" s="114"/>
      <c r="Q4" s="118"/>
      <c r="R4" s="119"/>
      <c r="S4" s="94"/>
      <c r="T4" s="120" t="str">
        <f>IF(Indice_index!$Z$1=1,"€ Milhões","€ Millions")</f>
        <v>€ Millions</v>
      </c>
      <c r="U4" s="94"/>
    </row>
    <row r="5" spans="2:25" s="96" customFormat="1" ht="15.75" customHeight="1">
      <c r="C5" s="195"/>
      <c r="D5" s="195"/>
      <c r="E5" s="396" t="str">
        <f>IF(Indice_index!$Z$1=1,"Receita Fiscal","Tax revenue")</f>
        <v>Tax revenue</v>
      </c>
      <c r="F5" s="396" t="s">
        <v>11</v>
      </c>
      <c r="G5" s="396" t="s">
        <v>11</v>
      </c>
      <c r="H5" s="341"/>
      <c r="I5" s="341" t="str">
        <f>IF(Indice_index!$Z$1=1,"Receita contributiva","Income tax")</f>
        <v>Income tax</v>
      </c>
      <c r="J5" s="341"/>
      <c r="K5" s="397" t="str">
        <f>IF(Indice_index!$Z$1=1,"Receita não fiscal e não contributiva","Non-tax revenue and non Income tax")</f>
        <v>Non-tax revenue and non Income tax</v>
      </c>
      <c r="L5" s="397" t="s">
        <v>12</v>
      </c>
      <c r="M5" s="397"/>
      <c r="N5" s="397"/>
      <c r="O5" s="397" t="s">
        <v>12</v>
      </c>
      <c r="P5" s="397" t="s">
        <v>12</v>
      </c>
      <c r="Q5" s="397" t="s">
        <v>12</v>
      </c>
      <c r="R5" s="342"/>
      <c r="S5" s="94"/>
      <c r="T5" s="201"/>
    </row>
    <row r="6" spans="2:25" s="102" customFormat="1" ht="69.599999999999994" customHeight="1">
      <c r="B6" s="99"/>
      <c r="C6" s="191"/>
      <c r="D6" s="191"/>
      <c r="E6" s="194" t="str">
        <f>IF(Indice_index!$Z$1=1,"Impostos diretos","Direct taxes")</f>
        <v>Direct taxes</v>
      </c>
      <c r="F6" s="194" t="str">
        <f>IF(Indice_index!$Z$1=1,"Impostos indiretos","Indirect taxes")</f>
        <v>Indirect taxes</v>
      </c>
      <c r="G6" s="194" t="str">
        <f>IF(Indice_index!$Z$1=1,"Total","Total")</f>
        <v>Total</v>
      </c>
      <c r="H6" s="202"/>
      <c r="I6" s="194" t="str">
        <f>IF(Indice_index!$Z$1=1,"Contribuições para Segurança Social, CGA e ADSE","Total")</f>
        <v>Total</v>
      </c>
      <c r="J6" s="202"/>
      <c r="K6" s="343" t="str">
        <f>IF(Indice_index!$Z$1=1,"Taxas, multas e outras penalidades","Taxes, fines and other penalties")</f>
        <v>Taxes, fines and other penalties</v>
      </c>
      <c r="L6" s="194" t="str">
        <f>IF(Indice_index!$Z$1=1,"Rendimentos da propriedade","Property incom")</f>
        <v>Property incom</v>
      </c>
      <c r="M6" s="194" t="str">
        <f>IF(Indice_index!$Z$1=1,"Transferências","Transfers")</f>
        <v>Transfers</v>
      </c>
      <c r="N6" s="194" t="str">
        <f>IF(Indice_index!$Z$1=1,"Venda de bens e serviços correntes","Sale of current goods and services")</f>
        <v>Sale of current goods and services</v>
      </c>
      <c r="O6" s="194" t="str">
        <f>IF(Indice_index!$Z$1=1,"Venda de bens de investimento","Sale of investment goods")</f>
        <v>Sale of investment goods</v>
      </c>
      <c r="P6" s="194" t="str">
        <f>IF(Indice_index!$Z$1=1,"Outras receitas","Other revenue")</f>
        <v>Other revenue</v>
      </c>
      <c r="Q6" s="194" t="str">
        <f>IF(Indice_index!$Z$1=1,"Total","Total")</f>
        <v>Total</v>
      </c>
      <c r="R6" s="192"/>
      <c r="S6" s="101"/>
      <c r="T6" s="194" t="str">
        <f>IF(Indice_index!$Z$1=1,"TOTAL","TOTAL")</f>
        <v>TOTAL</v>
      </c>
    </row>
    <row r="7" spans="2:25" s="102" customFormat="1" ht="16.149999999999999" customHeight="1">
      <c r="B7" s="99"/>
      <c r="C7" s="107"/>
      <c r="D7" s="105"/>
      <c r="E7" s="105"/>
      <c r="F7" s="105"/>
      <c r="G7" s="113"/>
      <c r="H7" s="113"/>
      <c r="I7" s="113"/>
      <c r="J7" s="113"/>
      <c r="K7" s="105"/>
      <c r="L7" s="105"/>
      <c r="M7" s="105"/>
      <c r="N7" s="105"/>
      <c r="O7" s="105"/>
      <c r="P7" s="105"/>
      <c r="Q7" s="113"/>
      <c r="R7" s="113"/>
      <c r="S7" s="101"/>
      <c r="T7" s="94"/>
    </row>
    <row r="8" spans="2:25" s="214" customFormat="1">
      <c r="C8" s="262" t="s">
        <v>3</v>
      </c>
      <c r="D8" s="105"/>
      <c r="E8" s="104">
        <v>13569.160479390001</v>
      </c>
      <c r="F8" s="104">
        <v>18720.550893309999</v>
      </c>
      <c r="G8" s="104">
        <f>IF(SUM(E8:F8)=0,"",SUM(E8:F8))</f>
        <v>32289.7113727</v>
      </c>
      <c r="H8" s="96"/>
      <c r="I8" s="104">
        <v>233.96459396</v>
      </c>
      <c r="J8" s="96"/>
      <c r="K8" s="96">
        <v>590.31116199999997</v>
      </c>
      <c r="L8" s="104">
        <v>473.48588932000001</v>
      </c>
      <c r="M8" s="104">
        <f>1009.44402512+93.69023757</f>
        <v>1103.13426269</v>
      </c>
      <c r="N8" s="104">
        <v>416.34134460000001</v>
      </c>
      <c r="O8" s="104">
        <v>169.43420065000001</v>
      </c>
      <c r="P8" s="104">
        <f>181.10169808+95.02679674+177.3463747+90.41818082+466.81824925</f>
        <v>1010.7112995900001</v>
      </c>
      <c r="Q8" s="104">
        <f>IF(SUM(K8:P8)=0,"",SUM(K8:P8))</f>
        <v>3763.4181588500005</v>
      </c>
      <c r="R8" s="96"/>
      <c r="S8" s="263"/>
      <c r="T8" s="96">
        <f t="shared" ref="T8:T13" si="0">IF(SUM(E8:F8,I8,K8:P8)=0,"",SUM(E8:F8,I8,K8:P8))</f>
        <v>36287.094125510004</v>
      </c>
      <c r="V8" s="112"/>
      <c r="W8" s="215"/>
      <c r="X8" s="344"/>
      <c r="Y8" s="345"/>
    </row>
    <row r="9" spans="2:25" s="214" customFormat="1" ht="12.75" customHeight="1">
      <c r="B9" s="215"/>
      <c r="C9" s="264" t="s">
        <v>4</v>
      </c>
      <c r="D9" s="96"/>
      <c r="E9" s="104">
        <v>15046.93110308</v>
      </c>
      <c r="F9" s="104">
        <v>19312.308809599999</v>
      </c>
      <c r="G9" s="104">
        <f t="shared" ref="G9:G13" si="1">IF(SUM(E9:F9)=0,"",SUM(E9:F9))</f>
        <v>34359.239912680001</v>
      </c>
      <c r="H9" s="96"/>
      <c r="I9" s="104">
        <v>464.79756140000001</v>
      </c>
      <c r="J9" s="96"/>
      <c r="K9" s="104">
        <v>698.56494678000001</v>
      </c>
      <c r="L9" s="104">
        <v>288.21166777000002</v>
      </c>
      <c r="M9" s="104">
        <f>1213.20617991+3319.21133054</f>
        <v>4532.41751045</v>
      </c>
      <c r="N9" s="104">
        <v>433.70063729999998</v>
      </c>
      <c r="O9" s="104">
        <v>17.36157017</v>
      </c>
      <c r="P9" s="104">
        <f>371.09619347+67.51436752+167.64781223+64.63407832+217.3552866</f>
        <v>888.24773814000002</v>
      </c>
      <c r="Q9" s="104">
        <f t="shared" ref="Q9:Q13" si="2">IF(SUM(K9:P9)=0,"",SUM(K9:P9))</f>
        <v>6858.5040706100008</v>
      </c>
      <c r="R9" s="96"/>
      <c r="S9" s="263"/>
      <c r="T9" s="105">
        <f t="shared" si="0"/>
        <v>41682.541544690008</v>
      </c>
      <c r="U9" s="216"/>
      <c r="V9" s="112"/>
      <c r="X9" s="346"/>
      <c r="Y9" s="345"/>
    </row>
    <row r="10" spans="2:25" s="214" customFormat="1">
      <c r="B10" s="215"/>
      <c r="C10" s="264" t="s">
        <v>5</v>
      </c>
      <c r="D10" s="109"/>
      <c r="E10" s="104">
        <v>13633.629683949999</v>
      </c>
      <c r="F10" s="104">
        <v>18407.019487310001</v>
      </c>
      <c r="G10" s="104">
        <f t="shared" si="1"/>
        <v>32040.64917126</v>
      </c>
      <c r="H10" s="110"/>
      <c r="I10" s="104">
        <v>433.08737688999997</v>
      </c>
      <c r="J10" s="110"/>
      <c r="K10" s="104">
        <v>736.40394875000004</v>
      </c>
      <c r="L10" s="104">
        <v>526.92198822</v>
      </c>
      <c r="M10" s="104">
        <f>858.90325432+2846.61135515</f>
        <v>3705.5146094699999</v>
      </c>
      <c r="N10" s="104">
        <v>449.72799700000002</v>
      </c>
      <c r="O10" s="104">
        <v>2.1655239399999999</v>
      </c>
      <c r="P10" s="104">
        <f>495.02699427+1085.81281623+155.4775637+74.42433569+168.32636531</f>
        <v>1979.0680751999998</v>
      </c>
      <c r="Q10" s="104">
        <f t="shared" si="2"/>
        <v>7399.8021425799998</v>
      </c>
      <c r="R10" s="108"/>
      <c r="S10" s="263"/>
      <c r="T10" s="112">
        <f t="shared" si="0"/>
        <v>39873.538690729998</v>
      </c>
      <c r="U10" s="216"/>
      <c r="V10" s="112"/>
      <c r="X10" s="346"/>
      <c r="Y10" s="345"/>
    </row>
    <row r="11" spans="2:25" s="217" customFormat="1" ht="12" customHeight="1">
      <c r="C11" s="264" t="s">
        <v>7</v>
      </c>
      <c r="D11" s="220"/>
      <c r="E11" s="220">
        <v>17415.085399380001</v>
      </c>
      <c r="F11" s="220">
        <v>18857.85990797</v>
      </c>
      <c r="G11" s="220">
        <f t="shared" si="1"/>
        <v>36272.945307350004</v>
      </c>
      <c r="H11" s="220"/>
      <c r="I11" s="220">
        <v>494.05018971999999</v>
      </c>
      <c r="J11" s="220"/>
      <c r="K11" s="220">
        <v>752.28645745999995</v>
      </c>
      <c r="L11" s="220">
        <v>1129.5104784600001</v>
      </c>
      <c r="M11" s="220">
        <f>886.69596166+72.35491131</f>
        <v>959.05087297</v>
      </c>
      <c r="N11" s="220">
        <v>399.75358010999997</v>
      </c>
      <c r="O11" s="220">
        <v>65.716017859999994</v>
      </c>
      <c r="P11" s="220">
        <f>414.62016811+452.31341071+143.78130729+53.54699015+100.16166093</f>
        <v>1164.4235371899999</v>
      </c>
      <c r="Q11" s="220">
        <f t="shared" si="2"/>
        <v>4470.7409440499996</v>
      </c>
      <c r="R11" s="220"/>
      <c r="S11" s="266"/>
      <c r="T11" s="220">
        <f t="shared" si="0"/>
        <v>41237.736441120011</v>
      </c>
      <c r="U11" s="221"/>
      <c r="V11" s="112"/>
      <c r="W11" s="214"/>
      <c r="X11" s="346"/>
      <c r="Y11" s="345"/>
    </row>
    <row r="12" spans="2:25" s="214" customFormat="1" ht="12" customHeight="1">
      <c r="B12" s="215"/>
      <c r="C12" s="267">
        <v>2014</v>
      </c>
      <c r="D12" s="109"/>
      <c r="E12" s="220">
        <v>17539.386207449999</v>
      </c>
      <c r="F12" s="220">
        <v>19581.047403749999</v>
      </c>
      <c r="G12" s="220">
        <f t="shared" si="1"/>
        <v>37120.433611200002</v>
      </c>
      <c r="H12" s="220"/>
      <c r="I12" s="220">
        <v>685.76036180000006</v>
      </c>
      <c r="J12" s="220"/>
      <c r="K12" s="220">
        <v>788.63120127000002</v>
      </c>
      <c r="L12" s="220">
        <v>692.46093579000001</v>
      </c>
      <c r="M12" s="220">
        <f>601.51587318+174.13321651</f>
        <v>775.64908968999998</v>
      </c>
      <c r="N12" s="220">
        <v>452.67049495999998</v>
      </c>
      <c r="O12" s="220">
        <v>44.673245289999997</v>
      </c>
      <c r="P12" s="220">
        <f>515.92192634+57.36245949+147.89180048+46.48758907+79.36016269</f>
        <v>847.0239380700001</v>
      </c>
      <c r="Q12" s="220">
        <f t="shared" si="2"/>
        <v>3601.1089050699998</v>
      </c>
      <c r="R12" s="220"/>
      <c r="S12" s="266"/>
      <c r="T12" s="220">
        <f t="shared" si="0"/>
        <v>41407.302878070004</v>
      </c>
      <c r="U12" s="216"/>
      <c r="V12" s="112"/>
      <c r="X12" s="346"/>
      <c r="Y12" s="345"/>
    </row>
    <row r="13" spans="2:25" s="214" customFormat="1" ht="12" customHeight="1">
      <c r="B13" s="215"/>
      <c r="C13" s="267">
        <v>2015</v>
      </c>
      <c r="D13" s="109"/>
      <c r="E13" s="220">
        <v>18245.816753219999</v>
      </c>
      <c r="F13" s="220">
        <v>20603.733824899999</v>
      </c>
      <c r="G13" s="220">
        <f t="shared" si="1"/>
        <v>38849.550578119997</v>
      </c>
      <c r="H13" s="220"/>
      <c r="I13" s="220">
        <v>611.62168888999997</v>
      </c>
      <c r="J13" s="220"/>
      <c r="K13" s="220">
        <v>907.97531357000003</v>
      </c>
      <c r="L13" s="220">
        <v>632.31657466000001</v>
      </c>
      <c r="M13" s="220">
        <f>713.82319064+90.88902581</f>
        <v>804.71221645000003</v>
      </c>
      <c r="N13" s="220">
        <v>476.93714252000001</v>
      </c>
      <c r="O13" s="220">
        <v>55.318272659999998</v>
      </c>
      <c r="P13" s="220">
        <f>359.30138338+43.41704775+158.16111243+125.3062756</f>
        <v>686.18581916000005</v>
      </c>
      <c r="Q13" s="220">
        <f t="shared" si="2"/>
        <v>3563.4453390200001</v>
      </c>
      <c r="R13" s="220"/>
      <c r="S13" s="266"/>
      <c r="T13" s="220">
        <f t="shared" si="0"/>
        <v>43024.617606029999</v>
      </c>
      <c r="U13" s="216"/>
      <c r="V13" s="112"/>
      <c r="X13" s="346"/>
      <c r="Y13" s="345"/>
    </row>
    <row r="14" spans="2:25" s="214" customFormat="1" ht="12" customHeight="1">
      <c r="B14" s="215"/>
      <c r="C14" s="267">
        <v>2016</v>
      </c>
      <c r="D14" s="109"/>
      <c r="E14" s="220">
        <v>17747.675911720002</v>
      </c>
      <c r="F14" s="220">
        <v>22495.503412279999</v>
      </c>
      <c r="G14" s="220">
        <f t="shared" ref="G14" si="3">IF(SUM(E14:F14)=0,"",SUM(E14:F14))</f>
        <v>40243.179323999997</v>
      </c>
      <c r="H14" s="220"/>
      <c r="I14" s="220">
        <v>633.25328179999997</v>
      </c>
      <c r="J14" s="220"/>
      <c r="K14" s="220">
        <v>852.77343652000002</v>
      </c>
      <c r="L14" s="220">
        <v>497.47774163000003</v>
      </c>
      <c r="M14" s="220">
        <v>1339.9242736900001</v>
      </c>
      <c r="N14" s="220">
        <v>493.32991378000003</v>
      </c>
      <c r="O14" s="220">
        <v>51.506194229999998</v>
      </c>
      <c r="P14" s="220">
        <v>816.91538704999994</v>
      </c>
      <c r="Q14" s="220">
        <f t="shared" ref="Q14" si="4">IF(SUM(K14:P14)=0,"",SUM(K14:P14))</f>
        <v>4051.9269469000001</v>
      </c>
      <c r="R14" s="220"/>
      <c r="S14" s="266"/>
      <c r="T14" s="220">
        <f t="shared" ref="T14:T15" si="5">IF(SUM(E14:F14,I14,K14:P14)=0,"",SUM(E14:F14,I14,K14:P14))</f>
        <v>44928.3595527</v>
      </c>
      <c r="U14" s="216"/>
      <c r="V14" s="112"/>
    </row>
    <row r="15" spans="2:25" s="214" customFormat="1" ht="12" customHeight="1">
      <c r="B15" s="215"/>
      <c r="C15" s="267">
        <v>2017</v>
      </c>
      <c r="D15" s="109"/>
      <c r="E15" s="253">
        <v>18334.654335179999</v>
      </c>
      <c r="F15" s="253">
        <v>23876.765963139998</v>
      </c>
      <c r="G15" s="253">
        <v>42211.420298319994</v>
      </c>
      <c r="H15" s="254"/>
      <c r="I15" s="253">
        <v>60.221525319999998</v>
      </c>
      <c r="J15" s="254"/>
      <c r="K15" s="253">
        <v>888.60122615</v>
      </c>
      <c r="L15" s="253">
        <v>558.36006013999997</v>
      </c>
      <c r="M15" s="253">
        <v>905.84618115000001</v>
      </c>
      <c r="N15" s="253">
        <v>498.44424469</v>
      </c>
      <c r="O15" s="253">
        <v>26.52782981</v>
      </c>
      <c r="P15" s="253">
        <v>677.60092959999997</v>
      </c>
      <c r="Q15" s="253">
        <v>3555.3804715400001</v>
      </c>
      <c r="R15" s="109"/>
      <c r="S15" s="265"/>
      <c r="T15" s="220">
        <f t="shared" si="5"/>
        <v>45827.022295179995</v>
      </c>
      <c r="U15" s="340"/>
      <c r="V15" s="219"/>
    </row>
    <row r="16" spans="2:25" s="214" customFormat="1" ht="12" customHeight="1">
      <c r="B16" s="215"/>
      <c r="C16" s="267">
        <v>2018</v>
      </c>
      <c r="D16" s="109"/>
      <c r="E16" s="253"/>
      <c r="F16" s="253"/>
      <c r="G16" s="253"/>
      <c r="H16" s="253"/>
      <c r="I16" s="253"/>
      <c r="J16" s="253"/>
      <c r="K16" s="253"/>
      <c r="L16" s="253"/>
      <c r="M16" s="253"/>
      <c r="N16" s="253"/>
      <c r="O16" s="253"/>
      <c r="P16" s="253"/>
      <c r="Q16" s="253"/>
      <c r="R16" s="253"/>
      <c r="S16" s="253"/>
      <c r="T16" s="253"/>
      <c r="U16" s="253"/>
      <c r="V16" s="253"/>
    </row>
    <row r="17" spans="2:25" s="214" customFormat="1" ht="12" customHeight="1">
      <c r="B17" s="215"/>
      <c r="C17" s="109"/>
      <c r="D17" s="109" t="str">
        <f>IF(Indice_index!$Z$1=1,"janeiro","January")</f>
        <v>January</v>
      </c>
      <c r="E17" s="112">
        <v>1258.45858679</v>
      </c>
      <c r="F17" s="112">
        <v>1670.80458114</v>
      </c>
      <c r="G17" s="220">
        <f t="shared" ref="G17:G41" si="6">IF(SUM(E17:F17)=0,"",SUM(E17:F17))</f>
        <v>2929.2631679300002</v>
      </c>
      <c r="H17" s="112"/>
      <c r="I17" s="112">
        <v>6.0599483799999998</v>
      </c>
      <c r="J17" s="112"/>
      <c r="K17" s="220">
        <v>77.049595060000001</v>
      </c>
      <c r="L17" s="220">
        <v>24.690465</v>
      </c>
      <c r="M17" s="220">
        <f>40.56687255+8.08129298</f>
        <v>48.64816553</v>
      </c>
      <c r="N17" s="220">
        <v>32.466020520000001</v>
      </c>
      <c r="O17" s="220">
        <v>2.7717599999999998E-3</v>
      </c>
      <c r="P17" s="220">
        <f>12.49025704+0.15162504+17.27352915+162.39060765</f>
        <v>192.30601888000001</v>
      </c>
      <c r="Q17" s="220">
        <f t="shared" ref="Q17:Q41" si="7">IF(SUM(K17:P17)=0,"",SUM(K17:P17))</f>
        <v>375.16303675</v>
      </c>
      <c r="R17" s="112"/>
      <c r="S17" s="265"/>
      <c r="T17" s="220">
        <f t="shared" ref="T17:T23" si="8">IF(SUM(E17:F17,I17,K17:P17)=0,"",SUM(E17:F17,I17,K17:P17))</f>
        <v>3310.4861530600006</v>
      </c>
      <c r="U17"/>
      <c r="V17" s="112"/>
      <c r="W17" s="215"/>
      <c r="X17" s="346"/>
      <c r="Y17" s="345"/>
    </row>
    <row r="18" spans="2:25" s="214" customFormat="1" ht="12" customHeight="1">
      <c r="B18" s="215"/>
      <c r="C18" s="109"/>
      <c r="D18" s="109" t="str">
        <f>IF(Indice_index!$Z$1=1,"fevereiro","February")</f>
        <v>February</v>
      </c>
      <c r="E18" s="112">
        <v>2365.3934899199999</v>
      </c>
      <c r="F18" s="112">
        <v>4391.7413179699997</v>
      </c>
      <c r="G18" s="220">
        <f t="shared" si="6"/>
        <v>6757.1348078899991</v>
      </c>
      <c r="H18" s="112"/>
      <c r="I18" s="112">
        <v>12.056979</v>
      </c>
      <c r="J18" s="112"/>
      <c r="K18" s="220">
        <v>148.52968623999999</v>
      </c>
      <c r="L18" s="220">
        <v>27.645725389999999</v>
      </c>
      <c r="M18" s="220">
        <f>117.91285444+9.80145992</f>
        <v>127.71431436</v>
      </c>
      <c r="N18" s="220">
        <v>67.025979840000005</v>
      </c>
      <c r="O18" s="220">
        <v>0.57043482000000001</v>
      </c>
      <c r="P18" s="220">
        <f>32.97505219+0.16828071+38.55122726+175.67993945</f>
        <v>247.37449960999999</v>
      </c>
      <c r="Q18" s="112">
        <f t="shared" si="7"/>
        <v>618.86064025999997</v>
      </c>
      <c r="R18" s="112"/>
      <c r="S18" s="265"/>
      <c r="T18" s="220">
        <f t="shared" si="8"/>
        <v>7388.0524271499989</v>
      </c>
      <c r="U18"/>
      <c r="V18" s="112"/>
      <c r="W18" s="215"/>
      <c r="X18" s="346"/>
      <c r="Y18" s="345"/>
    </row>
    <row r="19" spans="2:25" s="219" customFormat="1" ht="12" customHeight="1">
      <c r="B19" s="222"/>
      <c r="C19" s="109"/>
      <c r="D19" s="109" t="str">
        <f>IF(Indice_index!$Z$1=1,"março","March")</f>
        <v>March</v>
      </c>
      <c r="E19" s="112">
        <v>3472.0854447400002</v>
      </c>
      <c r="F19" s="112">
        <v>6051.4477268199998</v>
      </c>
      <c r="G19" s="220">
        <f t="shared" si="6"/>
        <v>9523.5331715600005</v>
      </c>
      <c r="H19" s="112"/>
      <c r="I19" s="112">
        <v>16.697912479999999</v>
      </c>
      <c r="J19" s="112"/>
      <c r="K19" s="220">
        <v>216.05046060000001</v>
      </c>
      <c r="L19" s="220">
        <v>30.581055209999999</v>
      </c>
      <c r="M19" s="220">
        <f>186.97212122+11.81852814</f>
        <v>198.79064936</v>
      </c>
      <c r="N19" s="220">
        <v>104.95540299</v>
      </c>
      <c r="O19" s="220">
        <v>-2.6992274100000002</v>
      </c>
      <c r="P19" s="220">
        <f>50.63162938+1.32522938+55.96773758+177.84289798</f>
        <v>285.76749431999997</v>
      </c>
      <c r="Q19" s="112">
        <f t="shared" si="7"/>
        <v>833.44583506999993</v>
      </c>
      <c r="R19" s="112"/>
      <c r="S19" s="265"/>
      <c r="T19" s="220">
        <f t="shared" si="8"/>
        <v>10373.676919109999</v>
      </c>
      <c r="U19"/>
      <c r="V19" s="112"/>
      <c r="W19" s="215"/>
      <c r="X19" s="346"/>
      <c r="Y19" s="345"/>
    </row>
    <row r="20" spans="2:25" s="219" customFormat="1" ht="12" customHeight="1">
      <c r="B20" s="222"/>
      <c r="C20" s="109"/>
      <c r="D20" s="220" t="str">
        <f>IF(Indice_index!$Z$1=1,"abril","April")</f>
        <v>April</v>
      </c>
      <c r="E20" s="220">
        <v>3996.7619567500001</v>
      </c>
      <c r="F20" s="220">
        <v>7772.5649724900004</v>
      </c>
      <c r="G20" s="220">
        <f t="shared" si="6"/>
        <v>11769.32692924</v>
      </c>
      <c r="H20" s="220"/>
      <c r="I20" s="220">
        <v>21.07350121</v>
      </c>
      <c r="J20" s="220"/>
      <c r="K20" s="220">
        <v>283.78718714000001</v>
      </c>
      <c r="L20" s="220">
        <v>446.12000468000002</v>
      </c>
      <c r="M20" s="220">
        <f>259.96453523+13.8605468</f>
        <v>273.82508203000003</v>
      </c>
      <c r="N20" s="220">
        <v>146.95771277</v>
      </c>
      <c r="O20" s="220">
        <v>-2.6924659599999998</v>
      </c>
      <c r="P20" s="220">
        <f>64.74508232+1.95187424+71.44225863+179.51211434</f>
        <v>317.65132953</v>
      </c>
      <c r="Q20" s="220">
        <f t="shared" si="7"/>
        <v>1465.6488501899998</v>
      </c>
      <c r="R20" s="220"/>
      <c r="S20" s="266"/>
      <c r="T20" s="220">
        <f t="shared" si="8"/>
        <v>13256.049280639998</v>
      </c>
      <c r="U20"/>
      <c r="V20" s="112"/>
      <c r="W20" s="215"/>
      <c r="X20" s="346"/>
      <c r="Y20" s="345"/>
    </row>
    <row r="21" spans="2:25" s="219" customFormat="1" ht="12" customHeight="1">
      <c r="B21" s="222"/>
      <c r="C21" s="109"/>
      <c r="D21" s="109" t="str">
        <f>IF(Indice_index!$Z$1=1,"maio","May")</f>
        <v>May</v>
      </c>
      <c r="E21" s="112">
        <v>3929.4302324599998</v>
      </c>
      <c r="F21" s="112">
        <v>10089.996516900001</v>
      </c>
      <c r="G21" s="220">
        <f t="shared" si="6"/>
        <v>14019.42674936</v>
      </c>
      <c r="H21" s="112"/>
      <c r="I21" s="112">
        <v>25.56323154</v>
      </c>
      <c r="J21" s="112"/>
      <c r="K21" s="220">
        <v>380.34146404000001</v>
      </c>
      <c r="L21" s="220">
        <v>450.65290541000002</v>
      </c>
      <c r="M21" s="220">
        <f>349.37843723+19.09151914</f>
        <v>368.46995636999998</v>
      </c>
      <c r="N21" s="220">
        <v>201.10050555000001</v>
      </c>
      <c r="O21" s="112">
        <v>-2.6768007699999998</v>
      </c>
      <c r="P21" s="220">
        <f>77.28012988+2.08439003+90.16720566+189.16101831</f>
        <v>358.69274387999997</v>
      </c>
      <c r="Q21" s="112">
        <f t="shared" si="7"/>
        <v>1756.5807744799999</v>
      </c>
      <c r="R21" s="112"/>
      <c r="S21" s="265"/>
      <c r="T21" s="220">
        <f t="shared" si="8"/>
        <v>15801.57075538</v>
      </c>
      <c r="U21" s="203"/>
      <c r="V21" s="112"/>
      <c r="W21" s="215"/>
      <c r="X21" s="346"/>
      <c r="Y21" s="345"/>
    </row>
    <row r="22" spans="2:25" s="218" customFormat="1" ht="12" customHeight="1">
      <c r="C22" s="109"/>
      <c r="D22" s="109" t="str">
        <f>IF(Indice_index!$Z$1=1,"junho","June")</f>
        <v>June</v>
      </c>
      <c r="E22" s="109">
        <v>6886.0885745999994</v>
      </c>
      <c r="F22" s="109">
        <v>11794.788212200001</v>
      </c>
      <c r="G22" s="109">
        <f t="shared" si="6"/>
        <v>18680.8767868</v>
      </c>
      <c r="H22" s="109"/>
      <c r="I22" s="109">
        <v>32.563363789999997</v>
      </c>
      <c r="J22" s="109"/>
      <c r="K22" s="109">
        <v>463.85224441000003</v>
      </c>
      <c r="L22" s="109">
        <v>453.33493637000004</v>
      </c>
      <c r="M22" s="109">
        <v>435.81350293999998</v>
      </c>
      <c r="N22" s="109">
        <v>243.19328272000001</v>
      </c>
      <c r="O22" s="109">
        <v>4.0493632000000002</v>
      </c>
      <c r="P22" s="220">
        <v>422.69486086000001</v>
      </c>
      <c r="Q22" s="109">
        <f t="shared" si="7"/>
        <v>2022.9381905000002</v>
      </c>
      <c r="R22" s="109"/>
      <c r="S22" s="268"/>
      <c r="T22" s="220">
        <f t="shared" si="8"/>
        <v>20736.37834109</v>
      </c>
      <c r="U22"/>
      <c r="V22" s="112"/>
      <c r="W22" s="215"/>
      <c r="X22" s="346"/>
      <c r="Y22" s="345"/>
    </row>
    <row r="23" spans="2:25" s="218" customFormat="1" ht="12" customHeight="1">
      <c r="C23" s="109"/>
      <c r="D23" s="220" t="str">
        <f>IF(Indice_index!$Z$1=1,"julho","July")</f>
        <v>July</v>
      </c>
      <c r="E23" s="112">
        <v>9863.3935403699998</v>
      </c>
      <c r="F23" s="220">
        <v>13663.03900954</v>
      </c>
      <c r="G23" s="109">
        <f t="shared" si="6"/>
        <v>23526.432549910001</v>
      </c>
      <c r="H23" s="220"/>
      <c r="I23" s="220">
        <v>37.215961229999998</v>
      </c>
      <c r="J23" s="220"/>
      <c r="K23" s="220">
        <v>556.08910676999994</v>
      </c>
      <c r="L23" s="220">
        <v>454.46175696</v>
      </c>
      <c r="M23" s="220">
        <f>470.63914827+27.79534986</f>
        <v>498.43449813000001</v>
      </c>
      <c r="N23" s="220">
        <v>285.03767562000002</v>
      </c>
      <c r="O23" s="220">
        <v>3.35840592</v>
      </c>
      <c r="P23" s="220">
        <f>137.96581313+3.58845288+126.77265676+209.50353733</f>
        <v>477.83046009999998</v>
      </c>
      <c r="Q23" s="109">
        <f t="shared" si="7"/>
        <v>2275.2119035000001</v>
      </c>
      <c r="R23" s="220"/>
      <c r="S23" s="266"/>
      <c r="T23" s="220">
        <f t="shared" si="8"/>
        <v>25838.860414639996</v>
      </c>
      <c r="U23"/>
      <c r="V23" s="112"/>
      <c r="W23" s="215"/>
      <c r="X23" s="346"/>
      <c r="Y23" s="345"/>
    </row>
    <row r="24" spans="2:25" s="217" customFormat="1" ht="12" customHeight="1">
      <c r="C24" s="109"/>
      <c r="D24" s="220" t="str">
        <f>IF(Indice_index!$Z$1=1,"agosto","August")</f>
        <v>August</v>
      </c>
      <c r="E24" s="220">
        <v>11756.5224678</v>
      </c>
      <c r="F24" s="220">
        <v>16215.52937075</v>
      </c>
      <c r="G24" s="109">
        <f t="shared" si="6"/>
        <v>27972.05183855</v>
      </c>
      <c r="H24" s="220"/>
      <c r="I24" s="220">
        <v>43.423305310000003</v>
      </c>
      <c r="J24" s="220"/>
      <c r="K24" s="220">
        <v>644.58885660999999</v>
      </c>
      <c r="L24" s="220">
        <v>479.97636956000002</v>
      </c>
      <c r="M24" s="220">
        <f>521.23309848+44.81984396</f>
        <v>566.05294243999992</v>
      </c>
      <c r="N24" s="220">
        <v>324.43034876000002</v>
      </c>
      <c r="O24" s="220">
        <v>3.3867896900000001</v>
      </c>
      <c r="P24" s="220">
        <f>146.12289822+3.81477613+149.05327854+209.97313808</f>
        <v>508.96409097000003</v>
      </c>
      <c r="Q24" s="109">
        <f t="shared" si="7"/>
        <v>2527.3993980299997</v>
      </c>
      <c r="R24" s="220"/>
      <c r="S24" s="266"/>
      <c r="T24" s="220">
        <f>IF(SUM(E24:F24,I24,K24:P24)=0,"",SUM(E24:F24,I24,K24:P24))</f>
        <v>30542.874541890003</v>
      </c>
      <c r="U24"/>
      <c r="V24" s="214"/>
      <c r="W24" s="214"/>
      <c r="X24" s="346"/>
      <c r="Y24" s="345"/>
    </row>
    <row r="25" spans="2:25" s="217" customFormat="1" ht="12" customHeight="1">
      <c r="C25" s="109"/>
      <c r="D25" s="220" t="str">
        <f>IF(Indice_index!$Z$1=1,"setembro","September")</f>
        <v>September</v>
      </c>
      <c r="E25" s="220">
        <v>14345.021875869999</v>
      </c>
      <c r="F25" s="220">
        <v>18431.939746489999</v>
      </c>
      <c r="G25" s="109">
        <f t="shared" si="6"/>
        <v>32776.961622360002</v>
      </c>
      <c r="H25" s="220"/>
      <c r="I25" s="220">
        <v>47.811498129999997</v>
      </c>
      <c r="J25" s="220"/>
      <c r="K25" s="220">
        <v>723.69145544000003</v>
      </c>
      <c r="L25" s="220">
        <v>488.44596855999998</v>
      </c>
      <c r="M25" s="220">
        <f>614.52297052+54.79461441</f>
        <v>669.31758492999995</v>
      </c>
      <c r="N25" s="220">
        <v>358.09497440000001</v>
      </c>
      <c r="O25" s="220">
        <v>4.4259111200000003</v>
      </c>
      <c r="P25" s="220">
        <f>166.67255286+6.51016816+164.7917865+210.737074</f>
        <v>548.71158151999998</v>
      </c>
      <c r="Q25" s="109">
        <f t="shared" si="7"/>
        <v>2792.6874759699999</v>
      </c>
      <c r="R25" s="220"/>
      <c r="S25" s="266"/>
      <c r="T25" s="220">
        <f t="shared" ref="T25:T28" si="9">IF(SUM(E25:F25,I25,K25:P25)=0,"",SUM(E25:F25,I25,K25:P25))</f>
        <v>35617.460596460012</v>
      </c>
      <c r="U25"/>
      <c r="V25" s="214"/>
      <c r="W25" s="214"/>
      <c r="X25" s="346"/>
      <c r="Y25" s="345"/>
    </row>
    <row r="26" spans="2:25" s="217" customFormat="1" ht="12" customHeight="1">
      <c r="C26" s="109"/>
      <c r="D26" s="220" t="str">
        <f>IF(Indice_index!$Z$1=1,"outubro","October")</f>
        <v>October</v>
      </c>
      <c r="E26" s="220">
        <v>15592.17800446</v>
      </c>
      <c r="F26" s="220">
        <v>20341.038496630001</v>
      </c>
      <c r="G26" s="109">
        <f t="shared" si="6"/>
        <v>35933.216501089999</v>
      </c>
      <c r="H26" s="220"/>
      <c r="I26" s="220">
        <v>52.230250810000001</v>
      </c>
      <c r="J26" s="220"/>
      <c r="K26" s="220">
        <v>804.65153501999998</v>
      </c>
      <c r="L26" s="220">
        <v>490.51814524999998</v>
      </c>
      <c r="M26" s="220">
        <f>710.45557225+59.10244241</f>
        <v>769.55801466000003</v>
      </c>
      <c r="N26" s="220">
        <v>394.46512933000002</v>
      </c>
      <c r="O26" s="220">
        <v>4.5779581599999997</v>
      </c>
      <c r="P26" s="220">
        <f>188.26890568+8.02007068+184.20202936+210.84865328</f>
        <v>591.33965899999998</v>
      </c>
      <c r="Q26" s="109">
        <f t="shared" si="7"/>
        <v>3055.1104414199999</v>
      </c>
      <c r="R26" s="220"/>
      <c r="S26" s="266"/>
      <c r="T26" s="220">
        <f t="shared" si="9"/>
        <v>39040.557193319983</v>
      </c>
      <c r="U26"/>
      <c r="V26" s="214"/>
      <c r="W26" s="214"/>
      <c r="X26" s="346"/>
      <c r="Y26" s="345"/>
    </row>
    <row r="27" spans="2:25" s="217" customFormat="1" ht="12" customHeight="1">
      <c r="C27" s="109"/>
      <c r="D27" s="220" t="str">
        <f>IF(Indice_index!$Z$1=1,"novembro","November")</f>
        <v>November</v>
      </c>
      <c r="E27" s="220">
        <v>16758.572391779999</v>
      </c>
      <c r="F27" s="220">
        <v>23072.54448543</v>
      </c>
      <c r="G27" s="220">
        <f t="shared" si="6"/>
        <v>39831.116877209999</v>
      </c>
      <c r="H27" s="220"/>
      <c r="I27" s="220">
        <v>59.495984329999999</v>
      </c>
      <c r="J27" s="220"/>
      <c r="K27" s="220">
        <v>884.38412590999997</v>
      </c>
      <c r="L27" s="220">
        <v>496.46898980999998</v>
      </c>
      <c r="M27" s="220">
        <f>795.51196881+62.12157207</f>
        <v>857.63354087999994</v>
      </c>
      <c r="N27" s="220">
        <v>440.40161146000003</v>
      </c>
      <c r="O27" s="220">
        <v>4.5825177200000002</v>
      </c>
      <c r="P27" s="220">
        <f>205.99669087+8.29466361+205.29862928+211.58110702</f>
        <v>631.17109077999999</v>
      </c>
      <c r="Q27" s="109">
        <f t="shared" si="7"/>
        <v>3314.6418765600001</v>
      </c>
      <c r="R27" s="220"/>
      <c r="S27" s="266"/>
      <c r="T27" s="220">
        <f t="shared" si="9"/>
        <v>43205.254738100004</v>
      </c>
      <c r="U27" s="221"/>
      <c r="V27" s="214"/>
      <c r="W27" s="214"/>
      <c r="X27" s="346"/>
      <c r="Y27" s="345"/>
    </row>
    <row r="28" spans="2:25" s="217" customFormat="1" ht="12" customHeight="1">
      <c r="C28" s="109"/>
      <c r="D28" s="220" t="str">
        <f>IF(Indice_index!$Z$1=1,"dezembro","December")</f>
        <v>December</v>
      </c>
      <c r="E28" s="220">
        <v>19746.491260179999</v>
      </c>
      <c r="F28" s="220">
        <v>24553.687062659999</v>
      </c>
      <c r="G28" s="220">
        <f t="shared" si="6"/>
        <v>44300.178322840002</v>
      </c>
      <c r="H28" s="220"/>
      <c r="I28" s="220">
        <v>65.839086539999997</v>
      </c>
      <c r="J28" s="220"/>
      <c r="K28" s="220">
        <v>974.55354723000005</v>
      </c>
      <c r="L28" s="220">
        <v>543.53050603999998</v>
      </c>
      <c r="M28" s="220">
        <f>898.16422657+65.05847652</f>
        <v>963.22270308999998</v>
      </c>
      <c r="N28" s="220">
        <v>497.03244661999997</v>
      </c>
      <c r="O28" s="220">
        <v>4.9343936199999998</v>
      </c>
      <c r="P28" s="220">
        <f>240.61002365+11.17165799+223.67623424+218.07986447</f>
        <v>693.53778034999993</v>
      </c>
      <c r="Q28" s="220">
        <f t="shared" si="7"/>
        <v>3676.8113769499996</v>
      </c>
      <c r="R28" s="220"/>
      <c r="S28" s="266"/>
      <c r="T28" s="220">
        <f t="shared" si="9"/>
        <v>48042.828786330007</v>
      </c>
      <c r="U28" s="221"/>
      <c r="V28" s="214"/>
      <c r="W28" s="214"/>
      <c r="X28" s="346"/>
      <c r="Y28" s="345"/>
    </row>
    <row r="29" spans="2:25" s="214" customFormat="1" ht="12" customHeight="1">
      <c r="B29" s="215"/>
      <c r="C29" s="267">
        <v>2019</v>
      </c>
      <c r="D29" s="109"/>
      <c r="E29" s="253"/>
      <c r="F29" s="253"/>
      <c r="G29" s="253"/>
      <c r="H29" s="253"/>
      <c r="I29" s="253"/>
      <c r="J29" s="253"/>
      <c r="K29" s="253"/>
      <c r="L29" s="253"/>
      <c r="M29" s="253"/>
      <c r="N29" s="253"/>
      <c r="O29" s="253"/>
      <c r="P29" s="253"/>
      <c r="Q29" s="253"/>
      <c r="R29" s="253"/>
      <c r="S29" s="253"/>
      <c r="T29" s="253"/>
      <c r="U29" s="253"/>
      <c r="V29" s="253"/>
    </row>
    <row r="30" spans="2:25" s="214" customFormat="1" ht="12" customHeight="1">
      <c r="B30" s="215"/>
      <c r="C30" s="109"/>
      <c r="D30" s="109" t="str">
        <f>IF(Indice_index!$Z$1=1,"janeiro","January")</f>
        <v>January</v>
      </c>
      <c r="E30" s="112">
        <v>1402.1971116100001</v>
      </c>
      <c r="F30" s="112">
        <v>2121.5824085700001</v>
      </c>
      <c r="G30" s="220">
        <f t="shared" si="6"/>
        <v>3523.77952018</v>
      </c>
      <c r="H30" s="112"/>
      <c r="I30" s="112">
        <v>4.5243441899999999</v>
      </c>
      <c r="J30" s="112"/>
      <c r="K30" s="112">
        <v>92.389718419999994</v>
      </c>
      <c r="L30" s="112">
        <v>83.52823472</v>
      </c>
      <c r="M30" s="112">
        <f>74.45765708+2.89040208</f>
        <v>77.348059160000005</v>
      </c>
      <c r="N30" s="112">
        <v>31.022840339999998</v>
      </c>
      <c r="O30" s="112">
        <v>5.1703299999999999E-3</v>
      </c>
      <c r="P30" s="220">
        <f>9.75775159+0.01990552+16.89715276+63.26151168</f>
        <v>89.936321550000002</v>
      </c>
      <c r="Q30" s="220">
        <f t="shared" si="7"/>
        <v>374.23034452000002</v>
      </c>
      <c r="R30" s="112"/>
      <c r="S30" s="265"/>
      <c r="T30" s="220">
        <f t="shared" ref="T30:T41" si="10">IF(SUM(E30:F30,I30,K30:P30)=0,"",SUM(E30:F30,I30,K30:P30))</f>
        <v>3902.5342088900006</v>
      </c>
      <c r="U30"/>
      <c r="V30" s="112"/>
      <c r="W30" s="215"/>
      <c r="X30" s="346"/>
      <c r="Y30" s="345"/>
    </row>
    <row r="31" spans="2:25" s="214" customFormat="1" ht="12" customHeight="1">
      <c r="B31" s="215"/>
      <c r="C31" s="109"/>
      <c r="D31" s="109" t="str">
        <f>IF(Indice_index!$Z$1=1,"fevereiro","February")</f>
        <v>February</v>
      </c>
      <c r="E31" s="112">
        <v>2565.4404072000002</v>
      </c>
      <c r="F31" s="112">
        <v>5120.238308</v>
      </c>
      <c r="G31" s="220">
        <f t="shared" si="6"/>
        <v>7685.6787151999997</v>
      </c>
      <c r="H31" s="112"/>
      <c r="I31" s="112">
        <v>9.0537579299999997</v>
      </c>
      <c r="J31" s="112"/>
      <c r="K31" s="112">
        <v>164.72796855000001</v>
      </c>
      <c r="L31" s="112">
        <v>87.714591249999998</v>
      </c>
      <c r="M31" s="112">
        <f>122.08855393+13.34269468</f>
        <v>135.43124861000001</v>
      </c>
      <c r="N31" s="112">
        <v>70.048536929999997</v>
      </c>
      <c r="O31" s="112">
        <v>0.60761297000000003</v>
      </c>
      <c r="P31" s="220">
        <f>24.84047719+0.16154146+39.17382364+84.97563868</f>
        <v>149.15148097000002</v>
      </c>
      <c r="Q31" s="220">
        <f t="shared" si="7"/>
        <v>607.68143928000006</v>
      </c>
      <c r="R31" s="112"/>
      <c r="S31" s="265"/>
      <c r="T31" s="220">
        <f t="shared" si="10"/>
        <v>8302.4139124100002</v>
      </c>
      <c r="U31"/>
      <c r="V31" s="112"/>
      <c r="W31" s="215"/>
      <c r="X31" s="346"/>
      <c r="Y31" s="345"/>
    </row>
    <row r="32" spans="2:25" s="219" customFormat="1" ht="12" customHeight="1">
      <c r="B32" s="222"/>
      <c r="C32" s="109"/>
      <c r="D32" s="109" t="str">
        <f>IF(Indice_index!$Z$1=1,"março","March")</f>
        <v>March</v>
      </c>
      <c r="E32" s="112">
        <v>3682.35395995</v>
      </c>
      <c r="F32" s="112">
        <v>6820.2210237299996</v>
      </c>
      <c r="G32" s="220">
        <f t="shared" si="6"/>
        <v>10502.574983679999</v>
      </c>
      <c r="H32" s="112"/>
      <c r="I32" s="112">
        <v>13.8216555</v>
      </c>
      <c r="J32" s="112"/>
      <c r="K32" s="112">
        <v>245.73209539000001</v>
      </c>
      <c r="L32" s="112">
        <v>90.153712970000001</v>
      </c>
      <c r="M32" s="112">
        <f>180.08259877+16.85238165</f>
        <v>196.93498042000002</v>
      </c>
      <c r="N32" s="112">
        <v>105.83888272999999</v>
      </c>
      <c r="O32" s="112">
        <v>17.96986652</v>
      </c>
      <c r="P32" s="220">
        <f>36.43926411+1.32545839+57.9090697+86.34197788</f>
        <v>182.01577008000001</v>
      </c>
      <c r="Q32" s="220">
        <f t="shared" si="7"/>
        <v>838.64530811000009</v>
      </c>
      <c r="R32" s="112"/>
      <c r="S32" s="265"/>
      <c r="T32" s="220">
        <f t="shared" si="10"/>
        <v>11355.041947289996</v>
      </c>
      <c r="U32"/>
      <c r="V32" s="112"/>
      <c r="W32" s="215"/>
      <c r="X32" s="346"/>
      <c r="Y32" s="345"/>
    </row>
    <row r="33" spans="2:25" s="219" customFormat="1" ht="12" customHeight="1">
      <c r="B33" s="222"/>
      <c r="C33" s="109"/>
      <c r="D33" s="109" t="str">
        <f>IF(Indice_index!$Z$1=1,"abril","April")</f>
        <v>April</v>
      </c>
      <c r="E33" s="112">
        <v>4120.0535451100004</v>
      </c>
      <c r="F33" s="112">
        <v>8541.7692375200022</v>
      </c>
      <c r="G33" s="220">
        <f t="shared" si="6"/>
        <v>12661.822782630003</v>
      </c>
      <c r="H33" s="112"/>
      <c r="I33" s="112">
        <v>18.442423439999999</v>
      </c>
      <c r="J33" s="112"/>
      <c r="K33" s="112">
        <v>322.3929435</v>
      </c>
      <c r="L33" s="220">
        <v>99.426919949999998</v>
      </c>
      <c r="M33" s="220">
        <f>285.95396958+20.03654786</f>
        <v>305.99051743999996</v>
      </c>
      <c r="N33" s="112">
        <v>142.22799792999999</v>
      </c>
      <c r="O33" s="112">
        <v>18.109251400000002</v>
      </c>
      <c r="P33" s="220">
        <f>64.46785165+1.49293517+77.1361687+90.17019701</f>
        <v>233.26715252999998</v>
      </c>
      <c r="Q33" s="112">
        <f t="shared" si="7"/>
        <v>1121.4147827500001</v>
      </c>
      <c r="R33" s="112"/>
      <c r="S33" s="265"/>
      <c r="T33" s="220">
        <f t="shared" si="10"/>
        <v>13801.679988819998</v>
      </c>
      <c r="U33"/>
      <c r="V33" s="112"/>
      <c r="W33" s="215"/>
      <c r="X33" s="346"/>
      <c r="Y33" s="345"/>
    </row>
    <row r="34" spans="2:25" s="219" customFormat="1" ht="12" customHeight="1">
      <c r="B34" s="222"/>
      <c r="C34" s="109"/>
      <c r="D34" s="109" t="str">
        <f>IF(Indice_index!$Z$1=1,"maio","May")</f>
        <v>May</v>
      </c>
      <c r="E34" s="112">
        <v>4240.15704534</v>
      </c>
      <c r="F34" s="112">
        <v>11154.20317585</v>
      </c>
      <c r="G34" s="220">
        <f t="shared" si="6"/>
        <v>15394.36022119</v>
      </c>
      <c r="H34" s="112"/>
      <c r="I34" s="112">
        <v>22.9410791</v>
      </c>
      <c r="J34" s="112"/>
      <c r="K34" s="112">
        <v>409.08979815999999</v>
      </c>
      <c r="L34" s="112">
        <v>611.19394079999995</v>
      </c>
      <c r="M34" s="112">
        <f>375.78666329+23.83064304</f>
        <v>399.61730632999996</v>
      </c>
      <c r="N34" s="112">
        <v>179.47333498</v>
      </c>
      <c r="O34" s="112">
        <v>18.109251400000002</v>
      </c>
      <c r="P34" s="220">
        <f>80.82885543-1.34732923+94.10100244+95.27967429</f>
        <v>268.86220293000002</v>
      </c>
      <c r="Q34" s="112">
        <f t="shared" si="7"/>
        <v>1886.3458346</v>
      </c>
      <c r="R34" s="112"/>
      <c r="S34" s="265"/>
      <c r="T34" s="220">
        <f t="shared" si="10"/>
        <v>17303.647134890001</v>
      </c>
      <c r="U34" s="203"/>
      <c r="V34" s="112"/>
      <c r="W34" s="215"/>
      <c r="X34" s="346"/>
      <c r="Y34" s="345"/>
    </row>
    <row r="35" spans="2:25" s="218" customFormat="1" ht="12" customHeight="1">
      <c r="C35" s="109"/>
      <c r="D35" s="109" t="str">
        <f>IF(Indice_index!$Z$1=1,"junho","June")</f>
        <v>June</v>
      </c>
      <c r="E35" s="109"/>
      <c r="F35" s="109"/>
      <c r="G35" s="109" t="str">
        <f t="shared" si="6"/>
        <v/>
      </c>
      <c r="H35" s="109"/>
      <c r="I35" s="109"/>
      <c r="J35" s="109"/>
      <c r="K35" s="109"/>
      <c r="L35" s="109"/>
      <c r="M35" s="109"/>
      <c r="N35" s="109"/>
      <c r="O35" s="109"/>
      <c r="P35" s="220"/>
      <c r="Q35" s="109" t="str">
        <f t="shared" si="7"/>
        <v/>
      </c>
      <c r="R35" s="109"/>
      <c r="S35" s="268"/>
      <c r="T35" s="220" t="str">
        <f t="shared" si="10"/>
        <v/>
      </c>
      <c r="U35"/>
      <c r="V35" s="112"/>
      <c r="W35" s="215"/>
      <c r="X35" s="346"/>
      <c r="Y35" s="345"/>
    </row>
    <row r="36" spans="2:25" s="218" customFormat="1" ht="12" customHeight="1">
      <c r="C36" s="109"/>
      <c r="D36" s="220" t="str">
        <f>IF(Indice_index!$Z$1=1,"julho","July")</f>
        <v>July</v>
      </c>
      <c r="E36" s="112"/>
      <c r="F36" s="220"/>
      <c r="G36" s="109" t="str">
        <f t="shared" si="6"/>
        <v/>
      </c>
      <c r="H36" s="220"/>
      <c r="I36" s="220"/>
      <c r="J36" s="220"/>
      <c r="K36" s="220"/>
      <c r="L36" s="220"/>
      <c r="M36" s="220"/>
      <c r="N36" s="220"/>
      <c r="O36" s="220"/>
      <c r="P36" s="220"/>
      <c r="Q36" s="109" t="str">
        <f t="shared" si="7"/>
        <v/>
      </c>
      <c r="R36" s="220"/>
      <c r="S36" s="266"/>
      <c r="T36" s="220" t="str">
        <f t="shared" si="10"/>
        <v/>
      </c>
      <c r="U36"/>
      <c r="V36" s="112"/>
      <c r="W36" s="215"/>
      <c r="X36" s="346"/>
      <c r="Y36" s="345"/>
    </row>
    <row r="37" spans="2:25" s="217" customFormat="1" ht="12" customHeight="1">
      <c r="C37" s="109"/>
      <c r="D37" s="220" t="str">
        <f>IF(Indice_index!$Z$1=1,"agosto","August")</f>
        <v>August</v>
      </c>
      <c r="E37" s="220"/>
      <c r="F37" s="220"/>
      <c r="G37" s="109" t="str">
        <f t="shared" si="6"/>
        <v/>
      </c>
      <c r="H37" s="220"/>
      <c r="I37" s="220"/>
      <c r="J37" s="220"/>
      <c r="K37" s="220"/>
      <c r="L37" s="220"/>
      <c r="M37" s="220"/>
      <c r="N37" s="220"/>
      <c r="O37" s="220"/>
      <c r="P37" s="220"/>
      <c r="Q37" s="109" t="str">
        <f t="shared" si="7"/>
        <v/>
      </c>
      <c r="R37" s="220"/>
      <c r="S37" s="266"/>
      <c r="T37" s="220" t="str">
        <f t="shared" si="10"/>
        <v/>
      </c>
      <c r="U37"/>
      <c r="V37" s="214"/>
      <c r="W37" s="214"/>
      <c r="X37" s="346"/>
      <c r="Y37" s="345"/>
    </row>
    <row r="38" spans="2:25" s="217" customFormat="1" ht="12" customHeight="1">
      <c r="C38" s="109"/>
      <c r="D38" s="220" t="str">
        <f>IF(Indice_index!$Z$1=1,"setembro","September")</f>
        <v>September</v>
      </c>
      <c r="E38" s="220"/>
      <c r="F38" s="220"/>
      <c r="G38" s="109" t="str">
        <f t="shared" si="6"/>
        <v/>
      </c>
      <c r="H38" s="220"/>
      <c r="I38" s="220"/>
      <c r="J38" s="220"/>
      <c r="K38" s="220"/>
      <c r="L38" s="220"/>
      <c r="M38" s="220"/>
      <c r="N38" s="220"/>
      <c r="O38" s="220"/>
      <c r="P38" s="220"/>
      <c r="Q38" s="109" t="str">
        <f t="shared" si="7"/>
        <v/>
      </c>
      <c r="R38" s="220"/>
      <c r="S38" s="266"/>
      <c r="T38" s="220" t="str">
        <f t="shared" si="10"/>
        <v/>
      </c>
      <c r="U38"/>
      <c r="V38" s="214"/>
      <c r="W38" s="214"/>
      <c r="X38" s="346"/>
      <c r="Y38" s="345"/>
    </row>
    <row r="39" spans="2:25" s="217" customFormat="1" ht="12" customHeight="1">
      <c r="C39" s="109"/>
      <c r="D39" s="220" t="str">
        <f>IF(Indice_index!$Z$1=1,"outubro","October")</f>
        <v>October</v>
      </c>
      <c r="E39" s="220"/>
      <c r="F39" s="220"/>
      <c r="G39" s="109" t="str">
        <f t="shared" si="6"/>
        <v/>
      </c>
      <c r="H39" s="220"/>
      <c r="I39" s="220"/>
      <c r="J39" s="220"/>
      <c r="K39" s="220"/>
      <c r="L39" s="220"/>
      <c r="M39" s="220"/>
      <c r="N39" s="220"/>
      <c r="O39" s="220"/>
      <c r="P39" s="220"/>
      <c r="Q39" s="109" t="str">
        <f t="shared" si="7"/>
        <v/>
      </c>
      <c r="R39" s="220"/>
      <c r="S39" s="266"/>
      <c r="T39" s="220" t="str">
        <f t="shared" si="10"/>
        <v/>
      </c>
      <c r="U39"/>
      <c r="V39" s="214"/>
      <c r="W39" s="214"/>
      <c r="X39" s="346"/>
      <c r="Y39" s="345"/>
    </row>
    <row r="40" spans="2:25" s="217" customFormat="1" ht="12" customHeight="1">
      <c r="C40" s="109"/>
      <c r="D40" s="220" t="str">
        <f>IF(Indice_index!$Z$1=1,"novembro","November")</f>
        <v>November</v>
      </c>
      <c r="E40" s="220"/>
      <c r="F40" s="220"/>
      <c r="G40" s="220" t="str">
        <f t="shared" si="6"/>
        <v/>
      </c>
      <c r="H40" s="220"/>
      <c r="I40" s="220"/>
      <c r="J40" s="220"/>
      <c r="K40" s="220"/>
      <c r="L40" s="220"/>
      <c r="M40" s="220"/>
      <c r="N40" s="220"/>
      <c r="O40" s="220"/>
      <c r="P40" s="220"/>
      <c r="Q40" s="109" t="str">
        <f t="shared" si="7"/>
        <v/>
      </c>
      <c r="R40" s="220"/>
      <c r="S40" s="266"/>
      <c r="T40" s="220" t="str">
        <f t="shared" si="10"/>
        <v/>
      </c>
      <c r="U40" s="221"/>
      <c r="V40" s="214"/>
      <c r="W40" s="214"/>
      <c r="X40" s="346"/>
      <c r="Y40" s="345"/>
    </row>
    <row r="41" spans="2:25" s="217" customFormat="1" ht="12" customHeight="1">
      <c r="C41" s="198"/>
      <c r="D41" s="243" t="str">
        <f>IF(Indice_index!$Z$1=1,"dezembro","December")</f>
        <v>December</v>
      </c>
      <c r="E41" s="243"/>
      <c r="F41" s="243"/>
      <c r="G41" s="243" t="str">
        <f t="shared" si="6"/>
        <v/>
      </c>
      <c r="H41" s="243"/>
      <c r="I41" s="243"/>
      <c r="J41" s="243"/>
      <c r="K41" s="243"/>
      <c r="L41" s="243"/>
      <c r="M41" s="243"/>
      <c r="N41" s="243"/>
      <c r="O41" s="243"/>
      <c r="P41" s="243"/>
      <c r="Q41" s="243" t="str">
        <f t="shared" si="7"/>
        <v/>
      </c>
      <c r="R41" s="243"/>
      <c r="S41" s="266"/>
      <c r="T41" s="243" t="str">
        <f t="shared" si="10"/>
        <v/>
      </c>
      <c r="U41" s="221"/>
      <c r="V41" s="214"/>
      <c r="W41" s="214"/>
      <c r="X41" s="346"/>
      <c r="Y41" s="345"/>
    </row>
    <row r="42" spans="2:25" s="96" customFormat="1" ht="15.75" customHeight="1">
      <c r="B42" s="106"/>
      <c r="C42" s="109"/>
      <c r="D42" s="109"/>
      <c r="E42" s="112"/>
      <c r="F42" s="112"/>
      <c r="G42" s="112"/>
      <c r="H42" s="112"/>
      <c r="I42" s="112"/>
      <c r="J42" s="112"/>
      <c r="K42" s="112"/>
      <c r="L42" s="112"/>
      <c r="M42" s="112"/>
      <c r="N42" s="112"/>
      <c r="O42" s="112"/>
      <c r="P42" s="112"/>
      <c r="Q42" s="112"/>
      <c r="R42" s="112"/>
      <c r="S42" s="203"/>
      <c r="T42" s="235"/>
      <c r="U42" s="94"/>
    </row>
    <row r="43" spans="2:25" customFormat="1">
      <c r="C43" s="347"/>
      <c r="D43" s="347"/>
    </row>
    <row r="44" spans="2:25" customFormat="1"/>
    <row r="45" spans="2:25" customFormat="1"/>
    <row r="46" spans="2:25" customFormat="1"/>
    <row r="47" spans="2:25" customFormat="1"/>
    <row r="48" spans="2:25" customFormat="1"/>
    <row r="49" spans="6:22" customFormat="1"/>
    <row r="50" spans="6:22" customFormat="1"/>
    <row r="53" spans="6:22">
      <c r="G53" s="255"/>
      <c r="I53" s="255"/>
    </row>
    <row r="54" spans="6:22">
      <c r="G54" s="255"/>
      <c r="I54" s="255"/>
    </row>
    <row r="55" spans="6:22">
      <c r="F55" s="348"/>
      <c r="G55" s="348"/>
      <c r="I55" s="348"/>
      <c r="L55" s="349"/>
      <c r="M55" s="348"/>
      <c r="N55" s="350"/>
      <c r="O55" s="351"/>
      <c r="P55" s="350"/>
      <c r="Q55" s="350"/>
      <c r="T55" s="348"/>
      <c r="V55" s="348"/>
    </row>
    <row r="56" spans="6:22">
      <c r="N56" s="352"/>
      <c r="O56" s="352"/>
      <c r="P56" s="352"/>
      <c r="Q56" s="352"/>
    </row>
    <row r="58" spans="6:22">
      <c r="F58" s="353"/>
      <c r="I58" s="353"/>
    </row>
    <row r="59" spans="6:22">
      <c r="F59" s="353"/>
      <c r="I59" s="353"/>
    </row>
    <row r="60" spans="6:22">
      <c r="F60" s="353"/>
      <c r="I60" s="353"/>
    </row>
    <row r="61" spans="6:22">
      <c r="F61" s="353"/>
      <c r="I61" s="353"/>
    </row>
    <row r="62" spans="6:22">
      <c r="F62" s="353"/>
      <c r="I62" s="353"/>
    </row>
    <row r="63" spans="6:22">
      <c r="F63" s="353"/>
      <c r="I63" s="353"/>
    </row>
    <row r="64" spans="6:22">
      <c r="F64" s="353"/>
      <c r="I64" s="353"/>
    </row>
    <row r="65" spans="6:9">
      <c r="F65" s="353"/>
      <c r="I65" s="353"/>
    </row>
    <row r="66" spans="6:9">
      <c r="F66" s="353"/>
      <c r="I66" s="353"/>
    </row>
    <row r="67" spans="6:9">
      <c r="F67" s="353"/>
      <c r="I67" s="353"/>
    </row>
    <row r="68" spans="6:9">
      <c r="F68" s="353"/>
      <c r="I68" s="353"/>
    </row>
    <row r="69" spans="6:9">
      <c r="F69" s="353"/>
    </row>
    <row r="70" spans="6:9">
      <c r="F70" s="353"/>
    </row>
    <row r="72" spans="6:9">
      <c r="I72" s="353"/>
    </row>
  </sheetData>
  <mergeCells count="2">
    <mergeCell ref="E5:G5"/>
    <mergeCell ref="K5:Q5"/>
  </mergeCells>
  <printOptions horizontalCentered="1"/>
  <pageMargins left="0.23622047244094491" right="0.23622047244094491" top="0.74803149606299213" bottom="0.74803149606299213" header="0.31496062992125984" footer="0.31496062992125984"/>
  <pageSetup paperSize="9" scale="70" fitToHeight="0" orientation="landscape" r:id="rId1"/>
  <headerFooter>
    <oddHeader>&amp;L&amp;G</oddHeader>
  </headerFooter>
  <ignoredErrors>
    <ignoredError sqref="C8:C14" numberStoredAsText="1"/>
    <ignoredError sqref="G14 Q14" formula="1"/>
    <ignoredError sqref="T15" formulaRange="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AC41"/>
  <sheetViews>
    <sheetView showGridLines="0" zoomScale="90" zoomScaleNormal="90" workbookViewId="0">
      <selection activeCell="B2" sqref="B2"/>
    </sheetView>
  </sheetViews>
  <sheetFormatPr defaultRowHeight="12.75"/>
  <cols>
    <col min="1" max="1" width="4.28515625" style="104" customWidth="1"/>
    <col min="2" max="2" width="4.140625" style="104" customWidth="1"/>
    <col min="3" max="3" width="7.85546875" style="104" customWidth="1"/>
    <col min="4" max="4" width="9.7109375" style="104" bestFit="1" customWidth="1"/>
    <col min="5" max="5" width="14" style="104" customWidth="1"/>
    <col min="6" max="6" width="16.5703125" style="104" bestFit="1" customWidth="1"/>
    <col min="7" max="7" width="11.85546875" style="104" customWidth="1"/>
    <col min="8" max="8" width="2" style="104" customWidth="1"/>
    <col min="9" max="9" width="11.7109375" style="104" customWidth="1"/>
    <col min="10" max="10" width="9.85546875" style="104" customWidth="1"/>
    <col min="11" max="11" width="11.85546875" style="104" customWidth="1"/>
    <col min="12" max="12" width="11" style="104" customWidth="1"/>
    <col min="13" max="13" width="13.28515625" style="104" customWidth="1"/>
    <col min="14" max="14" width="1.5703125" style="104" customWidth="1"/>
    <col min="15" max="15" width="13.140625" style="104" customWidth="1"/>
    <col min="16" max="16" width="9.85546875" style="104" customWidth="1"/>
    <col min="17" max="17" width="13.7109375" style="104" customWidth="1"/>
    <col min="18" max="18" width="11.5703125" style="104" customWidth="1"/>
    <col min="19" max="19" width="11.42578125" style="104" customWidth="1"/>
    <col min="20" max="20" width="2.28515625" style="104" customWidth="1"/>
    <col min="21" max="21" width="12.140625" style="104" customWidth="1"/>
    <col min="22" max="22" width="14.42578125" style="104" customWidth="1"/>
    <col min="23" max="23" width="13.7109375" style="104" customWidth="1"/>
    <col min="24" max="24" width="4.28515625" style="104" customWidth="1"/>
    <col min="25" max="25" width="13.7109375" style="104" customWidth="1"/>
    <col min="26" max="26" width="10.140625" style="104" customWidth="1"/>
    <col min="27" max="27" width="23.5703125" style="104" customWidth="1"/>
    <col min="28" max="28" width="25" style="104" customWidth="1"/>
    <col min="29" max="16384" width="9.140625" style="104"/>
  </cols>
  <sheetData>
    <row r="2" spans="2:29" s="92" customFormat="1" ht="19.5" thickBot="1">
      <c r="B2" s="89"/>
      <c r="C2" s="121" t="str">
        <f>IF(Indice_index!$Z$1=1,"3 - Despesa do subsetor Estado - Classificação Funcional","3 - State subsector expenditure - Functional Classification")</f>
        <v>3 - State subsector expenditure - Functional Classification</v>
      </c>
      <c r="D2" s="90"/>
      <c r="E2" s="90"/>
      <c r="F2" s="90"/>
      <c r="G2" s="90"/>
      <c r="H2" s="90"/>
      <c r="I2" s="90"/>
      <c r="J2" s="90"/>
      <c r="K2" s="90"/>
      <c r="L2" s="90"/>
      <c r="M2" s="90"/>
      <c r="N2" s="90"/>
      <c r="O2" s="90"/>
      <c r="P2" s="90"/>
      <c r="Q2" s="90"/>
      <c r="R2" s="90"/>
      <c r="S2" s="90"/>
      <c r="T2" s="90"/>
      <c r="U2" s="90"/>
      <c r="V2" s="90"/>
      <c r="W2" s="91"/>
      <c r="X2" s="91"/>
      <c r="Y2" s="91"/>
      <c r="AA2" s="94"/>
      <c r="AB2" s="94"/>
      <c r="AC2" s="94"/>
    </row>
    <row r="4" spans="2:29" s="96" customFormat="1">
      <c r="C4" s="97"/>
      <c r="D4" s="97"/>
      <c r="E4" s="114"/>
      <c r="F4" s="114"/>
      <c r="G4" s="114"/>
      <c r="H4" s="115"/>
      <c r="I4" s="116"/>
      <c r="J4" s="116"/>
      <c r="K4" s="114"/>
      <c r="L4" s="114"/>
      <c r="M4" s="118"/>
      <c r="N4" s="119"/>
      <c r="O4" s="114"/>
      <c r="P4" s="114"/>
      <c r="Q4" s="114"/>
      <c r="R4" s="114"/>
      <c r="S4" s="114"/>
      <c r="T4" s="115"/>
      <c r="U4" s="114"/>
      <c r="V4" s="114"/>
      <c r="W4" s="120"/>
      <c r="X4" s="94"/>
      <c r="Y4" s="120" t="str">
        <f>IF(Indice_index!$Z$1=1,"€ Milhões","€ Millions")</f>
        <v>€ Millions</v>
      </c>
      <c r="Z4" s="94"/>
    </row>
    <row r="5" spans="2:29" s="96" customFormat="1" ht="15.75" customHeight="1">
      <c r="C5" s="195"/>
      <c r="D5" s="195"/>
      <c r="E5" s="396" t="str">
        <f>IF(Indice_index!$Z$1=1,"Funções Gerais de Soberania","Sovereign General Functions")</f>
        <v>Sovereign General Functions</v>
      </c>
      <c r="F5" s="396" t="s">
        <v>11</v>
      </c>
      <c r="G5" s="396" t="s">
        <v>11</v>
      </c>
      <c r="H5" s="199"/>
      <c r="I5" s="397" t="str">
        <f>IF(Indice_index!$Z$1=1,"Funções Sociais","Social Functions")</f>
        <v>Social Functions</v>
      </c>
      <c r="J5" s="397" t="s">
        <v>12</v>
      </c>
      <c r="K5" s="397" t="s">
        <v>12</v>
      </c>
      <c r="L5" s="397" t="s">
        <v>12</v>
      </c>
      <c r="M5" s="397" t="s">
        <v>12</v>
      </c>
      <c r="N5" s="200"/>
      <c r="O5" s="397" t="str">
        <f>IF(Indice_index!$Z$1=1,"Funções Económicas","Economic Functions")</f>
        <v>Economic Functions</v>
      </c>
      <c r="P5" s="397" t="s">
        <v>13</v>
      </c>
      <c r="Q5" s="397" t="s">
        <v>13</v>
      </c>
      <c r="R5" s="397" t="s">
        <v>13</v>
      </c>
      <c r="S5" s="397" t="s">
        <v>13</v>
      </c>
      <c r="T5" s="200"/>
      <c r="U5" s="397" t="str">
        <f>IF(Indice_index!$Z$1=1,"Outras Funções","Other Functions")</f>
        <v>Other Functions</v>
      </c>
      <c r="V5" s="397" t="s">
        <v>14</v>
      </c>
      <c r="W5" s="397" t="s">
        <v>14</v>
      </c>
      <c r="X5" s="94"/>
      <c r="Y5" s="201"/>
    </row>
    <row r="6" spans="2:29" s="102" customFormat="1" ht="69.599999999999994" customHeight="1">
      <c r="B6" s="99"/>
      <c r="C6" s="191"/>
      <c r="D6" s="191"/>
      <c r="E6" s="194" t="str">
        <f>IF(Indice_index!$Z$1=1,"Serviços Gerais da Administração Pública","General Public Services")</f>
        <v>General Public Services</v>
      </c>
      <c r="F6" s="194" t="str">
        <f>IF(Indice_index!$Z$1=1,"Defesa Nacional","National Defense")</f>
        <v>National Defense</v>
      </c>
      <c r="G6" s="194" t="str">
        <f>IF(Indice_index!$Z$1=1,"Segurança e Ordem Públicas","Public Order and Safety")</f>
        <v>Public Order and Safety</v>
      </c>
      <c r="H6" s="202"/>
      <c r="I6" s="194" t="str">
        <f>IF(Indice_index!$Z$1=1,"Educação","Education")</f>
        <v>Education</v>
      </c>
      <c r="J6" s="194" t="str">
        <f>IF(Indice_index!$Z$1=1,"Saúde","Health")</f>
        <v>Health</v>
      </c>
      <c r="K6" s="194" t="str">
        <f>IF(Indice_index!$Z$1=1,"Segurança e Ação Sociais","Safety and Social Services")</f>
        <v>Safety and Social Services</v>
      </c>
      <c r="L6" s="194" t="str">
        <f>IF(Indice_index!$Z$1=1,"Habitação e Serviços Colectivos","Housing and Collective Services")</f>
        <v>Housing and Collective Services</v>
      </c>
      <c r="M6" s="194" t="str">
        <f>IF(Indice_index!$Z$1=1,"Serviços Culturais, Recreativos e Religiosos","Cultural, Recreational e Religious Services")</f>
        <v>Cultural, Recreational e Religious Services</v>
      </c>
      <c r="N6" s="192"/>
      <c r="O6" s="194" t="str">
        <f>IF(Indice_index!$Z$1=1,"Agricultura e Pecuária, Silvicultura, Caça e Pesca","Agriculture and Livestock, Forestry, Fishing and Hunting")</f>
        <v>Agriculture and Livestock, Forestry, Fishing and Hunting</v>
      </c>
      <c r="P6" s="194" t="str">
        <f>IF(Indice_index!$Z$1=1,"Indústria e Energia","Industry and Energy")</f>
        <v>Industry and Energy</v>
      </c>
      <c r="Q6" s="194" t="str">
        <f>IF(Indice_index!$Z$1=1,"Transportes e Comunicações","Transport and Communication")</f>
        <v>Transport and Communication</v>
      </c>
      <c r="R6" s="194" t="str">
        <f>IF(Indice_index!$Z$1=1,"Comércio e Turismo","Trade and Tourism")</f>
        <v>Trade and Tourism</v>
      </c>
      <c r="S6" s="194" t="str">
        <f>IF(Indice_index!$Z$1=1,"Outras Funções Económicas","Other Economic Functions")</f>
        <v>Other Economic Functions</v>
      </c>
      <c r="T6" s="192"/>
      <c r="U6" s="194" t="str">
        <f>IF(Indice_index!$Z$1=1,"Operações da Dívida Pública","Public Debt Operations")</f>
        <v>Public Debt Operations</v>
      </c>
      <c r="V6" s="194" t="str">
        <f>IF(Indice_index!$Z$1=1,"Transferências entre Administrações Públicas","Transfers within the General Government")</f>
        <v>Transfers within the General Government</v>
      </c>
      <c r="W6" s="194" t="str">
        <f>IF(Indice_index!$Z$1=1,"Diversas não especificadas","Not Elsewhere Classified")</f>
        <v>Not Elsewhere Classified</v>
      </c>
      <c r="X6" s="101"/>
      <c r="Y6" s="194" t="str">
        <f>IF(Indice_index!$Z$1=1,"TOTAL","TOTAL")</f>
        <v>TOTAL</v>
      </c>
    </row>
    <row r="7" spans="2:29" s="102" customFormat="1" ht="16.149999999999999" customHeight="1">
      <c r="B7" s="99"/>
      <c r="C7" s="107"/>
      <c r="D7" s="105"/>
      <c r="E7" s="105"/>
      <c r="F7" s="105"/>
      <c r="G7" s="113"/>
      <c r="H7" s="113"/>
      <c r="I7" s="105"/>
      <c r="J7" s="105"/>
      <c r="K7" s="105"/>
      <c r="L7" s="105"/>
      <c r="M7" s="113"/>
      <c r="N7" s="113"/>
      <c r="O7" s="105"/>
      <c r="P7" s="105"/>
      <c r="Q7" s="105"/>
      <c r="R7" s="105"/>
      <c r="S7" s="113"/>
      <c r="T7" s="113"/>
      <c r="U7" s="105"/>
      <c r="V7" s="105"/>
      <c r="W7" s="94"/>
      <c r="X7" s="101"/>
      <c r="Y7" s="94"/>
    </row>
    <row r="8" spans="2:29" s="214" customFormat="1">
      <c r="C8" s="262" t="s">
        <v>3</v>
      </c>
      <c r="D8" s="105"/>
      <c r="E8" s="104">
        <v>1945.8910767</v>
      </c>
      <c r="F8" s="104">
        <v>3079.8201110499999</v>
      </c>
      <c r="G8" s="104">
        <v>3242.5955221499999</v>
      </c>
      <c r="H8" s="96"/>
      <c r="I8" s="104">
        <v>8559.1671882699993</v>
      </c>
      <c r="J8" s="104">
        <v>9776.4555506399993</v>
      </c>
      <c r="K8" s="104">
        <v>11809.81511439</v>
      </c>
      <c r="L8" s="104">
        <v>315.84629310000003</v>
      </c>
      <c r="M8" s="104">
        <v>381.90481331000001</v>
      </c>
      <c r="N8" s="96"/>
      <c r="O8" s="104">
        <v>467.98375338</v>
      </c>
      <c r="P8" s="104">
        <v>72.816367979999995</v>
      </c>
      <c r="Q8" s="104">
        <v>573.60646896000003</v>
      </c>
      <c r="R8" s="104">
        <v>0</v>
      </c>
      <c r="S8" s="104">
        <v>473.15192012</v>
      </c>
      <c r="T8" s="96"/>
      <c r="U8" s="96">
        <v>4970.0474270200002</v>
      </c>
      <c r="V8" s="96">
        <v>4896.3422121399999</v>
      </c>
      <c r="W8" s="96">
        <v>0</v>
      </c>
      <c r="X8" s="263"/>
      <c r="Y8" s="96">
        <f t="shared" ref="Y8:Y11" si="0">IF(SUM(E8:W8)=0,"",SUM(E8:W8))</f>
        <v>50565.443819210006</v>
      </c>
    </row>
    <row r="9" spans="2:29" s="214" customFormat="1" ht="12.75" customHeight="1">
      <c r="B9" s="215"/>
      <c r="C9" s="264" t="s">
        <v>4</v>
      </c>
      <c r="D9" s="96"/>
      <c r="E9" s="104">
        <v>1752.3024268999986</v>
      </c>
      <c r="F9" s="104">
        <v>1943.6215805899994</v>
      </c>
      <c r="G9" s="104">
        <v>3526.6518446000032</v>
      </c>
      <c r="H9" s="96"/>
      <c r="I9" s="104">
        <v>7878.5198406600002</v>
      </c>
      <c r="J9" s="104">
        <v>9171.6512384599864</v>
      </c>
      <c r="K9" s="104">
        <v>11233.243573859996</v>
      </c>
      <c r="L9" s="104">
        <v>260.03088572000001</v>
      </c>
      <c r="M9" s="104">
        <v>318.59065270999889</v>
      </c>
      <c r="N9" s="96"/>
      <c r="O9" s="104">
        <v>473.61874714999999</v>
      </c>
      <c r="P9" s="104">
        <v>0.15190126000000001</v>
      </c>
      <c r="Q9" s="104">
        <v>1268.7942109400012</v>
      </c>
      <c r="R9" s="104">
        <v>0</v>
      </c>
      <c r="S9" s="104">
        <v>195.25693158000055</v>
      </c>
      <c r="T9" s="105"/>
      <c r="U9" s="105">
        <v>6037.7714340199991</v>
      </c>
      <c r="V9" s="105">
        <v>4666.1137984699999</v>
      </c>
      <c r="W9" s="105">
        <v>2.8094500000000002E-3</v>
      </c>
      <c r="X9" s="263"/>
      <c r="Y9" s="105">
        <f t="shared" si="0"/>
        <v>48726.321876369984</v>
      </c>
      <c r="Z9" s="216"/>
    </row>
    <row r="10" spans="2:29" s="214" customFormat="1">
      <c r="B10" s="215"/>
      <c r="C10" s="264" t="s">
        <v>5</v>
      </c>
      <c r="D10" s="109"/>
      <c r="E10" s="104">
        <v>1814.7486320200007</v>
      </c>
      <c r="F10" s="104">
        <v>1729.5736762099968</v>
      </c>
      <c r="G10" s="104">
        <v>2737.7433209099913</v>
      </c>
      <c r="H10" s="110"/>
      <c r="I10" s="104">
        <v>6622.4300455300008</v>
      </c>
      <c r="J10" s="104">
        <v>10403.480134020001</v>
      </c>
      <c r="K10" s="104">
        <v>12370.829785919994</v>
      </c>
      <c r="L10" s="104">
        <v>186.08081007999991</v>
      </c>
      <c r="M10" s="104">
        <v>593.76497227000027</v>
      </c>
      <c r="N10" s="108"/>
      <c r="O10" s="104">
        <v>435.99216331999963</v>
      </c>
      <c r="P10" s="104">
        <v>0</v>
      </c>
      <c r="Q10" s="104">
        <v>381.51478431000038</v>
      </c>
      <c r="R10" s="104">
        <v>0</v>
      </c>
      <c r="S10" s="104">
        <v>170.98007351999982</v>
      </c>
      <c r="T10" s="112"/>
      <c r="U10" s="112">
        <v>6848.6762587200001</v>
      </c>
      <c r="V10" s="112">
        <v>4473.48878461</v>
      </c>
      <c r="W10" s="112">
        <v>0.24823322999999997</v>
      </c>
      <c r="X10" s="263"/>
      <c r="Y10" s="112">
        <f t="shared" si="0"/>
        <v>48769.55167466998</v>
      </c>
      <c r="Z10" s="216"/>
    </row>
    <row r="11" spans="2:29" s="217" customFormat="1" ht="12" customHeight="1">
      <c r="C11" s="264" t="s">
        <v>7</v>
      </c>
      <c r="D11" s="220"/>
      <c r="E11" s="220">
        <v>1858.1108394799976</v>
      </c>
      <c r="F11" s="220">
        <v>1799.9788973900013</v>
      </c>
      <c r="G11" s="220">
        <v>3087.5888871199927</v>
      </c>
      <c r="H11" s="220"/>
      <c r="I11" s="220">
        <v>7108.3836605900033</v>
      </c>
      <c r="J11" s="220">
        <v>8588.7627666100034</v>
      </c>
      <c r="K11" s="220">
        <v>13795.470726669986</v>
      </c>
      <c r="L11" s="220">
        <v>125.64706131999995</v>
      </c>
      <c r="M11" s="220">
        <v>197.10142260000015</v>
      </c>
      <c r="N11" s="220"/>
      <c r="O11" s="220">
        <v>378.03216223999988</v>
      </c>
      <c r="P11" s="220">
        <v>167.324546</v>
      </c>
      <c r="Q11" s="220">
        <v>296.02472752000006</v>
      </c>
      <c r="R11" s="112">
        <v>0</v>
      </c>
      <c r="S11" s="220">
        <v>158.39145649000008</v>
      </c>
      <c r="T11" s="220"/>
      <c r="U11" s="220">
        <v>6841.5738536699992</v>
      </c>
      <c r="V11" s="220">
        <v>4499.87916167</v>
      </c>
      <c r="W11" s="220">
        <v>0</v>
      </c>
      <c r="X11" s="266"/>
      <c r="Y11" s="220">
        <f t="shared" si="0"/>
        <v>48902.270169369978</v>
      </c>
      <c r="Z11" s="221"/>
      <c r="AA11" s="221"/>
    </row>
    <row r="12" spans="2:29" s="214" customFormat="1" ht="12" customHeight="1">
      <c r="B12" s="215"/>
      <c r="C12" s="267">
        <v>2014</v>
      </c>
      <c r="D12" s="109"/>
      <c r="E12" s="220">
        <v>2066.7831810600001</v>
      </c>
      <c r="F12" s="220">
        <v>1809.0951875900003</v>
      </c>
      <c r="G12" s="220">
        <v>3159.0803953500008</v>
      </c>
      <c r="H12" s="220"/>
      <c r="I12" s="220">
        <v>6945.0346632599976</v>
      </c>
      <c r="J12" s="220">
        <v>8332.129717419999</v>
      </c>
      <c r="K12" s="220">
        <v>13318.637498540005</v>
      </c>
      <c r="L12" s="220">
        <v>134.69436260999998</v>
      </c>
      <c r="M12" s="220">
        <v>121.69040773999997</v>
      </c>
      <c r="N12" s="220"/>
      <c r="O12" s="220">
        <v>466.36082083000008</v>
      </c>
      <c r="P12" s="220">
        <v>5.2060760699999991</v>
      </c>
      <c r="Q12" s="220">
        <v>282.77860485000002</v>
      </c>
      <c r="R12" s="220">
        <v>20.8</v>
      </c>
      <c r="S12" s="220">
        <v>147.22786319000002</v>
      </c>
      <c r="T12" s="220"/>
      <c r="U12" s="220">
        <v>7379.2863255399998</v>
      </c>
      <c r="V12" s="220">
        <v>4676.0932390100015</v>
      </c>
      <c r="W12" s="220">
        <v>0.4970946</v>
      </c>
      <c r="X12" s="266"/>
      <c r="Y12" s="220">
        <f t="shared" ref="Y12" si="1">IF(SUM(E12:W12)=0,"",SUM(E12:W12))</f>
        <v>48865.395437660001</v>
      </c>
      <c r="Z12" s="216"/>
    </row>
    <row r="13" spans="2:29" s="214" customFormat="1" ht="12" customHeight="1">
      <c r="B13" s="215"/>
      <c r="C13" s="267">
        <v>2015</v>
      </c>
      <c r="D13" s="109"/>
      <c r="E13" s="220">
        <v>1674.7497619900003</v>
      </c>
      <c r="F13" s="220">
        <v>1868.9389274600001</v>
      </c>
      <c r="G13" s="220">
        <v>3181.5640665199999</v>
      </c>
      <c r="H13" s="220"/>
      <c r="I13" s="220">
        <v>6755.8434724000017</v>
      </c>
      <c r="J13" s="220">
        <v>8518.4298048199998</v>
      </c>
      <c r="K13" s="220">
        <v>13625.712428899993</v>
      </c>
      <c r="L13" s="220">
        <v>108.39482844999999</v>
      </c>
      <c r="M13" s="220">
        <v>115.91506511000001</v>
      </c>
      <c r="N13" s="220"/>
      <c r="O13" s="220">
        <v>384.82139983999997</v>
      </c>
      <c r="P13" s="220">
        <v>10.92177948</v>
      </c>
      <c r="Q13" s="220">
        <v>181.52167486000002</v>
      </c>
      <c r="R13" s="220">
        <v>16.63231966</v>
      </c>
      <c r="S13" s="220">
        <v>314.48845475999991</v>
      </c>
      <c r="T13" s="220"/>
      <c r="U13" s="220">
        <v>7091.8352407000002</v>
      </c>
      <c r="V13" s="220">
        <v>4776.14793766</v>
      </c>
      <c r="W13" s="220">
        <v>0.67570663999999991</v>
      </c>
      <c r="X13" s="266"/>
      <c r="Y13" s="220">
        <f>IF(SUM(E13:W13)=0,"",SUM(E13:W13))</f>
        <v>48626.592869250002</v>
      </c>
      <c r="Z13" s="216"/>
    </row>
    <row r="14" spans="2:29" s="214" customFormat="1" ht="12" customHeight="1">
      <c r="B14" s="215"/>
      <c r="C14" s="267">
        <v>2016</v>
      </c>
      <c r="D14" s="109"/>
      <c r="E14" s="220">
        <v>1737.0781945000001</v>
      </c>
      <c r="F14" s="220">
        <v>1812.2145426100001</v>
      </c>
      <c r="G14" s="220">
        <v>3175.0930621999996</v>
      </c>
      <c r="H14" s="220"/>
      <c r="I14" s="220">
        <v>7177.1401529400027</v>
      </c>
      <c r="J14" s="220">
        <v>8811.5409623600008</v>
      </c>
      <c r="K14" s="220">
        <v>13632.247134259998</v>
      </c>
      <c r="L14" s="220">
        <v>142.43118631999999</v>
      </c>
      <c r="M14" s="220">
        <v>131.23985210000004</v>
      </c>
      <c r="N14" s="220"/>
      <c r="O14" s="220">
        <v>418.07866349999995</v>
      </c>
      <c r="P14" s="220">
        <v>110.19612106999999</v>
      </c>
      <c r="Q14" s="220">
        <v>697.10253674000001</v>
      </c>
      <c r="R14" s="220">
        <v>16.363734000000001</v>
      </c>
      <c r="S14" s="220">
        <v>380.92720100000003</v>
      </c>
      <c r="T14" s="220"/>
      <c r="U14" s="220">
        <v>7379.1941598800004</v>
      </c>
      <c r="V14" s="220">
        <v>4896.84783857</v>
      </c>
      <c r="W14" s="220">
        <v>0.25705359</v>
      </c>
      <c r="X14" s="266"/>
      <c r="Y14" s="220">
        <f>IF(SUM(E14:W14)=0,"",SUM(E14:W14))</f>
        <v>50517.952395639993</v>
      </c>
      <c r="Z14" s="216"/>
    </row>
    <row r="15" spans="2:29" s="214" customFormat="1" ht="12" customHeight="1">
      <c r="B15" s="215"/>
      <c r="C15" s="267">
        <v>2017</v>
      </c>
      <c r="D15" s="109"/>
      <c r="E15" s="253">
        <v>1848.0514807599995</v>
      </c>
      <c r="F15" s="253">
        <v>1820.5468678700006</v>
      </c>
      <c r="G15" s="253">
        <v>3214.2298436200003</v>
      </c>
      <c r="H15" s="254"/>
      <c r="I15" s="253">
        <v>7288.9487553100016</v>
      </c>
      <c r="J15" s="253">
        <v>8757.7346226699992</v>
      </c>
      <c r="K15" s="253">
        <v>13669.600447379999</v>
      </c>
      <c r="L15" s="253">
        <v>90.894913920000008</v>
      </c>
      <c r="M15" s="253">
        <v>290.26858649000002</v>
      </c>
      <c r="N15" s="109"/>
      <c r="O15" s="253">
        <v>446.57031962000002</v>
      </c>
      <c r="P15" s="253">
        <v>14.281819550000003</v>
      </c>
      <c r="Q15" s="253">
        <v>895.64251562000004</v>
      </c>
      <c r="R15" s="253">
        <v>16.403269999999999</v>
      </c>
      <c r="S15" s="253">
        <v>365.32847422000003</v>
      </c>
      <c r="T15" s="112"/>
      <c r="U15" s="112">
        <v>7123.179040940001</v>
      </c>
      <c r="V15" s="112">
        <v>4771.1888833800003</v>
      </c>
      <c r="W15" s="112">
        <v>4.6925729999999999E-2</v>
      </c>
      <c r="X15" s="265"/>
      <c r="Y15" s="220">
        <f>IF(SUM(E15:W15)=0,"",SUM(E15:W15))</f>
        <v>50612.916767079994</v>
      </c>
      <c r="Z15" s="340"/>
      <c r="AA15" s="219"/>
    </row>
    <row r="16" spans="2:29" s="219" customFormat="1" ht="12" customHeight="1">
      <c r="B16" s="222"/>
      <c r="C16" s="267">
        <v>2018</v>
      </c>
      <c r="D16" s="109"/>
      <c r="E16" s="253"/>
      <c r="F16" s="253"/>
      <c r="G16" s="253"/>
      <c r="H16" s="254"/>
      <c r="I16" s="253"/>
      <c r="J16" s="253"/>
      <c r="K16" s="253"/>
      <c r="L16" s="253"/>
      <c r="M16" s="253"/>
      <c r="N16" s="109"/>
      <c r="O16" s="253"/>
      <c r="P16" s="253"/>
      <c r="Q16" s="253"/>
      <c r="R16" s="253"/>
      <c r="S16" s="253"/>
      <c r="T16" s="112"/>
      <c r="U16" s="112"/>
      <c r="V16" s="112"/>
      <c r="W16" s="112"/>
      <c r="X16" s="265"/>
      <c r="Y16" s="112" t="str">
        <f t="shared" ref="Y16:Y27" si="2">IF(SUM(E16:W16)=0,"",SUM(E16:W16))</f>
        <v/>
      </c>
      <c r="Z16" s="340"/>
    </row>
    <row r="17" spans="1:27" s="219" customFormat="1" ht="12" customHeight="1">
      <c r="B17" s="222"/>
      <c r="C17" s="109"/>
      <c r="D17" s="109" t="str">
        <f>IF(Indice_index!$Z$1=1,"janeiro","January")</f>
        <v>January</v>
      </c>
      <c r="E17" s="112">
        <v>139.18640610999998</v>
      </c>
      <c r="F17" s="112">
        <v>80.072292669999982</v>
      </c>
      <c r="G17" s="112">
        <v>205.53172660999999</v>
      </c>
      <c r="H17" s="112"/>
      <c r="I17" s="112">
        <v>529.54864423000015</v>
      </c>
      <c r="J17" s="112">
        <v>706.83591881999996</v>
      </c>
      <c r="K17" s="112">
        <v>1104.5508572700001</v>
      </c>
      <c r="L17" s="112">
        <v>2.7009122399999996</v>
      </c>
      <c r="M17" s="112">
        <v>21.310744310000004</v>
      </c>
      <c r="N17" s="112"/>
      <c r="O17" s="112">
        <v>25.967800539999999</v>
      </c>
      <c r="P17" s="112">
        <v>0.61158792999999989</v>
      </c>
      <c r="Q17" s="112">
        <v>3.4468570300000003</v>
      </c>
      <c r="R17" s="112">
        <v>1.3783834499999998</v>
      </c>
      <c r="S17" s="112">
        <v>6.763908569999999</v>
      </c>
      <c r="T17" s="112"/>
      <c r="U17" s="112">
        <v>154.07660000000001</v>
      </c>
      <c r="V17" s="112">
        <v>548.72007818000009</v>
      </c>
      <c r="W17" s="112">
        <v>0.1635654</v>
      </c>
      <c r="X17" s="265"/>
      <c r="Y17" s="112">
        <f t="shared" si="2"/>
        <v>3530.8662833600001</v>
      </c>
      <c r="Z17" s="371"/>
      <c r="AA17" s="367"/>
    </row>
    <row r="18" spans="1:27" s="219" customFormat="1" ht="12" customHeight="1">
      <c r="B18" s="222"/>
      <c r="C18" s="109"/>
      <c r="D18" s="109" t="str">
        <f>IF(Indice_index!$Z$1=1,"fevereiro","February")</f>
        <v>February</v>
      </c>
      <c r="E18" s="112">
        <v>272.27535635000004</v>
      </c>
      <c r="F18" s="112">
        <v>184.07979609999998</v>
      </c>
      <c r="G18" s="112">
        <v>421.34508819000013</v>
      </c>
      <c r="H18" s="112"/>
      <c r="I18" s="112">
        <v>1103.23150538</v>
      </c>
      <c r="J18" s="112">
        <v>1410.4377653300003</v>
      </c>
      <c r="K18" s="112">
        <v>2173.9789867600002</v>
      </c>
      <c r="L18" s="112">
        <v>13.47829705</v>
      </c>
      <c r="M18" s="112">
        <v>46.154813919999995</v>
      </c>
      <c r="N18" s="112"/>
      <c r="O18" s="112">
        <v>47.479204549999992</v>
      </c>
      <c r="P18" s="112">
        <v>1.1853100600000002</v>
      </c>
      <c r="Q18" s="112">
        <v>64.910328620000001</v>
      </c>
      <c r="R18" s="112">
        <v>2.7660213300000001</v>
      </c>
      <c r="S18" s="112">
        <v>15.190416859999997</v>
      </c>
      <c r="T18" s="112"/>
      <c r="U18" s="112">
        <v>1346.4595999999999</v>
      </c>
      <c r="V18" s="112">
        <v>1004.5409689400001</v>
      </c>
      <c r="W18" s="112">
        <v>0.1635654</v>
      </c>
      <c r="X18" s="265"/>
      <c r="Y18" s="112">
        <f t="shared" si="2"/>
        <v>8107.6770248400016</v>
      </c>
      <c r="Z18" s="221"/>
      <c r="AA18" s="221"/>
    </row>
    <row r="19" spans="1:27" s="219" customFormat="1" ht="12" customHeight="1">
      <c r="B19" s="222"/>
      <c r="C19" s="109"/>
      <c r="D19" s="109" t="str">
        <f>IF(Indice_index!$Z$1=1,"março","March")</f>
        <v>March</v>
      </c>
      <c r="E19" s="112">
        <v>386.10658750000005</v>
      </c>
      <c r="F19" s="112">
        <v>307.86094476</v>
      </c>
      <c r="G19" s="112">
        <v>652.16957648999994</v>
      </c>
      <c r="H19" s="112"/>
      <c r="I19" s="112">
        <v>1663.6869979600003</v>
      </c>
      <c r="J19" s="112">
        <v>2114.4425831500002</v>
      </c>
      <c r="K19" s="112">
        <v>3215.0575345199995</v>
      </c>
      <c r="L19" s="112">
        <v>17.987869410000005</v>
      </c>
      <c r="M19" s="112">
        <v>69.181219010000007</v>
      </c>
      <c r="N19" s="112"/>
      <c r="O19" s="112">
        <v>84.770304120000006</v>
      </c>
      <c r="P19" s="112">
        <v>2.0795992499999998</v>
      </c>
      <c r="Q19" s="112">
        <v>72.996353990000003</v>
      </c>
      <c r="R19" s="112">
        <v>4.1518020299999998</v>
      </c>
      <c r="S19" s="112">
        <v>26.483266470000004</v>
      </c>
      <c r="T19" s="112"/>
      <c r="U19" s="112">
        <v>1650.1161</v>
      </c>
      <c r="V19" s="112">
        <v>1368.7204799000001</v>
      </c>
      <c r="W19" s="112">
        <v>0.16806350999999997</v>
      </c>
      <c r="X19" s="265"/>
      <c r="Y19" s="112">
        <f t="shared" si="2"/>
        <v>11635.979282070004</v>
      </c>
      <c r="Z19" s="221"/>
      <c r="AA19" s="371"/>
    </row>
    <row r="20" spans="1:27" s="219" customFormat="1" ht="12" customHeight="1">
      <c r="B20" s="222"/>
      <c r="C20" s="109"/>
      <c r="D20" s="109" t="str">
        <f>IF(Indice_index!$Z$1=1,"abril","April")</f>
        <v>April</v>
      </c>
      <c r="E20" s="112">
        <v>527.63759288000006</v>
      </c>
      <c r="F20" s="112">
        <v>425.8848882100001</v>
      </c>
      <c r="G20" s="112">
        <v>887.22370833999992</v>
      </c>
      <c r="H20" s="112"/>
      <c r="I20" s="112">
        <v>2181.6197852899995</v>
      </c>
      <c r="J20" s="112">
        <v>2869.53920926</v>
      </c>
      <c r="K20" s="112">
        <v>4226.5418171400006</v>
      </c>
      <c r="L20" s="112">
        <v>20.961757559999995</v>
      </c>
      <c r="M20" s="112">
        <v>92.491789990000001</v>
      </c>
      <c r="N20" s="112"/>
      <c r="O20" s="112">
        <v>111.65520804000001</v>
      </c>
      <c r="P20" s="112">
        <v>2.8251168000000009</v>
      </c>
      <c r="Q20" s="112">
        <v>150.82784349000002</v>
      </c>
      <c r="R20" s="112">
        <v>4.84802629</v>
      </c>
      <c r="S20" s="112">
        <v>70.973674770000002</v>
      </c>
      <c r="T20" s="112"/>
      <c r="U20" s="112">
        <v>2971.1390999999999</v>
      </c>
      <c r="V20" s="112">
        <v>1897.6139006599999</v>
      </c>
      <c r="W20" s="112">
        <v>0.16806350999999997</v>
      </c>
      <c r="X20" s="265"/>
      <c r="Y20" s="112">
        <f t="shared" si="2"/>
        <v>16441.951482229997</v>
      </c>
      <c r="Z20" s="221"/>
      <c r="AA20" s="221"/>
    </row>
    <row r="21" spans="1:27" s="219" customFormat="1" ht="12" customHeight="1">
      <c r="B21" s="222"/>
      <c r="C21" s="109"/>
      <c r="D21" s="109" t="str">
        <f>IF(Indice_index!$Z$1=1,"maio","May")</f>
        <v>May</v>
      </c>
      <c r="E21" s="112">
        <v>672.5949481399997</v>
      </c>
      <c r="F21" s="112">
        <v>560.99137251000002</v>
      </c>
      <c r="G21" s="112">
        <v>1121.6667812199998</v>
      </c>
      <c r="H21" s="112"/>
      <c r="I21" s="112">
        <v>2756.5267906200011</v>
      </c>
      <c r="J21" s="112">
        <v>3632.8232004700003</v>
      </c>
      <c r="K21" s="112">
        <v>5269.5292530799998</v>
      </c>
      <c r="L21" s="112">
        <v>28.942143089999998</v>
      </c>
      <c r="M21" s="112">
        <v>114.69698023000001</v>
      </c>
      <c r="N21" s="112"/>
      <c r="O21" s="112">
        <v>136.55775565000002</v>
      </c>
      <c r="P21" s="112">
        <v>3.5269076800000003</v>
      </c>
      <c r="Q21" s="112">
        <v>213.29647404000002</v>
      </c>
      <c r="R21" s="112">
        <v>5.8751422699999996</v>
      </c>
      <c r="S21" s="112">
        <v>115.07428347000001</v>
      </c>
      <c r="T21" s="112"/>
      <c r="U21" s="112">
        <v>3169.23279</v>
      </c>
      <c r="V21" s="112">
        <v>2216.84804996</v>
      </c>
      <c r="W21" s="112">
        <v>0.17259386999999998</v>
      </c>
      <c r="X21" s="265"/>
      <c r="Y21" s="112">
        <f t="shared" si="2"/>
        <v>20018.355466300003</v>
      </c>
      <c r="Z21" s="367"/>
      <c r="AA21" s="221"/>
    </row>
    <row r="22" spans="1:27" s="217" customFormat="1" ht="12" customHeight="1">
      <c r="C22" s="109"/>
      <c r="D22" s="109" t="str">
        <f>IF(Indice_index!$Z$1=1,"junho","June")</f>
        <v>June</v>
      </c>
      <c r="E22" s="109">
        <v>850.15709740000011</v>
      </c>
      <c r="F22" s="109">
        <v>732.03041387000007</v>
      </c>
      <c r="G22" s="109">
        <v>1504.7046433199996</v>
      </c>
      <c r="H22" s="109"/>
      <c r="I22" s="109">
        <v>3679.389230799999</v>
      </c>
      <c r="J22" s="109">
        <v>4355.5669424900007</v>
      </c>
      <c r="K22" s="109">
        <v>6263.7312775699993</v>
      </c>
      <c r="L22" s="109">
        <v>42.682269149999989</v>
      </c>
      <c r="M22" s="109">
        <v>150.07672449000003</v>
      </c>
      <c r="N22" s="109"/>
      <c r="O22" s="109">
        <v>170.42735578000006</v>
      </c>
      <c r="P22" s="109">
        <v>4.7324514899999999</v>
      </c>
      <c r="Q22" s="109">
        <v>340.82608269999997</v>
      </c>
      <c r="R22" s="109">
        <v>7.2669958899999996</v>
      </c>
      <c r="S22" s="109">
        <v>128.55980491999998</v>
      </c>
      <c r="T22" s="109"/>
      <c r="U22" s="109">
        <v>4593.5186899999999</v>
      </c>
      <c r="V22" s="109">
        <v>2549.0879092</v>
      </c>
      <c r="W22" s="109">
        <v>0.17396386999999999</v>
      </c>
      <c r="X22" s="268"/>
      <c r="Y22" s="109">
        <f t="shared" si="2"/>
        <v>25372.931852940001</v>
      </c>
      <c r="Z22" s="221"/>
      <c r="AA22" s="221"/>
    </row>
    <row r="23" spans="1:27" s="217" customFormat="1" ht="12" customHeight="1">
      <c r="C23" s="109"/>
      <c r="D23" s="220" t="str">
        <f>IF(Indice_index!$Z$1=1,"julho","July")</f>
        <v>July</v>
      </c>
      <c r="E23" s="220">
        <v>984.88159265999991</v>
      </c>
      <c r="F23" s="220">
        <v>877.72288420999996</v>
      </c>
      <c r="G23" s="220">
        <v>1751.9256239900005</v>
      </c>
      <c r="H23" s="220"/>
      <c r="I23" s="220">
        <v>4224.7104297199976</v>
      </c>
      <c r="J23" s="220">
        <v>5105.2393774200018</v>
      </c>
      <c r="K23" s="220">
        <v>7781.1900948699995</v>
      </c>
      <c r="L23" s="220">
        <v>46.005138739999985</v>
      </c>
      <c r="M23" s="220">
        <v>181.0123036</v>
      </c>
      <c r="N23" s="220"/>
      <c r="O23" s="220">
        <v>193.43179611999994</v>
      </c>
      <c r="P23" s="220">
        <v>5.5246954600000011</v>
      </c>
      <c r="Q23" s="220">
        <v>357.97057346999998</v>
      </c>
      <c r="R23" s="220">
        <v>9.0199998099999998</v>
      </c>
      <c r="S23" s="220">
        <v>146.93024906000002</v>
      </c>
      <c r="T23" s="220"/>
      <c r="U23" s="220">
        <v>5056.5921900000003</v>
      </c>
      <c r="V23" s="220">
        <v>3069.45688346</v>
      </c>
      <c r="W23" s="220">
        <v>0.17576386999999999</v>
      </c>
      <c r="X23" s="266"/>
      <c r="Y23" s="220">
        <f t="shared" si="2"/>
        <v>29791.789596459999</v>
      </c>
      <c r="Z23" s="221"/>
      <c r="AA23" s="221"/>
    </row>
    <row r="24" spans="1:27" s="217" customFormat="1" ht="12" customHeight="1">
      <c r="C24" s="109"/>
      <c r="D24" s="220" t="str">
        <f>IF(Indice_index!$Z$1=1,"agosto","August")</f>
        <v>August</v>
      </c>
      <c r="E24" s="220">
        <v>1095.5771272499994</v>
      </c>
      <c r="F24" s="220">
        <v>1008.2857025599999</v>
      </c>
      <c r="G24" s="220">
        <v>1992.1596409299998</v>
      </c>
      <c r="H24" s="220"/>
      <c r="I24" s="220">
        <v>4755.0226126199996</v>
      </c>
      <c r="J24" s="220">
        <v>5834.5001361300019</v>
      </c>
      <c r="K24" s="220">
        <v>8834.5687752700051</v>
      </c>
      <c r="L24" s="220">
        <v>54.837495000000004</v>
      </c>
      <c r="M24" s="220">
        <v>207.83674405999997</v>
      </c>
      <c r="N24" s="220"/>
      <c r="O24" s="220">
        <v>215.46535159999999</v>
      </c>
      <c r="P24" s="220">
        <v>6.42361513</v>
      </c>
      <c r="Q24" s="220">
        <v>431.60614022000004</v>
      </c>
      <c r="R24" s="220">
        <v>11.03671192</v>
      </c>
      <c r="S24" s="220">
        <v>158.80773021000002</v>
      </c>
      <c r="T24" s="220"/>
      <c r="U24" s="220">
        <v>5251.15049</v>
      </c>
      <c r="V24" s="220">
        <v>3422.28408992</v>
      </c>
      <c r="W24" s="220">
        <v>0.97399657000000006</v>
      </c>
      <c r="X24" s="266"/>
      <c r="Y24" s="220">
        <f t="shared" si="2"/>
        <v>33280.536359390004</v>
      </c>
      <c r="Z24" s="221"/>
      <c r="AA24" s="221"/>
    </row>
    <row r="25" spans="1:27" s="217" customFormat="1" ht="12" customHeight="1">
      <c r="C25" s="109"/>
      <c r="D25" s="220" t="str">
        <f>IF(Indice_index!$Z$1=1,"setembro","September")</f>
        <v>September</v>
      </c>
      <c r="E25" s="220">
        <v>1261.9258445299997</v>
      </c>
      <c r="F25" s="220">
        <v>1129.1099213499999</v>
      </c>
      <c r="G25" s="220">
        <v>2258.1097305300009</v>
      </c>
      <c r="H25" s="220"/>
      <c r="I25" s="220">
        <v>5264.486962429999</v>
      </c>
      <c r="J25" s="220">
        <v>6538.3446065800008</v>
      </c>
      <c r="K25" s="220">
        <v>9798.0889084999981</v>
      </c>
      <c r="L25" s="220">
        <v>62.145699239999999</v>
      </c>
      <c r="M25" s="220">
        <v>238.57520965999998</v>
      </c>
      <c r="N25" s="220"/>
      <c r="O25" s="220">
        <v>240.24757600999996</v>
      </c>
      <c r="P25" s="220">
        <v>8.8337148500000016</v>
      </c>
      <c r="Q25" s="220">
        <v>564.64534662000005</v>
      </c>
      <c r="R25" s="220">
        <v>11.073213800000001</v>
      </c>
      <c r="S25" s="220">
        <v>173.92680192</v>
      </c>
      <c r="T25" s="220"/>
      <c r="U25" s="220">
        <v>5474.4099900000001</v>
      </c>
      <c r="V25" s="220">
        <v>3782.2734881300003</v>
      </c>
      <c r="W25" s="220">
        <v>0.97466836000000001</v>
      </c>
      <c r="X25" s="266"/>
      <c r="Y25" s="220">
        <f t="shared" si="2"/>
        <v>36807.171682509994</v>
      </c>
      <c r="Z25" s="221"/>
      <c r="AA25" s="221"/>
    </row>
    <row r="26" spans="1:27" s="217" customFormat="1" ht="12" customHeight="1">
      <c r="C26" s="109"/>
      <c r="D26" s="220" t="str">
        <f>IF(Indice_index!$Z$1=1,"outubro","October")</f>
        <v>October</v>
      </c>
      <c r="E26" s="220">
        <v>1367.4345084699999</v>
      </c>
      <c r="F26" s="220">
        <v>1240.7153252199998</v>
      </c>
      <c r="G26" s="220">
        <v>2511.6060620100002</v>
      </c>
      <c r="H26" s="220"/>
      <c r="I26" s="220">
        <v>5798.7324185400012</v>
      </c>
      <c r="J26" s="220">
        <v>7229.554656700001</v>
      </c>
      <c r="K26" s="220">
        <v>10798.926842969999</v>
      </c>
      <c r="L26" s="220">
        <v>65.986183069999996</v>
      </c>
      <c r="M26" s="220">
        <v>261.88316517000004</v>
      </c>
      <c r="N26" s="220"/>
      <c r="O26" s="220">
        <v>288.18108104000004</v>
      </c>
      <c r="P26" s="220">
        <v>9.7898067399999995</v>
      </c>
      <c r="Q26" s="220">
        <v>642.71899769000004</v>
      </c>
      <c r="R26" s="220">
        <v>13.873429420000001</v>
      </c>
      <c r="S26" s="220">
        <v>190.91077927999996</v>
      </c>
      <c r="T26" s="220"/>
      <c r="U26" s="220">
        <v>6842.7021000000004</v>
      </c>
      <c r="V26" s="220">
        <v>4316.7502856800002</v>
      </c>
      <c r="W26" s="220">
        <v>0.97903485999999995</v>
      </c>
      <c r="X26" s="266"/>
      <c r="Y26" s="220">
        <f t="shared" si="2"/>
        <v>41580.744676859991</v>
      </c>
      <c r="Z26" s="221"/>
      <c r="AA26" s="221"/>
    </row>
    <row r="27" spans="1:27" s="217" customFormat="1" ht="12" customHeight="1">
      <c r="C27" s="109"/>
      <c r="D27" s="220" t="str">
        <f>IF(Indice_index!$Z$1=1,"novembro","November")</f>
        <v>November</v>
      </c>
      <c r="E27" s="220">
        <v>1531.8966601899997</v>
      </c>
      <c r="F27" s="220">
        <v>1447.9634108300004</v>
      </c>
      <c r="G27" s="220">
        <v>2920.0615720699998</v>
      </c>
      <c r="H27" s="220"/>
      <c r="I27" s="220">
        <v>6708.7985683200013</v>
      </c>
      <c r="J27" s="220">
        <v>7987.4935362399992</v>
      </c>
      <c r="K27" s="220">
        <v>12401.625214119998</v>
      </c>
      <c r="L27" s="220">
        <v>77.089512880000001</v>
      </c>
      <c r="M27" s="220">
        <v>295.28946933000003</v>
      </c>
      <c r="N27" s="220"/>
      <c r="O27" s="220">
        <v>333.54036926999993</v>
      </c>
      <c r="P27" s="220">
        <v>11.206920030000001</v>
      </c>
      <c r="Q27" s="220">
        <v>738.77613802000008</v>
      </c>
      <c r="R27" s="220">
        <v>15.2633501</v>
      </c>
      <c r="S27" s="220">
        <v>357.73267533000001</v>
      </c>
      <c r="T27" s="220"/>
      <c r="U27" s="220">
        <v>6985.7489999999998</v>
      </c>
      <c r="V27" s="220">
        <v>4672.9641078199993</v>
      </c>
      <c r="W27" s="220">
        <v>2.43749182</v>
      </c>
      <c r="X27" s="266"/>
      <c r="Y27" s="220">
        <f t="shared" si="2"/>
        <v>46487.887996370002</v>
      </c>
      <c r="Z27" s="221"/>
      <c r="AA27" s="221"/>
    </row>
    <row r="28" spans="1:27" s="217" customFormat="1" ht="12" customHeight="1">
      <c r="C28" s="109"/>
      <c r="D28" s="220" t="str">
        <f>IF(Indice_index!$Z$1=1,"dezembro","December")</f>
        <v>December</v>
      </c>
      <c r="E28" s="220">
        <v>2282.0379195800001</v>
      </c>
      <c r="F28" s="220">
        <v>1672.1831653400002</v>
      </c>
      <c r="G28" s="220">
        <v>3270.0667496399997</v>
      </c>
      <c r="H28" s="220"/>
      <c r="I28" s="220">
        <v>7408.1563959700006</v>
      </c>
      <c r="J28" s="220">
        <v>8897.8260183300008</v>
      </c>
      <c r="K28" s="220">
        <v>13470.624699930002</v>
      </c>
      <c r="L28" s="220">
        <v>87.510950099999974</v>
      </c>
      <c r="M28" s="220">
        <v>330.35495813999995</v>
      </c>
      <c r="N28" s="220"/>
      <c r="O28" s="220">
        <v>423.82827310000005</v>
      </c>
      <c r="P28" s="220">
        <v>166.09749294999997</v>
      </c>
      <c r="Q28" s="220">
        <v>920.30910087999996</v>
      </c>
      <c r="R28" s="220">
        <v>16.648480150000001</v>
      </c>
      <c r="S28" s="220">
        <v>443.42723119999999</v>
      </c>
      <c r="T28" s="220"/>
      <c r="U28" s="220">
        <v>7145.5793125099999</v>
      </c>
      <c r="V28" s="220">
        <v>5087.8684144099998</v>
      </c>
      <c r="W28" s="220">
        <v>3.5472595999999998</v>
      </c>
      <c r="X28" s="266"/>
      <c r="Y28" s="220">
        <f>IF(SUM(E28:W28)=0,"",SUM(E28:W28))</f>
        <v>51626.066421830001</v>
      </c>
      <c r="Z28" s="221"/>
      <c r="AA28" s="221"/>
    </row>
    <row r="29" spans="1:27" s="214" customFormat="1" ht="12" customHeight="1">
      <c r="A29" s="219"/>
      <c r="B29" s="222"/>
      <c r="C29" s="267">
        <v>2019</v>
      </c>
      <c r="D29" s="109"/>
      <c r="E29" s="253"/>
      <c r="F29" s="253"/>
      <c r="G29" s="253"/>
      <c r="H29" s="254"/>
      <c r="I29" s="253"/>
      <c r="J29" s="253"/>
      <c r="K29" s="253"/>
      <c r="L29" s="253"/>
      <c r="M29" s="253"/>
      <c r="N29" s="109"/>
      <c r="O29" s="253"/>
      <c r="P29" s="253"/>
      <c r="Q29" s="253"/>
      <c r="R29" s="253"/>
      <c r="S29" s="253"/>
      <c r="T29" s="112"/>
      <c r="U29" s="112"/>
      <c r="V29" s="112"/>
      <c r="W29" s="112"/>
      <c r="X29" s="265"/>
      <c r="Y29" s="112" t="str">
        <f t="shared" ref="Y29:Y40" si="3">IF(SUM(E29:W29)=0,"",SUM(E29:W29))</f>
        <v/>
      </c>
      <c r="Z29" s="340"/>
      <c r="AA29" s="219"/>
    </row>
    <row r="30" spans="1:27" s="214" customFormat="1" ht="12" customHeight="1">
      <c r="A30" s="219"/>
      <c r="B30" s="222"/>
      <c r="C30" s="109"/>
      <c r="D30" s="109" t="str">
        <f>IF(Indice_index!$Z$1=1,"janeiro","January")</f>
        <v>January</v>
      </c>
      <c r="E30" s="112">
        <v>145.19164092</v>
      </c>
      <c r="F30" s="112">
        <v>75.800836304490602</v>
      </c>
      <c r="G30" s="112">
        <v>204.39076201999993</v>
      </c>
      <c r="H30" s="112"/>
      <c r="I30" s="112">
        <v>539.15383352000003</v>
      </c>
      <c r="J30" s="112">
        <v>758.33601270550946</v>
      </c>
      <c r="K30" s="112">
        <v>1215.2264471200001</v>
      </c>
      <c r="L30" s="112">
        <v>2.5775623799999994</v>
      </c>
      <c r="M30" s="112">
        <v>19.533082639999996</v>
      </c>
      <c r="N30" s="112"/>
      <c r="O30" s="112">
        <v>27.817394989999997</v>
      </c>
      <c r="P30" s="112">
        <v>0.54544541999999996</v>
      </c>
      <c r="Q30" s="112">
        <v>3.4480665899999998</v>
      </c>
      <c r="R30" s="112">
        <v>1.3822667999999998</v>
      </c>
      <c r="S30" s="112">
        <v>7.5556644299999993</v>
      </c>
      <c r="T30" s="112"/>
      <c r="U30" s="112">
        <v>191.69</v>
      </c>
      <c r="V30" s="112">
        <v>567.63247349000005</v>
      </c>
      <c r="W30" s="112">
        <v>0</v>
      </c>
      <c r="X30" s="265"/>
      <c r="Y30" s="112">
        <f t="shared" si="3"/>
        <v>3760.2814893300001</v>
      </c>
      <c r="Z30" s="371"/>
      <c r="AA30" s="203"/>
    </row>
    <row r="31" spans="1:27" s="214" customFormat="1" ht="12" customHeight="1">
      <c r="B31" s="215"/>
      <c r="C31" s="109"/>
      <c r="D31" s="109" t="str">
        <f>IF(Indice_index!$Z$1=1,"fevereiro","February")</f>
        <v>February</v>
      </c>
      <c r="E31" s="112">
        <v>258.99180202999997</v>
      </c>
      <c r="F31" s="112">
        <v>171.37145606000001</v>
      </c>
      <c r="G31" s="112">
        <v>432.23520278000007</v>
      </c>
      <c r="H31" s="112"/>
      <c r="I31" s="112">
        <v>1128.6686675700003</v>
      </c>
      <c r="J31" s="112">
        <v>1509.48004889</v>
      </c>
      <c r="K31" s="112">
        <v>2341.9101152799999</v>
      </c>
      <c r="L31" s="112">
        <v>9.177686679999999</v>
      </c>
      <c r="M31" s="112">
        <v>48.508913809999996</v>
      </c>
      <c r="N31" s="112"/>
      <c r="O31" s="112">
        <v>52.843352320000001</v>
      </c>
      <c r="P31" s="112">
        <v>1.3348316100000002</v>
      </c>
      <c r="Q31" s="112">
        <v>15.342077209999999</v>
      </c>
      <c r="R31" s="112">
        <v>1.3858074299999998</v>
      </c>
      <c r="S31" s="112">
        <v>14.671279419999996</v>
      </c>
      <c r="T31" s="112"/>
      <c r="U31" s="112">
        <v>1424.6723400000001</v>
      </c>
      <c r="V31" s="112">
        <v>1193.5844158</v>
      </c>
      <c r="W31" s="112">
        <v>0</v>
      </c>
      <c r="X31" s="265"/>
      <c r="Y31" s="112">
        <f t="shared" si="3"/>
        <v>8604.1779968900009</v>
      </c>
      <c r="Z31"/>
      <c r="AA31"/>
    </row>
    <row r="32" spans="1:27" s="219" customFormat="1" ht="12" customHeight="1">
      <c r="B32" s="222"/>
      <c r="C32" s="109"/>
      <c r="D32" s="109" t="str">
        <f>IF(Indice_index!$Z$1=1,"março","March")</f>
        <v>March</v>
      </c>
      <c r="E32" s="112">
        <v>385.08218837000021</v>
      </c>
      <c r="F32" s="112">
        <v>310.19937421217401</v>
      </c>
      <c r="G32" s="112">
        <v>667.33516684957272</v>
      </c>
      <c r="H32" s="112"/>
      <c r="I32" s="112">
        <v>1700.0001165533183</v>
      </c>
      <c r="J32" s="112">
        <v>2242.6579575549354</v>
      </c>
      <c r="K32" s="112">
        <v>3369.3039400600001</v>
      </c>
      <c r="L32" s="112">
        <v>17.296678960000001</v>
      </c>
      <c r="M32" s="112">
        <v>74.860471279999999</v>
      </c>
      <c r="N32" s="112"/>
      <c r="O32" s="112">
        <v>75.048147</v>
      </c>
      <c r="P32" s="112">
        <v>1.9582803000000002</v>
      </c>
      <c r="Q32" s="112">
        <v>113.43255598</v>
      </c>
      <c r="R32" s="112">
        <v>1.3928886899999999</v>
      </c>
      <c r="S32" s="112">
        <v>25.759983809999998</v>
      </c>
      <c r="T32" s="112"/>
      <c r="U32" s="112">
        <v>1755.21195833</v>
      </c>
      <c r="V32" s="112">
        <v>1580.3772032199997</v>
      </c>
      <c r="W32" s="112">
        <v>2.6445000000000001E-3</v>
      </c>
      <c r="X32" s="265"/>
      <c r="Y32" s="112">
        <f t="shared" si="3"/>
        <v>12319.919555669996</v>
      </c>
      <c r="Z32"/>
      <c r="AA32" s="323"/>
    </row>
    <row r="33" spans="2:27" s="219" customFormat="1" ht="12" customHeight="1">
      <c r="B33" s="222"/>
      <c r="C33" s="109"/>
      <c r="D33" s="109" t="str">
        <f>IF(Indice_index!$Z$1=1,"abril","April")</f>
        <v>April</v>
      </c>
      <c r="E33" s="112">
        <v>514.32430357999999</v>
      </c>
      <c r="F33" s="112">
        <v>442.10928068000004</v>
      </c>
      <c r="G33" s="112">
        <v>901.10984747999998</v>
      </c>
      <c r="H33" s="112"/>
      <c r="I33" s="112">
        <v>2243.2417684700004</v>
      </c>
      <c r="J33" s="112">
        <v>3005.2477043400008</v>
      </c>
      <c r="K33" s="112">
        <v>4470.3953739999997</v>
      </c>
      <c r="L33" s="112">
        <v>21.968399779999999</v>
      </c>
      <c r="M33" s="112">
        <v>102.36189230000001</v>
      </c>
      <c r="N33" s="112"/>
      <c r="O33" s="112">
        <v>101.09549158999999</v>
      </c>
      <c r="P33" s="112">
        <v>2.54237797</v>
      </c>
      <c r="Q33" s="112">
        <v>182.84542199999996</v>
      </c>
      <c r="R33" s="112">
        <v>2.2618176000000001</v>
      </c>
      <c r="S33" s="112">
        <v>60.025968239999997</v>
      </c>
      <c r="T33" s="112"/>
      <c r="U33" s="112">
        <v>3159.4906583299999</v>
      </c>
      <c r="V33" s="112">
        <v>2105.9243988999997</v>
      </c>
      <c r="W33" s="112">
        <v>2.6445000000000001E-3</v>
      </c>
      <c r="X33" s="265"/>
      <c r="Y33" s="112">
        <f t="shared" si="3"/>
        <v>17314.947349760001</v>
      </c>
      <c r="Z33"/>
      <c r="AA33"/>
    </row>
    <row r="34" spans="2:27" s="219" customFormat="1" ht="12" customHeight="1">
      <c r="B34" s="222"/>
      <c r="C34" s="109"/>
      <c r="D34" s="109" t="str">
        <f>IF(Indice_index!$Z$1=1,"maio","May")</f>
        <v>May</v>
      </c>
      <c r="E34" s="112">
        <v>670.00474209000015</v>
      </c>
      <c r="F34" s="112">
        <v>562.10177869999995</v>
      </c>
      <c r="G34" s="112">
        <v>1149.1624164399996</v>
      </c>
      <c r="H34" s="112"/>
      <c r="I34" s="112">
        <v>2804.4758585599993</v>
      </c>
      <c r="J34" s="112">
        <v>3754.6590244400004</v>
      </c>
      <c r="K34" s="112">
        <v>5558.1594932699991</v>
      </c>
      <c r="L34" s="112">
        <v>31.076833599999997</v>
      </c>
      <c r="M34" s="112">
        <v>127.88327237999999</v>
      </c>
      <c r="N34" s="112"/>
      <c r="O34" s="112">
        <v>124.62322866</v>
      </c>
      <c r="P34" s="112">
        <v>3.4547417499999993</v>
      </c>
      <c r="Q34" s="112">
        <v>303.07238475999998</v>
      </c>
      <c r="R34" s="112">
        <v>6.5558882900000004</v>
      </c>
      <c r="S34" s="112">
        <v>109.72555347000002</v>
      </c>
      <c r="T34" s="112"/>
      <c r="U34" s="112">
        <v>3371.08065833</v>
      </c>
      <c r="V34" s="112">
        <v>2430.48065855</v>
      </c>
      <c r="W34" s="112">
        <v>7.0724999999999998E-3</v>
      </c>
      <c r="X34" s="265"/>
      <c r="Y34" s="112">
        <f t="shared" si="3"/>
        <v>21006.523605790004</v>
      </c>
      <c r="Z34" s="203"/>
      <c r="AA34"/>
    </row>
    <row r="35" spans="2:27" s="218" customFormat="1" ht="12" customHeight="1">
      <c r="C35" s="109"/>
      <c r="D35" s="109" t="str">
        <f>IF(Indice_index!$Z$1=1,"junho","June")</f>
        <v>June</v>
      </c>
      <c r="E35" s="109"/>
      <c r="F35" s="109"/>
      <c r="G35" s="109"/>
      <c r="H35" s="109"/>
      <c r="I35" s="109"/>
      <c r="J35" s="109"/>
      <c r="K35" s="109"/>
      <c r="L35" s="109"/>
      <c r="M35" s="109"/>
      <c r="N35" s="109"/>
      <c r="O35" s="109"/>
      <c r="P35" s="109"/>
      <c r="Q35" s="109"/>
      <c r="R35" s="109"/>
      <c r="S35" s="109"/>
      <c r="T35" s="109"/>
      <c r="U35" s="109"/>
      <c r="V35" s="109"/>
      <c r="W35" s="109"/>
      <c r="X35" s="268"/>
      <c r="Y35" s="109" t="str">
        <f t="shared" si="3"/>
        <v/>
      </c>
      <c r="Z35"/>
      <c r="AA35"/>
    </row>
    <row r="36" spans="2:27" s="218" customFormat="1" ht="12" customHeight="1">
      <c r="C36" s="109"/>
      <c r="D36" s="220" t="str">
        <f>IF(Indice_index!$Z$1=1,"julho","July")</f>
        <v>July</v>
      </c>
      <c r="E36" s="220"/>
      <c r="F36" s="220"/>
      <c r="G36" s="220"/>
      <c r="H36" s="220"/>
      <c r="I36" s="220"/>
      <c r="J36" s="220"/>
      <c r="K36" s="220"/>
      <c r="L36" s="220"/>
      <c r="M36" s="220"/>
      <c r="N36" s="220"/>
      <c r="O36" s="220"/>
      <c r="P36" s="220"/>
      <c r="Q36" s="220"/>
      <c r="R36" s="220"/>
      <c r="S36" s="220"/>
      <c r="T36" s="220"/>
      <c r="U36" s="220"/>
      <c r="V36" s="220"/>
      <c r="W36" s="220"/>
      <c r="X36" s="266"/>
      <c r="Y36" s="220" t="str">
        <f t="shared" si="3"/>
        <v/>
      </c>
      <c r="Z36"/>
      <c r="AA36"/>
    </row>
    <row r="37" spans="2:27" s="217" customFormat="1" ht="12" customHeight="1">
      <c r="C37" s="109"/>
      <c r="D37" s="220" t="str">
        <f>IF(Indice_index!$Z$1=1,"agosto","August")</f>
        <v>August</v>
      </c>
      <c r="E37" s="220"/>
      <c r="F37" s="220"/>
      <c r="G37" s="220"/>
      <c r="H37" s="220"/>
      <c r="I37" s="220"/>
      <c r="J37" s="220"/>
      <c r="K37" s="220"/>
      <c r="L37" s="220"/>
      <c r="M37" s="220"/>
      <c r="N37" s="220"/>
      <c r="O37" s="220"/>
      <c r="P37" s="220"/>
      <c r="Q37" s="220"/>
      <c r="R37" s="220"/>
      <c r="S37" s="220"/>
      <c r="T37" s="220"/>
      <c r="U37" s="220"/>
      <c r="V37" s="220"/>
      <c r="W37" s="220"/>
      <c r="X37" s="266"/>
      <c r="Y37" s="220" t="str">
        <f t="shared" si="3"/>
        <v/>
      </c>
      <c r="Z37"/>
      <c r="AA37"/>
    </row>
    <row r="38" spans="2:27" s="217" customFormat="1" ht="12" customHeight="1">
      <c r="C38" s="109"/>
      <c r="D38" s="220" t="str">
        <f>IF(Indice_index!$Z$1=1,"setembro","September")</f>
        <v>September</v>
      </c>
      <c r="E38" s="220"/>
      <c r="F38" s="220"/>
      <c r="G38" s="220"/>
      <c r="H38" s="220"/>
      <c r="I38" s="220"/>
      <c r="J38" s="220"/>
      <c r="K38" s="220"/>
      <c r="L38" s="220"/>
      <c r="M38" s="220"/>
      <c r="N38" s="220"/>
      <c r="O38" s="220"/>
      <c r="P38" s="220"/>
      <c r="Q38" s="220"/>
      <c r="R38" s="220"/>
      <c r="S38" s="220"/>
      <c r="T38" s="220"/>
      <c r="U38" s="220"/>
      <c r="V38" s="220"/>
      <c r="W38" s="220"/>
      <c r="X38" s="266"/>
      <c r="Y38" s="220" t="str">
        <f t="shared" si="3"/>
        <v/>
      </c>
      <c r="Z38"/>
      <c r="AA38"/>
    </row>
    <row r="39" spans="2:27" s="217" customFormat="1" ht="12" customHeight="1">
      <c r="C39" s="109"/>
      <c r="D39" s="220" t="str">
        <f>IF(Indice_index!$Z$1=1,"outubro","October")</f>
        <v>October</v>
      </c>
      <c r="E39" s="220"/>
      <c r="F39" s="220"/>
      <c r="G39" s="220"/>
      <c r="H39" s="220"/>
      <c r="I39" s="220"/>
      <c r="J39" s="220"/>
      <c r="K39" s="220"/>
      <c r="L39" s="220"/>
      <c r="M39" s="220"/>
      <c r="N39" s="220"/>
      <c r="O39" s="220"/>
      <c r="P39" s="220"/>
      <c r="Q39" s="220"/>
      <c r="R39" s="220"/>
      <c r="S39" s="220"/>
      <c r="T39" s="220"/>
      <c r="U39" s="220"/>
      <c r="V39" s="220"/>
      <c r="W39" s="220"/>
      <c r="X39" s="266"/>
      <c r="Y39" s="220" t="str">
        <f t="shared" si="3"/>
        <v/>
      </c>
      <c r="Z39"/>
      <c r="AA39"/>
    </row>
    <row r="40" spans="2:27" s="217" customFormat="1" ht="12" customHeight="1">
      <c r="C40" s="109"/>
      <c r="D40" s="220" t="str">
        <f>IF(Indice_index!$Z$1=1,"novembro","November")</f>
        <v>November</v>
      </c>
      <c r="E40" s="220"/>
      <c r="F40" s="220"/>
      <c r="G40" s="220"/>
      <c r="H40" s="220"/>
      <c r="I40" s="220"/>
      <c r="J40" s="220"/>
      <c r="K40" s="220"/>
      <c r="L40" s="220"/>
      <c r="M40" s="220"/>
      <c r="N40" s="220"/>
      <c r="O40" s="220"/>
      <c r="P40" s="220"/>
      <c r="Q40" s="220"/>
      <c r="R40" s="220"/>
      <c r="S40" s="220"/>
      <c r="T40" s="220"/>
      <c r="U40" s="220"/>
      <c r="V40" s="220"/>
      <c r="W40" s="220"/>
      <c r="X40" s="266"/>
      <c r="Y40" s="220" t="str">
        <f t="shared" si="3"/>
        <v/>
      </c>
      <c r="Z40" s="221"/>
      <c r="AA40" s="221"/>
    </row>
    <row r="41" spans="2:27" s="217" customFormat="1" ht="12" customHeight="1">
      <c r="C41" s="198"/>
      <c r="D41" s="243" t="str">
        <f>IF(Indice_index!$Z$1=1,"dezembro","December")</f>
        <v>December</v>
      </c>
      <c r="E41" s="243"/>
      <c r="F41" s="243"/>
      <c r="G41" s="243"/>
      <c r="H41" s="243"/>
      <c r="I41" s="243"/>
      <c r="J41" s="243"/>
      <c r="K41" s="243"/>
      <c r="L41" s="243"/>
      <c r="M41" s="243"/>
      <c r="N41" s="243"/>
      <c r="O41" s="243"/>
      <c r="P41" s="243"/>
      <c r="Q41" s="243"/>
      <c r="R41" s="243"/>
      <c r="S41" s="243"/>
      <c r="T41" s="243"/>
      <c r="U41" s="243"/>
      <c r="V41" s="243"/>
      <c r="W41" s="243"/>
      <c r="X41" s="266"/>
      <c r="Y41" s="243" t="str">
        <f>IF(SUM(E41:W41)=0,"",SUM(E41:W41))</f>
        <v/>
      </c>
      <c r="Z41" s="221"/>
      <c r="AA41" s="221"/>
    </row>
  </sheetData>
  <mergeCells count="4">
    <mergeCell ref="E5:G5"/>
    <mergeCell ref="I5:M5"/>
    <mergeCell ref="O5:S5"/>
    <mergeCell ref="U5:W5"/>
  </mergeCells>
  <printOptions horizontalCentered="1"/>
  <pageMargins left="0.25" right="0.25" top="0.75" bottom="0.75" header="0.3" footer="0.3"/>
  <pageSetup paperSize="9" scale="59" fitToHeight="0" orientation="landscape" r:id="rId1"/>
  <headerFooter>
    <oddHeader>&amp;L&amp;G</oddHeader>
  </headerFooter>
  <ignoredErrors>
    <ignoredError sqref="C8:C11" numberStoredAsText="1"/>
    <ignoredError sqref="Y12" formula="1"/>
  </ignoredError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GQ75"/>
  <sheetViews>
    <sheetView showGridLines="0" showZeros="0" zoomScale="80" zoomScaleNormal="80" workbookViewId="0">
      <pane xSplit="3" ySplit="7" topLeftCell="D8" activePane="bottomRight" state="frozen"/>
      <selection pane="topRight" activeCell="D1" sqref="D1"/>
      <selection pane="bottomLeft" activeCell="A8" sqref="A8"/>
      <selection pane="bottomRight" activeCell="B2" sqref="B2"/>
    </sheetView>
  </sheetViews>
  <sheetFormatPr defaultRowHeight="12"/>
  <cols>
    <col min="1" max="1" width="2.5703125" style="123" customWidth="1"/>
    <col min="2" max="2" width="4" style="123" customWidth="1"/>
    <col min="3" max="3" width="36.140625" style="123" customWidth="1"/>
    <col min="4" max="21" width="13.7109375" style="123" customWidth="1"/>
    <col min="22" max="22" width="2" style="123" customWidth="1"/>
    <col min="23" max="40" width="13.7109375" style="123" customWidth="1"/>
    <col min="41" max="41" width="2.5703125" style="123" customWidth="1"/>
    <col min="42" max="59" width="13.7109375" style="123" customWidth="1"/>
    <col min="60" max="60" width="12.5703125" style="124" bestFit="1" customWidth="1"/>
    <col min="61" max="61" width="14.85546875" style="124" bestFit="1" customWidth="1"/>
    <col min="62" max="62" width="22.28515625" style="124" customWidth="1"/>
    <col min="63" max="66" width="9.140625" style="137"/>
    <col min="67" max="69" width="9.140625" style="138" customWidth="1"/>
    <col min="70" max="70" width="9.140625" style="137" customWidth="1"/>
    <col min="71" max="75" width="9.140625" style="137"/>
    <col min="76" max="16384" width="9.140625" style="123"/>
  </cols>
  <sheetData>
    <row r="1" spans="2:85" s="2" customFormat="1" ht="45.6" customHeight="1">
      <c r="B1" s="1"/>
      <c r="C1" s="1"/>
      <c r="H1" s="3"/>
      <c r="I1" s="3"/>
      <c r="P1" s="247"/>
      <c r="T1" s="247"/>
      <c r="BH1" s="141"/>
      <c r="BI1" s="141"/>
      <c r="BJ1" s="141"/>
      <c r="BK1" s="136"/>
      <c r="BL1" s="136"/>
      <c r="BM1" s="136"/>
      <c r="BN1" s="136"/>
      <c r="BO1" s="136"/>
      <c r="BP1" s="136"/>
      <c r="BQ1" s="136"/>
      <c r="BR1" s="136"/>
      <c r="BS1" s="136"/>
      <c r="BT1" s="136"/>
      <c r="BU1" s="136"/>
      <c r="BV1" s="136"/>
      <c r="BW1" s="136"/>
      <c r="BX1"/>
      <c r="BY1"/>
      <c r="BZ1"/>
      <c r="CA1"/>
      <c r="CB1"/>
      <c r="CC1"/>
      <c r="CD1"/>
      <c r="CE1"/>
      <c r="CF1"/>
      <c r="CG1"/>
    </row>
    <row r="2" spans="2:85" ht="19.5" thickBot="1">
      <c r="B2" s="89" t="s">
        <v>8</v>
      </c>
      <c r="C2" s="401" t="str">
        <f>IF(Indice_index!$Z$1=1,"4 - Despesa do subsetor Estado - Classificação Económica/Orgânica","4 - State Expenditure - Economic/Organic Classification")</f>
        <v>4 - State Expenditure - Economic/Organic Classification</v>
      </c>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141"/>
      <c r="BI2" s="141"/>
      <c r="BJ2" s="141"/>
      <c r="BK2" s="136"/>
      <c r="BL2" s="136"/>
      <c r="BM2" s="136"/>
      <c r="BN2" s="136"/>
      <c r="BO2" s="136"/>
      <c r="BP2" s="136"/>
      <c r="BQ2" s="136"/>
      <c r="BR2" s="136"/>
      <c r="BS2" s="136"/>
      <c r="BT2" s="136"/>
      <c r="BU2" s="136"/>
      <c r="BV2" s="136"/>
      <c r="BW2" s="136"/>
      <c r="BX2"/>
      <c r="BY2"/>
      <c r="BZ2"/>
      <c r="CA2"/>
      <c r="CB2"/>
      <c r="CC2"/>
      <c r="CD2"/>
      <c r="CE2"/>
      <c r="CF2"/>
      <c r="CG2"/>
    </row>
    <row r="3" spans="2:85" ht="12.75">
      <c r="D3" s="2"/>
      <c r="E3" s="2"/>
      <c r="F3" s="2"/>
      <c r="I3" s="125"/>
      <c r="BH3" s="141"/>
      <c r="BI3" s="141"/>
      <c r="BJ3" s="141"/>
      <c r="BK3" s="136"/>
      <c r="BL3" s="136"/>
      <c r="BM3" s="136"/>
      <c r="BN3" s="136"/>
      <c r="BO3" s="136"/>
      <c r="BP3" s="136"/>
      <c r="BQ3" s="136"/>
      <c r="BR3" s="136"/>
      <c r="BS3" s="136"/>
      <c r="BT3" s="136"/>
      <c r="BU3" s="136"/>
      <c r="BV3" s="136"/>
      <c r="BW3" s="136"/>
      <c r="BX3"/>
      <c r="BY3"/>
      <c r="BZ3"/>
      <c r="CA3"/>
      <c r="CB3"/>
      <c r="CC3"/>
      <c r="CD3"/>
      <c r="CE3"/>
      <c r="CF3"/>
      <c r="CG3"/>
    </row>
    <row r="4" spans="2:85" ht="12.75">
      <c r="F4" s="125"/>
      <c r="I4" s="125"/>
      <c r="BH4" s="141"/>
      <c r="BI4" s="141"/>
      <c r="BJ4" s="141"/>
      <c r="BK4" s="136"/>
      <c r="BL4" s="136"/>
      <c r="BM4" s="136"/>
      <c r="BN4" s="136"/>
      <c r="BO4" s="136"/>
      <c r="BP4" s="136"/>
      <c r="BQ4" s="136"/>
      <c r="BR4" s="136"/>
      <c r="BS4" s="136"/>
      <c r="BT4" s="136"/>
      <c r="BU4" s="136"/>
      <c r="BV4" s="136"/>
      <c r="BW4" s="136"/>
      <c r="BX4"/>
      <c r="BY4"/>
      <c r="BZ4"/>
      <c r="CA4"/>
      <c r="CB4"/>
      <c r="CC4"/>
      <c r="CD4"/>
      <c r="CE4"/>
      <c r="CF4"/>
      <c r="CG4"/>
    </row>
    <row r="5" spans="2:85" ht="13.9" customHeight="1">
      <c r="C5" s="245" t="str">
        <f>IF(Indice_index!$Z$1=1,"(Período: janeiro a maio)","(Period: January to May)")</f>
        <v>(Period: January to May)</v>
      </c>
      <c r="D5" s="142"/>
      <c r="E5" s="142"/>
      <c r="F5" s="142"/>
      <c r="G5" s="142"/>
      <c r="H5" s="142"/>
      <c r="I5" s="142"/>
      <c r="J5" s="142"/>
      <c r="K5" s="142"/>
      <c r="L5" s="142"/>
      <c r="M5" s="142"/>
      <c r="N5" s="142"/>
      <c r="O5" s="142"/>
      <c r="P5" s="142"/>
      <c r="Q5" s="142"/>
      <c r="R5" s="142"/>
      <c r="S5" s="142"/>
      <c r="T5" s="142"/>
      <c r="U5" s="189" t="str">
        <f>IF(Indice_index!$Z$1=1,"€ Milhões","€ Million")</f>
        <v>€ Million</v>
      </c>
      <c r="V5" s="142"/>
      <c r="W5" s="142"/>
      <c r="X5" s="142"/>
      <c r="Y5" s="142"/>
      <c r="Z5" s="142"/>
      <c r="AA5" s="142"/>
      <c r="AB5" s="142"/>
      <c r="AC5" s="142"/>
      <c r="AD5" s="142"/>
      <c r="AE5" s="142"/>
      <c r="AF5" s="142"/>
      <c r="AG5" s="142"/>
      <c r="AH5" s="142"/>
      <c r="AI5" s="142"/>
      <c r="AJ5" s="142"/>
      <c r="AK5" s="142"/>
      <c r="AL5" s="142"/>
      <c r="AM5" s="142"/>
      <c r="AN5" s="189" t="str">
        <f>IF(Indice_index!$Z$1=1,"€ Milhões","€ Million")</f>
        <v>€ Million</v>
      </c>
      <c r="AO5" s="142"/>
      <c r="AP5" s="142"/>
      <c r="AQ5" s="142"/>
      <c r="AR5" s="142"/>
      <c r="AS5" s="142"/>
      <c r="AT5" s="142"/>
      <c r="AU5" s="142"/>
      <c r="AV5" s="142"/>
      <c r="AW5" s="142"/>
      <c r="AX5" s="142"/>
      <c r="AY5" s="142"/>
      <c r="AZ5" s="142"/>
      <c r="BA5" s="142"/>
      <c r="BB5" s="142"/>
      <c r="BC5" s="142"/>
      <c r="BD5" s="142"/>
      <c r="BE5" s="142"/>
      <c r="BF5" s="142"/>
      <c r="BG5" s="142"/>
      <c r="BH5" s="141"/>
      <c r="BI5" s="141"/>
      <c r="BJ5" s="141"/>
      <c r="BK5" s="136"/>
      <c r="BL5" s="136"/>
      <c r="BM5" s="136"/>
      <c r="BN5" s="136"/>
      <c r="BO5" s="136"/>
      <c r="BP5" s="136"/>
      <c r="BQ5" s="136"/>
      <c r="BR5" s="136"/>
      <c r="BS5" s="136"/>
      <c r="BT5" s="136"/>
      <c r="BU5" s="136"/>
      <c r="BV5" s="136"/>
      <c r="BW5" s="136"/>
      <c r="BX5"/>
      <c r="BY5"/>
      <c r="BZ5"/>
      <c r="CA5"/>
      <c r="CB5"/>
      <c r="CC5"/>
      <c r="CD5"/>
      <c r="CE5"/>
      <c r="CF5"/>
      <c r="CG5"/>
    </row>
    <row r="6" spans="2:85" ht="12.75">
      <c r="C6" s="143"/>
      <c r="D6" s="398">
        <v>2019</v>
      </c>
      <c r="E6" s="399"/>
      <c r="F6" s="399"/>
      <c r="G6" s="399"/>
      <c r="H6" s="399"/>
      <c r="I6" s="399"/>
      <c r="J6" s="399"/>
      <c r="K6" s="399"/>
      <c r="L6" s="399"/>
      <c r="M6" s="399"/>
      <c r="N6" s="399"/>
      <c r="O6" s="399"/>
      <c r="P6" s="399"/>
      <c r="Q6" s="399"/>
      <c r="R6" s="399"/>
      <c r="S6" s="399"/>
      <c r="T6" s="399"/>
      <c r="U6" s="399"/>
      <c r="V6" s="144"/>
      <c r="W6" s="398">
        <v>2018</v>
      </c>
      <c r="X6" s="399"/>
      <c r="Y6" s="399"/>
      <c r="Z6" s="399"/>
      <c r="AA6" s="399"/>
      <c r="AB6" s="399"/>
      <c r="AC6" s="399"/>
      <c r="AD6" s="399"/>
      <c r="AE6" s="399"/>
      <c r="AF6" s="399"/>
      <c r="AG6" s="399"/>
      <c r="AH6" s="399"/>
      <c r="AI6" s="399"/>
      <c r="AJ6" s="399"/>
      <c r="AK6" s="399"/>
      <c r="AL6" s="399"/>
      <c r="AM6" s="399"/>
      <c r="AN6" s="399"/>
      <c r="AO6" s="144"/>
      <c r="AP6" s="400" t="str">
        <f>IF(Indice_index!$Z$1=1,"VH (%)","YOY Change Rate (%)")</f>
        <v>YOY Change Rate (%)</v>
      </c>
      <c r="AQ6" s="400"/>
      <c r="AR6" s="400"/>
      <c r="AS6" s="400"/>
      <c r="AT6" s="400"/>
      <c r="AU6" s="400"/>
      <c r="AV6" s="400"/>
      <c r="AW6" s="400"/>
      <c r="AX6" s="400"/>
      <c r="AY6" s="400"/>
      <c r="AZ6" s="400"/>
      <c r="BA6" s="400"/>
      <c r="BB6" s="400"/>
      <c r="BC6" s="400"/>
      <c r="BD6" s="400"/>
      <c r="BE6" s="400"/>
      <c r="BF6" s="400"/>
      <c r="BG6" s="400"/>
      <c r="BH6" s="141"/>
      <c r="BI6" s="141"/>
      <c r="BJ6" s="141"/>
      <c r="BK6" s="136"/>
      <c r="BL6" s="136"/>
      <c r="BM6" s="136"/>
      <c r="BN6" s="136"/>
      <c r="BO6" s="136"/>
      <c r="BP6" s="136"/>
      <c r="BQ6" s="136"/>
      <c r="BR6" s="136"/>
      <c r="BS6" s="136"/>
      <c r="BT6" s="136"/>
      <c r="BU6" s="136"/>
      <c r="BV6" s="136"/>
      <c r="BW6" s="136"/>
      <c r="BX6"/>
      <c r="BY6"/>
      <c r="BZ6"/>
      <c r="CA6"/>
      <c r="CB6"/>
      <c r="CC6"/>
      <c r="CD6"/>
      <c r="CE6"/>
      <c r="CF6"/>
      <c r="CG6"/>
    </row>
    <row r="7" spans="2:85" ht="78.599999999999994" customHeight="1">
      <c r="C7" s="145"/>
      <c r="D7" s="146" t="s">
        <v>120</v>
      </c>
      <c r="E7" s="147" t="s">
        <v>121</v>
      </c>
      <c r="F7" s="146" t="s">
        <v>122</v>
      </c>
      <c r="G7" s="146" t="s">
        <v>98</v>
      </c>
      <c r="H7" s="146" t="s">
        <v>123</v>
      </c>
      <c r="I7" s="146" t="s">
        <v>124</v>
      </c>
      <c r="J7" s="146" t="s">
        <v>99</v>
      </c>
      <c r="K7" s="146" t="s">
        <v>100</v>
      </c>
      <c r="L7" s="146" t="s">
        <v>101</v>
      </c>
      <c r="M7" s="146" t="s">
        <v>125</v>
      </c>
      <c r="N7" s="146" t="s">
        <v>102</v>
      </c>
      <c r="O7" s="146" t="s">
        <v>103</v>
      </c>
      <c r="P7" s="247" t="s">
        <v>104</v>
      </c>
      <c r="Q7" s="247" t="s">
        <v>105</v>
      </c>
      <c r="R7" s="247" t="s">
        <v>106</v>
      </c>
      <c r="S7" s="248" t="s">
        <v>107</v>
      </c>
      <c r="T7" s="247" t="s">
        <v>108</v>
      </c>
      <c r="U7" s="146" t="s">
        <v>9</v>
      </c>
      <c r="V7" s="148"/>
      <c r="W7" s="146" t="s">
        <v>120</v>
      </c>
      <c r="X7" s="147" t="s">
        <v>121</v>
      </c>
      <c r="Y7" s="146" t="s">
        <v>122</v>
      </c>
      <c r="Z7" s="146" t="s">
        <v>98</v>
      </c>
      <c r="AA7" s="146" t="s">
        <v>123</v>
      </c>
      <c r="AB7" s="146" t="s">
        <v>124</v>
      </c>
      <c r="AC7" s="146" t="s">
        <v>99</v>
      </c>
      <c r="AD7" s="146" t="s">
        <v>100</v>
      </c>
      <c r="AE7" s="146" t="s">
        <v>101</v>
      </c>
      <c r="AF7" s="146" t="s">
        <v>125</v>
      </c>
      <c r="AG7" s="146" t="s">
        <v>102</v>
      </c>
      <c r="AH7" s="146" t="s">
        <v>103</v>
      </c>
      <c r="AI7" s="247" t="s">
        <v>104</v>
      </c>
      <c r="AJ7" s="247" t="s">
        <v>105</v>
      </c>
      <c r="AK7" s="247" t="s">
        <v>106</v>
      </c>
      <c r="AL7" s="248" t="s">
        <v>107</v>
      </c>
      <c r="AM7" s="247" t="s">
        <v>108</v>
      </c>
      <c r="AN7" s="146" t="s">
        <v>9</v>
      </c>
      <c r="AO7" s="148"/>
      <c r="AP7" s="146" t="s">
        <v>120</v>
      </c>
      <c r="AQ7" s="147" t="s">
        <v>121</v>
      </c>
      <c r="AR7" s="146" t="s">
        <v>122</v>
      </c>
      <c r="AS7" s="146" t="s">
        <v>98</v>
      </c>
      <c r="AT7" s="146" t="s">
        <v>123</v>
      </c>
      <c r="AU7" s="146" t="s">
        <v>124</v>
      </c>
      <c r="AV7" s="146" t="s">
        <v>99</v>
      </c>
      <c r="AW7" s="146" t="s">
        <v>100</v>
      </c>
      <c r="AX7" s="146" t="s">
        <v>101</v>
      </c>
      <c r="AY7" s="146" t="s">
        <v>125</v>
      </c>
      <c r="AZ7" s="146" t="s">
        <v>102</v>
      </c>
      <c r="BA7" s="146" t="s">
        <v>103</v>
      </c>
      <c r="BB7" s="247" t="s">
        <v>104</v>
      </c>
      <c r="BC7" s="247" t="s">
        <v>105</v>
      </c>
      <c r="BD7" s="247" t="s">
        <v>106</v>
      </c>
      <c r="BE7" s="248" t="s">
        <v>107</v>
      </c>
      <c r="BF7" s="247" t="s">
        <v>108</v>
      </c>
      <c r="BG7" s="149" t="s">
        <v>9</v>
      </c>
      <c r="BH7" s="150"/>
      <c r="BI7" s="150"/>
      <c r="BJ7" s="150"/>
      <c r="BK7" s="151"/>
      <c r="BL7" s="151"/>
      <c r="BM7" s="151"/>
      <c r="BN7" s="151"/>
    </row>
    <row r="8" spans="2:85" ht="12.75">
      <c r="C8" s="152" t="str">
        <f>IF(Indice_index!$Z$1=1,"Despesa corrente","Current Expenditure")</f>
        <v>Current Expenditure</v>
      </c>
      <c r="D8" s="251">
        <f t="shared" ref="D8:T8" si="0">+D9+D13+D16+D17+D24+D25</f>
        <v>1362.40184314</v>
      </c>
      <c r="E8" s="251">
        <f t="shared" si="0"/>
        <v>40.53024988</v>
      </c>
      <c r="F8" s="251">
        <f t="shared" si="0"/>
        <v>106.74139121</v>
      </c>
      <c r="G8" s="251">
        <f t="shared" si="0"/>
        <v>4706.68852926</v>
      </c>
      <c r="H8" s="251">
        <f t="shared" si="0"/>
        <v>512.6431745299999</v>
      </c>
      <c r="I8" s="251">
        <f t="shared" si="0"/>
        <v>668.77887608000003</v>
      </c>
      <c r="J8" s="251">
        <f t="shared" si="0"/>
        <v>417.14440983999992</v>
      </c>
      <c r="K8" s="251">
        <f t="shared" ref="K8:N8" si="1">+K9+K13+K16+K17+K24+K25</f>
        <v>116.01948354</v>
      </c>
      <c r="L8" s="251">
        <f t="shared" si="1"/>
        <v>542.0742441000001</v>
      </c>
      <c r="M8" s="251">
        <f t="shared" si="1"/>
        <v>2291.6712540299995</v>
      </c>
      <c r="N8" s="251">
        <f t="shared" si="1"/>
        <v>5554.6950274700012</v>
      </c>
      <c r="O8" s="251">
        <f t="shared" si="0"/>
        <v>3723.2412938800007</v>
      </c>
      <c r="P8" s="251">
        <f t="shared" si="0"/>
        <v>54.30813723</v>
      </c>
      <c r="Q8" s="251">
        <f t="shared" si="0"/>
        <v>23.829128359999999</v>
      </c>
      <c r="R8" s="251">
        <f t="shared" si="0"/>
        <v>49.979160280000009</v>
      </c>
      <c r="S8" s="251">
        <f t="shared" si="0"/>
        <v>94.943692039999988</v>
      </c>
      <c r="T8" s="251">
        <f t="shared" si="0"/>
        <v>14.20308642</v>
      </c>
      <c r="U8" s="251">
        <f>+U9+U13+U16+U17+U24+U25</f>
        <v>20279.892981290002</v>
      </c>
      <c r="V8" s="153"/>
      <c r="W8" s="251">
        <f t="shared" ref="W8:AM8" si="2">+W9+W13+W16+W17+W24+W25</f>
        <v>1341.1525728399999</v>
      </c>
      <c r="X8" s="251">
        <f t="shared" si="2"/>
        <v>39.813625559999998</v>
      </c>
      <c r="Y8" s="251">
        <f t="shared" si="2"/>
        <v>103.49810428000001</v>
      </c>
      <c r="Z8" s="251">
        <f t="shared" si="2"/>
        <v>4355.7934206800001</v>
      </c>
      <c r="AA8" s="251">
        <f t="shared" si="2"/>
        <v>511.82145952000002</v>
      </c>
      <c r="AB8" s="251">
        <f t="shared" si="2"/>
        <v>674.53227774999993</v>
      </c>
      <c r="AC8" s="251">
        <f t="shared" si="2"/>
        <v>396.43095291000009</v>
      </c>
      <c r="AD8" s="251">
        <f t="shared" si="2"/>
        <v>102.54516134999999</v>
      </c>
      <c r="AE8" s="251">
        <f t="shared" si="2"/>
        <v>543.46233961999997</v>
      </c>
      <c r="AF8" s="251">
        <f t="shared" si="2"/>
        <v>2258.1896236900006</v>
      </c>
      <c r="AG8" s="251">
        <f t="shared" si="2"/>
        <v>5266.7871466599991</v>
      </c>
      <c r="AH8" s="251">
        <f t="shared" si="2"/>
        <v>3603.0865344800004</v>
      </c>
      <c r="AI8" s="251">
        <f t="shared" si="2"/>
        <v>80.146827660000014</v>
      </c>
      <c r="AJ8" s="251">
        <f t="shared" si="2"/>
        <v>22.086964559999998</v>
      </c>
      <c r="AK8" s="251">
        <f t="shared" si="2"/>
        <v>28.57384712</v>
      </c>
      <c r="AL8" s="251">
        <f t="shared" si="2"/>
        <v>106.14598413999998</v>
      </c>
      <c r="AM8" s="251">
        <f t="shared" si="2"/>
        <v>12.93341305</v>
      </c>
      <c r="AN8" s="251">
        <f>+AN9+AN13+AN16+AN17+AN24+AN25</f>
        <v>19447.00025587</v>
      </c>
      <c r="AO8" s="153"/>
      <c r="AP8" s="154">
        <f t="shared" ref="AP8:AP25" si="3">IF(W8=0,"-",IF((D8/W8)&gt;3,"-",((D8-W8)/W8)*100))</f>
        <v>1.5844036487961226</v>
      </c>
      <c r="AQ8" s="154">
        <f t="shared" ref="AQ8:AQ25" si="4">IF(X8=0,"-",IF((E8/X8)&gt;3,"-",((E8-X8)/X8)*100))</f>
        <v>1.7999474047396979</v>
      </c>
      <c r="AR8" s="154">
        <f t="shared" ref="AR8:AR25" si="5">IF(Y8=0,"-",IF((F8/Y8)&gt;3,"-",((F8-Y8)/Y8)*100))</f>
        <v>3.1336679570726491</v>
      </c>
      <c r="AS8" s="154">
        <f t="shared" ref="AS8:AS25" si="6">IF(Z8=0,"-",IF((G8/Z8)&gt;3,"-",((G8-Z8)/Z8)*100))</f>
        <v>8.0558253041582564</v>
      </c>
      <c r="AT8" s="154">
        <f t="shared" ref="AT8:AT25" si="7">IF(AA8=0,"-",IF((H8/AA8)&gt;3,"-",((H8-AA8)/AA8)*100))</f>
        <v>0.16054719760490388</v>
      </c>
      <c r="AU8" s="154">
        <f t="shared" ref="AU8:AU25" si="8">IF(AB8=0,"-",IF((I8/AB8)&gt;3,"-",((I8-AB8)/AB8)*100))</f>
        <v>-0.85294682845885561</v>
      </c>
      <c r="AV8" s="154">
        <f t="shared" ref="AV8:AV25" si="9">IF(AC8=0,"-",IF((J8/AC8)&gt;3,"-",((J8-AC8)/AC8)*100))</f>
        <v>5.2249847742596218</v>
      </c>
      <c r="AW8" s="154">
        <f t="shared" ref="AW8:AW25" si="10">IF(AD8=0,"-",IF((K8/AD8)&gt;3,"-",((K8-AD8)/AD8)*100))</f>
        <v>13.139890768722273</v>
      </c>
      <c r="AX8" s="154">
        <f t="shared" ref="AX8:AX25" si="11">IF(AE8=0,"-",IF((L8/AE8)&gt;3,"-",((L8-AE8)/AE8)*100))</f>
        <v>-0.25541705814803101</v>
      </c>
      <c r="AY8" s="154">
        <f t="shared" ref="AY8:AY25" si="12">IF(AF8=0,"-",IF((M8/AF8)&gt;3,"-",((M8-AF8)/AF8)*100))</f>
        <v>1.482675767736819</v>
      </c>
      <c r="AZ8" s="154">
        <f t="shared" ref="AZ8:AZ25" si="13">IF(AG8=0,"-",IF((N8/AG8)&gt;3,"-",((N8-AG8)/AG8)*100))</f>
        <v>5.4664802809162811</v>
      </c>
      <c r="BA8" s="154">
        <f t="shared" ref="BA8:BA25" si="14">IF(AH8=0,"-",IF((O8/AH8)&gt;3,"-",((O8-AH8)/AH8)*100))</f>
        <v>3.3347730688722175</v>
      </c>
      <c r="BB8" s="154">
        <f t="shared" ref="BB8:BB25" si="15">IF(AI8=0,"-",IF((P8/AI8)&gt;3,"-",((P8-AI8)/AI8)*100))</f>
        <v>-32.239192971695978</v>
      </c>
      <c r="BC8" s="154">
        <f t="shared" ref="BC8:BC25" si="16">IF(AJ8=0,"-",IF((Q8/AJ8)&gt;3,"-",((Q8-AJ8)/AJ8)*100))</f>
        <v>7.8877466175460746</v>
      </c>
      <c r="BD8" s="154">
        <f t="shared" ref="BD8:BD25" si="17">IF(AK8=0,"-",IF((R8/AK8)&gt;3,"-",((R8-AK8)/AK8)*100))</f>
        <v>74.912254797561218</v>
      </c>
      <c r="BE8" s="154">
        <f t="shared" ref="BE8:BE25" si="18">IF(AL8=0,"-",IF((S8/AL8)&gt;3,"-",((S8-AL8)/AL8)*100))</f>
        <v>-10.553665492634053</v>
      </c>
      <c r="BF8" s="154">
        <f t="shared" ref="BF8:BF25" si="19">IF(AM8=0,"-",IF((T8/AM8)&gt;3,"-",((T8-AM8)/AM8)*100))</f>
        <v>9.8170016305170087</v>
      </c>
      <c r="BG8" s="155">
        <f t="shared" ref="BG8:BG25" si="20">IF(AN8=0,"-",IF((U8/AN8)&gt;3,"-",((U8-AN8)/AN8)*100))</f>
        <v>4.2828853522979573</v>
      </c>
      <c r="BH8" s="150"/>
      <c r="BI8" s="150"/>
      <c r="BJ8" s="150"/>
      <c r="BK8" s="151"/>
      <c r="BL8" s="151"/>
      <c r="BM8" s="151"/>
      <c r="BN8" s="151"/>
    </row>
    <row r="9" spans="2:85" ht="12.75">
      <c r="C9" s="156" t="str">
        <f>IF(Indice_index!$Z$1=1,"Despesas com o pessoal","Employees")</f>
        <v>Employees</v>
      </c>
      <c r="D9" s="240">
        <f>SUM(D10:D12)</f>
        <v>15.029611770000002</v>
      </c>
      <c r="E9" s="240">
        <f t="shared" ref="E9:T9" si="21">SUM(E10:E12)</f>
        <v>17.03543161</v>
      </c>
      <c r="F9" s="240">
        <f t="shared" si="21"/>
        <v>48.521917700000003</v>
      </c>
      <c r="G9" s="240">
        <f t="shared" si="21"/>
        <v>190.68435111999997</v>
      </c>
      <c r="H9" s="240">
        <f t="shared" si="21"/>
        <v>399.56476380999999</v>
      </c>
      <c r="I9" s="240">
        <f t="shared" si="21"/>
        <v>582.41814465000004</v>
      </c>
      <c r="J9" s="240">
        <f t="shared" si="21"/>
        <v>344.96091407</v>
      </c>
      <c r="K9" s="240">
        <f t="shared" ref="K9:N9" si="22">SUM(K10:K12)</f>
        <v>10.830499339999999</v>
      </c>
      <c r="L9" s="240">
        <f t="shared" si="22"/>
        <v>2.0615957099999997</v>
      </c>
      <c r="M9" s="240">
        <f t="shared" si="22"/>
        <v>1781.9710888299996</v>
      </c>
      <c r="N9" s="240">
        <f t="shared" si="22"/>
        <v>17.717961590000002</v>
      </c>
      <c r="O9" s="240">
        <f t="shared" si="21"/>
        <v>5.8448548999999996</v>
      </c>
      <c r="P9" s="240">
        <f t="shared" si="21"/>
        <v>1.49126683</v>
      </c>
      <c r="Q9" s="240">
        <f t="shared" si="21"/>
        <v>12.395645639999998</v>
      </c>
      <c r="R9" s="240">
        <f t="shared" si="21"/>
        <v>10.917706920000001</v>
      </c>
      <c r="S9" s="240">
        <f t="shared" si="21"/>
        <v>34.633080559999996</v>
      </c>
      <c r="T9" s="240">
        <f t="shared" si="21"/>
        <v>4.9433750999999999</v>
      </c>
      <c r="U9" s="240">
        <f>SUM(U10:U12)</f>
        <v>3481.0222101500003</v>
      </c>
      <c r="V9" s="148"/>
      <c r="W9" s="240">
        <f t="shared" ref="W9:AN9" si="23">SUM(W10:W12)</f>
        <v>14.82478246</v>
      </c>
      <c r="X9" s="240">
        <f t="shared" si="23"/>
        <v>16.774530419999998</v>
      </c>
      <c r="Y9" s="240">
        <f t="shared" si="23"/>
        <v>48.033708340000011</v>
      </c>
      <c r="Z9" s="240">
        <f t="shared" si="23"/>
        <v>179.38170259999993</v>
      </c>
      <c r="AA9" s="240">
        <f t="shared" si="23"/>
        <v>399.12891070000001</v>
      </c>
      <c r="AB9" s="240">
        <f t="shared" si="23"/>
        <v>577.84308249000003</v>
      </c>
      <c r="AC9" s="240">
        <f t="shared" si="23"/>
        <v>337.28159329000005</v>
      </c>
      <c r="AD9" s="240">
        <f t="shared" si="23"/>
        <v>10.364570580000001</v>
      </c>
      <c r="AE9" s="240">
        <f t="shared" si="23"/>
        <v>1.9253248300000003</v>
      </c>
      <c r="AF9" s="240">
        <f t="shared" si="23"/>
        <v>1720.3342865800005</v>
      </c>
      <c r="AG9" s="240">
        <f t="shared" si="23"/>
        <v>17.262353019999995</v>
      </c>
      <c r="AH9" s="240">
        <f t="shared" si="23"/>
        <v>5.7954501799999996</v>
      </c>
      <c r="AI9" s="240">
        <f t="shared" si="23"/>
        <v>1.0235237699999999</v>
      </c>
      <c r="AJ9" s="240">
        <f t="shared" si="23"/>
        <v>12.064747669999999</v>
      </c>
      <c r="AK9" s="240">
        <f t="shared" si="23"/>
        <v>10.7576661</v>
      </c>
      <c r="AL9" s="240">
        <f t="shared" si="23"/>
        <v>34.296385199999996</v>
      </c>
      <c r="AM9" s="240">
        <f t="shared" si="23"/>
        <v>4.7615936999999997</v>
      </c>
      <c r="AN9" s="240">
        <f t="shared" si="23"/>
        <v>3391.85421193</v>
      </c>
      <c r="AO9" s="148"/>
      <c r="AP9" s="157">
        <f t="shared" si="3"/>
        <v>1.3816682339364508</v>
      </c>
      <c r="AQ9" s="157">
        <f t="shared" si="4"/>
        <v>1.5553412433467215</v>
      </c>
      <c r="AR9" s="157">
        <f t="shared" si="5"/>
        <v>1.0163890669116551</v>
      </c>
      <c r="AS9" s="157">
        <f t="shared" si="6"/>
        <v>6.3008926530280647</v>
      </c>
      <c r="AT9" s="157">
        <f t="shared" si="7"/>
        <v>0.10920108724661781</v>
      </c>
      <c r="AU9" s="157">
        <f t="shared" si="8"/>
        <v>0.79174819230949101</v>
      </c>
      <c r="AV9" s="157">
        <f t="shared" si="9"/>
        <v>2.2768277109617285</v>
      </c>
      <c r="AW9" s="157">
        <f t="shared" si="10"/>
        <v>4.4953985927702451</v>
      </c>
      <c r="AX9" s="157">
        <f t="shared" si="11"/>
        <v>7.0778124229561517</v>
      </c>
      <c r="AY9" s="157">
        <f t="shared" si="12"/>
        <v>3.5828386802969687</v>
      </c>
      <c r="AZ9" s="157">
        <f t="shared" si="13"/>
        <v>2.6393190399486235</v>
      </c>
      <c r="BA9" s="157">
        <f t="shared" si="14"/>
        <v>0.85247424213040301</v>
      </c>
      <c r="BB9" s="157">
        <f t="shared" si="15"/>
        <v>45.699286495319996</v>
      </c>
      <c r="BC9" s="157">
        <f t="shared" si="16"/>
        <v>2.7426845471688077</v>
      </c>
      <c r="BD9" s="157">
        <f t="shared" si="17"/>
        <v>1.4876909035129913</v>
      </c>
      <c r="BE9" s="157">
        <f t="shared" si="18"/>
        <v>0.98172258690399894</v>
      </c>
      <c r="BF9" s="157">
        <f t="shared" si="19"/>
        <v>3.817658780924551</v>
      </c>
      <c r="BG9" s="158">
        <f t="shared" si="20"/>
        <v>2.6288865219022131</v>
      </c>
      <c r="BH9" s="150"/>
      <c r="BI9" s="150"/>
      <c r="BJ9" s="150"/>
      <c r="BK9" s="151"/>
      <c r="BL9" s="151"/>
      <c r="BM9" s="151"/>
      <c r="BN9" s="151"/>
    </row>
    <row r="10" spans="2:85" ht="12.75">
      <c r="C10" s="159" t="str">
        <f>IF(Indice_index!$Z$1=1,"Remunerações Certas e Permanentes","Certain and permanent wages")</f>
        <v>Certain and permanent wages</v>
      </c>
      <c r="D10" s="236">
        <v>12.199647650000001</v>
      </c>
      <c r="E10" s="236">
        <v>13.902378199999999</v>
      </c>
      <c r="F10" s="236">
        <v>25.813799710000001</v>
      </c>
      <c r="G10" s="236">
        <v>120.62207468999999</v>
      </c>
      <c r="H10" s="236">
        <v>242.74411886999999</v>
      </c>
      <c r="I10" s="236">
        <v>381.24587071000002</v>
      </c>
      <c r="J10" s="236">
        <v>260.17880671999995</v>
      </c>
      <c r="K10" s="236">
        <v>8.7298334699999991</v>
      </c>
      <c r="L10" s="236">
        <v>1.47929803</v>
      </c>
      <c r="M10" s="236">
        <v>1352.8939754499997</v>
      </c>
      <c r="N10" s="236">
        <v>14.156810110000002</v>
      </c>
      <c r="O10" s="236">
        <v>4.6788349899999995</v>
      </c>
      <c r="P10" s="236">
        <v>1.20602711</v>
      </c>
      <c r="Q10" s="236">
        <v>9.6695830299999983</v>
      </c>
      <c r="R10" s="236">
        <v>8.690145320000001</v>
      </c>
      <c r="S10" s="236">
        <v>27.329462829999997</v>
      </c>
      <c r="T10" s="236">
        <v>3.7700579000000003</v>
      </c>
      <c r="U10" s="240">
        <f t="shared" ref="U10:U36" si="24">SUM(D10:T10)</f>
        <v>2489.3107247899998</v>
      </c>
      <c r="V10" s="148"/>
      <c r="W10" s="236">
        <v>12.074347789999999</v>
      </c>
      <c r="X10" s="236">
        <v>13.778590589999999</v>
      </c>
      <c r="Y10" s="236">
        <v>25.700528730000013</v>
      </c>
      <c r="Z10" s="236">
        <v>119.09002152999992</v>
      </c>
      <c r="AA10" s="236">
        <v>239.46115623</v>
      </c>
      <c r="AB10" s="236">
        <v>380.62208102</v>
      </c>
      <c r="AC10" s="236">
        <v>255.10842888000002</v>
      </c>
      <c r="AD10" s="236">
        <v>8.3536783700000008</v>
      </c>
      <c r="AE10" s="236">
        <v>1.3009779400000001</v>
      </c>
      <c r="AF10" s="236">
        <v>1300.2168251700004</v>
      </c>
      <c r="AG10" s="236">
        <v>13.771525959999996</v>
      </c>
      <c r="AH10" s="236">
        <v>4.6449787599999999</v>
      </c>
      <c r="AI10" s="236">
        <v>0.81474161</v>
      </c>
      <c r="AJ10" s="236">
        <v>9.3098977499999993</v>
      </c>
      <c r="AK10" s="236">
        <v>8.5854507899999994</v>
      </c>
      <c r="AL10" s="236">
        <v>26.949603669999998</v>
      </c>
      <c r="AM10" s="236">
        <v>3.6457449099999999</v>
      </c>
      <c r="AN10" s="240">
        <f>SUM(W10:AM10)</f>
        <v>2423.4285796999998</v>
      </c>
      <c r="AO10" s="148"/>
      <c r="AP10" s="157">
        <f t="shared" si="3"/>
        <v>1.0377360514973366</v>
      </c>
      <c r="AQ10" s="157">
        <f t="shared" si="4"/>
        <v>0.89840545875455058</v>
      </c>
      <c r="AR10" s="157">
        <f t="shared" si="5"/>
        <v>0.44073404555202178</v>
      </c>
      <c r="AS10" s="157">
        <f t="shared" si="6"/>
        <v>1.2864664396875065</v>
      </c>
      <c r="AT10" s="157">
        <f t="shared" si="7"/>
        <v>1.3709791983325854</v>
      </c>
      <c r="AU10" s="157">
        <f t="shared" si="8"/>
        <v>0.16388688967502291</v>
      </c>
      <c r="AV10" s="157">
        <f t="shared" si="9"/>
        <v>1.9875383429157414</v>
      </c>
      <c r="AW10" s="157">
        <f t="shared" si="10"/>
        <v>4.5028678785486722</v>
      </c>
      <c r="AX10" s="157">
        <f t="shared" si="11"/>
        <v>13.706619037675605</v>
      </c>
      <c r="AY10" s="157">
        <f t="shared" si="12"/>
        <v>4.0514127536468294</v>
      </c>
      <c r="AZ10" s="157">
        <f t="shared" si="13"/>
        <v>2.7976866987658484</v>
      </c>
      <c r="BA10" s="157">
        <f t="shared" si="14"/>
        <v>0.72887803689331832</v>
      </c>
      <c r="BB10" s="157">
        <f t="shared" si="15"/>
        <v>48.025717012293008</v>
      </c>
      <c r="BC10" s="157">
        <f t="shared" si="16"/>
        <v>3.8634718625131952</v>
      </c>
      <c r="BD10" s="157">
        <f t="shared" si="17"/>
        <v>1.219441268266841</v>
      </c>
      <c r="BE10" s="157">
        <f t="shared" si="18"/>
        <v>1.4095166839980424</v>
      </c>
      <c r="BF10" s="157">
        <f t="shared" si="19"/>
        <v>3.4098104247233363</v>
      </c>
      <c r="BG10" s="158">
        <f t="shared" si="20"/>
        <v>2.7185511321384044</v>
      </c>
      <c r="BH10" s="150"/>
      <c r="BI10" s="150"/>
      <c r="BJ10" s="150"/>
      <c r="BK10" s="151"/>
      <c r="BL10" s="151"/>
      <c r="BM10" s="151"/>
      <c r="BN10" s="151"/>
    </row>
    <row r="11" spans="2:85" ht="12.75">
      <c r="C11" s="159" t="str">
        <f>IF(Indice_index!$Z$1=1,"Abonos Variáveis ou Eventuais","Variable or contingent bonuses")</f>
        <v>Variable or contingent bonuses</v>
      </c>
      <c r="D11" s="236">
        <v>0.31226783999999996</v>
      </c>
      <c r="E11" s="236">
        <v>0.20653132000000002</v>
      </c>
      <c r="F11" s="236">
        <v>16.90798311</v>
      </c>
      <c r="G11" s="236">
        <v>26.428369610000001</v>
      </c>
      <c r="H11" s="236">
        <v>34.753336229999988</v>
      </c>
      <c r="I11" s="236">
        <v>39.250757699999994</v>
      </c>
      <c r="J11" s="236">
        <v>25.637611669999998</v>
      </c>
      <c r="K11" s="236">
        <v>0.10108686</v>
      </c>
      <c r="L11" s="236">
        <v>2.7168890000000001E-2</v>
      </c>
      <c r="M11" s="236">
        <v>4.2187153899999998</v>
      </c>
      <c r="N11" s="236">
        <v>0.22874673000000004</v>
      </c>
      <c r="O11" s="236">
        <v>0.10010801999999999</v>
      </c>
      <c r="P11" s="236">
        <v>1.6265089999999999E-2</v>
      </c>
      <c r="Q11" s="236">
        <v>0.28836252000000001</v>
      </c>
      <c r="R11" s="236">
        <v>0.22856009999999999</v>
      </c>
      <c r="S11" s="236">
        <v>0.96469748999999994</v>
      </c>
      <c r="T11" s="236">
        <v>0.18854114999999996</v>
      </c>
      <c r="U11" s="241">
        <f t="shared" si="24"/>
        <v>149.85910971999999</v>
      </c>
      <c r="V11" s="148"/>
      <c r="W11" s="236">
        <v>0.28924136000000006</v>
      </c>
      <c r="X11" s="236">
        <v>0.19469409999999998</v>
      </c>
      <c r="Y11" s="236">
        <v>16.579135269999998</v>
      </c>
      <c r="Z11" s="236">
        <v>26.136324980000008</v>
      </c>
      <c r="AA11" s="236">
        <v>27.520395659999998</v>
      </c>
      <c r="AB11" s="236">
        <v>36.110353350000011</v>
      </c>
      <c r="AC11" s="236">
        <v>24.452405529999997</v>
      </c>
      <c r="AD11" s="236">
        <v>9.7780020000000023E-2</v>
      </c>
      <c r="AE11" s="236">
        <v>2.5232299999999996E-2</v>
      </c>
      <c r="AF11" s="236">
        <v>2.57156385</v>
      </c>
      <c r="AG11" s="236">
        <v>0.25206768000000002</v>
      </c>
      <c r="AH11" s="236">
        <v>9.8978439999999987E-2</v>
      </c>
      <c r="AI11" s="236">
        <v>2.1967049999999998E-2</v>
      </c>
      <c r="AJ11" s="236">
        <v>0.35391690000000009</v>
      </c>
      <c r="AK11" s="236">
        <v>0.18753324000000002</v>
      </c>
      <c r="AL11" s="236">
        <v>0.85444829</v>
      </c>
      <c r="AM11" s="236">
        <v>0.16374053999999999</v>
      </c>
      <c r="AN11" s="241">
        <f>SUM(W11:AM11)</f>
        <v>135.90977855999998</v>
      </c>
      <c r="AO11" s="148"/>
      <c r="AP11" s="157">
        <f t="shared" si="3"/>
        <v>7.9609914709292964</v>
      </c>
      <c r="AQ11" s="157">
        <f t="shared" si="4"/>
        <v>6.0799068898338664</v>
      </c>
      <c r="AR11" s="157">
        <f t="shared" si="5"/>
        <v>1.9835041734357097</v>
      </c>
      <c r="AS11" s="157">
        <f t="shared" si="6"/>
        <v>1.1173898022138546</v>
      </c>
      <c r="AT11" s="157">
        <f t="shared" si="7"/>
        <v>26.282109673709503</v>
      </c>
      <c r="AU11" s="157">
        <f t="shared" si="8"/>
        <v>8.6966868464608424</v>
      </c>
      <c r="AV11" s="157">
        <f t="shared" si="9"/>
        <v>4.8469920006271137</v>
      </c>
      <c r="AW11" s="157">
        <f t="shared" si="10"/>
        <v>3.3819179010190186</v>
      </c>
      <c r="AX11" s="157">
        <f t="shared" si="11"/>
        <v>7.6750434958367091</v>
      </c>
      <c r="AY11" s="157">
        <f t="shared" si="12"/>
        <v>64.052523525713738</v>
      </c>
      <c r="AZ11" s="157">
        <f t="shared" si="13"/>
        <v>-9.2518604527164996</v>
      </c>
      <c r="BA11" s="157">
        <f t="shared" si="14"/>
        <v>1.1412384353602716</v>
      </c>
      <c r="BB11" s="157">
        <f t="shared" si="15"/>
        <v>-25.956876321581639</v>
      </c>
      <c r="BC11" s="157">
        <f t="shared" si="16"/>
        <v>-18.522534527172922</v>
      </c>
      <c r="BD11" s="157">
        <f t="shared" si="17"/>
        <v>21.877113625296492</v>
      </c>
      <c r="BE11" s="157">
        <f t="shared" si="18"/>
        <v>12.902969236441439</v>
      </c>
      <c r="BF11" s="157">
        <f t="shared" si="19"/>
        <v>15.146285702978613</v>
      </c>
      <c r="BG11" s="158">
        <f t="shared" si="20"/>
        <v>10.263669993282944</v>
      </c>
      <c r="BH11" s="150"/>
      <c r="BI11" s="160"/>
      <c r="BJ11" s="150"/>
      <c r="BK11" s="151"/>
      <c r="BL11" s="151"/>
      <c r="BM11" s="151"/>
      <c r="BN11" s="151"/>
    </row>
    <row r="12" spans="2:85" ht="12.75">
      <c r="C12" s="159" t="str">
        <f>IF(Indice_index!$Z$1=1,"Segurança social","Social security")</f>
        <v>Social security</v>
      </c>
      <c r="D12" s="236">
        <v>2.5176962800000005</v>
      </c>
      <c r="E12" s="236">
        <v>2.9265220899999997</v>
      </c>
      <c r="F12" s="236">
        <v>5.8001348800000008</v>
      </c>
      <c r="G12" s="236">
        <v>43.63390682</v>
      </c>
      <c r="H12" s="236">
        <v>122.06730871000001</v>
      </c>
      <c r="I12" s="236">
        <v>161.92151624000005</v>
      </c>
      <c r="J12" s="236">
        <v>59.14449568000002</v>
      </c>
      <c r="K12" s="236">
        <v>1.9995790099999997</v>
      </c>
      <c r="L12" s="236">
        <v>0.55512878999999993</v>
      </c>
      <c r="M12" s="236">
        <v>424.85839798999996</v>
      </c>
      <c r="N12" s="236">
        <v>3.3324047499999994</v>
      </c>
      <c r="O12" s="236">
        <v>1.06591189</v>
      </c>
      <c r="P12" s="236">
        <v>0.26897462999999999</v>
      </c>
      <c r="Q12" s="236">
        <v>2.4377000900000003</v>
      </c>
      <c r="R12" s="236">
        <v>1.9990015000000005</v>
      </c>
      <c r="S12" s="236">
        <v>6.3389202400000011</v>
      </c>
      <c r="T12" s="236">
        <v>0.98477604999999979</v>
      </c>
      <c r="U12" s="242">
        <f t="shared" si="24"/>
        <v>841.85237564000022</v>
      </c>
      <c r="V12" s="148"/>
      <c r="W12" s="236">
        <v>2.4611933100000001</v>
      </c>
      <c r="X12" s="236">
        <v>2.8012457299999998</v>
      </c>
      <c r="Y12" s="236">
        <v>5.754044340000001</v>
      </c>
      <c r="Z12" s="236">
        <v>34.155356090000005</v>
      </c>
      <c r="AA12" s="236">
        <v>132.14735880999999</v>
      </c>
      <c r="AB12" s="236">
        <v>161.11064812000001</v>
      </c>
      <c r="AC12" s="236">
        <v>57.720758879999991</v>
      </c>
      <c r="AD12" s="236">
        <v>1.9131121899999999</v>
      </c>
      <c r="AE12" s="236">
        <v>0.59911459000000011</v>
      </c>
      <c r="AF12" s="236">
        <v>417.54589756000001</v>
      </c>
      <c r="AG12" s="236">
        <v>3.2387593799999999</v>
      </c>
      <c r="AH12" s="236">
        <v>1.0514929800000001</v>
      </c>
      <c r="AI12" s="236">
        <v>0.18681510999999998</v>
      </c>
      <c r="AJ12" s="236">
        <v>2.4009330199999996</v>
      </c>
      <c r="AK12" s="236">
        <v>1.9846820700000003</v>
      </c>
      <c r="AL12" s="236">
        <v>6.4923332399999998</v>
      </c>
      <c r="AM12" s="236">
        <v>0.9521082500000001</v>
      </c>
      <c r="AN12" s="242">
        <f>SUM(W12:AM12)</f>
        <v>832.51585367000007</v>
      </c>
      <c r="AO12" s="148"/>
      <c r="AP12" s="157">
        <f t="shared" si="3"/>
        <v>2.2957550620028448</v>
      </c>
      <c r="AQ12" s="157">
        <f t="shared" si="4"/>
        <v>4.4721660316462133</v>
      </c>
      <c r="AR12" s="157">
        <f t="shared" si="5"/>
        <v>0.80101120666720094</v>
      </c>
      <c r="AS12" s="157">
        <f t="shared" si="6"/>
        <v>27.751286518646843</v>
      </c>
      <c r="AT12" s="157">
        <f t="shared" si="7"/>
        <v>-7.6278861649387668</v>
      </c>
      <c r="AU12" s="157">
        <f t="shared" si="8"/>
        <v>0.50329890014226675</v>
      </c>
      <c r="AV12" s="157">
        <f t="shared" si="9"/>
        <v>2.466594042812122</v>
      </c>
      <c r="AW12" s="157">
        <f t="shared" si="10"/>
        <v>4.5196941638848607</v>
      </c>
      <c r="AX12" s="157">
        <f t="shared" si="11"/>
        <v>-7.3418008398026453</v>
      </c>
      <c r="AY12" s="157">
        <f t="shared" si="12"/>
        <v>1.7513045805818652</v>
      </c>
      <c r="AZ12" s="157">
        <f t="shared" si="13"/>
        <v>2.8913963346051199</v>
      </c>
      <c r="BA12" s="157">
        <f t="shared" si="14"/>
        <v>1.371279720764264</v>
      </c>
      <c r="BB12" s="157">
        <f t="shared" si="15"/>
        <v>43.979055013269544</v>
      </c>
      <c r="BC12" s="157">
        <f t="shared" si="16"/>
        <v>1.5313659187377366</v>
      </c>
      <c r="BD12" s="157">
        <f t="shared" si="17"/>
        <v>0.72149742351429835</v>
      </c>
      <c r="BE12" s="157">
        <f t="shared" si="18"/>
        <v>-2.3629871469752017</v>
      </c>
      <c r="BF12" s="157">
        <f t="shared" si="19"/>
        <v>3.431101453012269</v>
      </c>
      <c r="BG12" s="158">
        <f t="shared" si="20"/>
        <v>1.1214827836421049</v>
      </c>
      <c r="BH12" s="150"/>
      <c r="BI12" s="161"/>
      <c r="BJ12" s="150"/>
      <c r="BK12" s="151"/>
      <c r="BL12" s="151"/>
      <c r="BM12" s="151"/>
      <c r="BN12" s="151"/>
    </row>
    <row r="13" spans="2:85" ht="11.25" customHeight="1">
      <c r="C13" s="156" t="str">
        <f>IF(Indice_index!$Z$1=1,"Aquisição de bens e serviços correntes","Purchase of current goods and services")</f>
        <v>Purchase of current goods and services</v>
      </c>
      <c r="D13" s="237">
        <f t="shared" ref="D13:T13" si="25">SUM(D14:D15)</f>
        <v>0.86026467000000006</v>
      </c>
      <c r="E13" s="237">
        <f t="shared" si="25"/>
        <v>3.4334801999999995</v>
      </c>
      <c r="F13" s="237">
        <f t="shared" si="25"/>
        <v>12.76377622</v>
      </c>
      <c r="G13" s="237">
        <f t="shared" si="25"/>
        <v>50.744558300000016</v>
      </c>
      <c r="H13" s="237">
        <f t="shared" si="25"/>
        <v>89.227781989999997</v>
      </c>
      <c r="I13" s="237">
        <f t="shared" si="25"/>
        <v>53.667506529999997</v>
      </c>
      <c r="J13" s="237">
        <f t="shared" si="25"/>
        <v>47.619813709999981</v>
      </c>
      <c r="K13" s="237">
        <f t="shared" ref="K13:N13" si="26">SUM(K14:K15)</f>
        <v>2.4287188499999997</v>
      </c>
      <c r="L13" s="237">
        <f t="shared" si="26"/>
        <v>0.56468503999999997</v>
      </c>
      <c r="M13" s="237">
        <f t="shared" si="26"/>
        <v>24.881427430000002</v>
      </c>
      <c r="N13" s="237">
        <f t="shared" si="26"/>
        <v>2.9945334299999993</v>
      </c>
      <c r="O13" s="237">
        <f t="shared" si="25"/>
        <v>1.9065871099999998</v>
      </c>
      <c r="P13" s="237">
        <f t="shared" si="25"/>
        <v>0.11556687999999998</v>
      </c>
      <c r="Q13" s="237">
        <f t="shared" si="25"/>
        <v>2.5863842399999997</v>
      </c>
      <c r="R13" s="237">
        <f t="shared" si="25"/>
        <v>1.9580992999999993</v>
      </c>
      <c r="S13" s="237">
        <f t="shared" si="25"/>
        <v>6.1692935200000001</v>
      </c>
      <c r="T13" s="237">
        <f t="shared" si="25"/>
        <v>1.7963584799999999</v>
      </c>
      <c r="U13" s="237">
        <f>SUM(U14:U15)</f>
        <v>303.71883589999999</v>
      </c>
      <c r="V13" s="148"/>
      <c r="W13" s="237">
        <f t="shared" ref="W13:AN13" si="27">SUM(W14:W15)</f>
        <v>0.79965151999999995</v>
      </c>
      <c r="X13" s="237">
        <f t="shared" si="27"/>
        <v>2.94771224</v>
      </c>
      <c r="Y13" s="237">
        <f t="shared" si="27"/>
        <v>10.578242569999999</v>
      </c>
      <c r="Z13" s="237">
        <f t="shared" si="27"/>
        <v>50.021928410000008</v>
      </c>
      <c r="AA13" s="237">
        <f t="shared" si="27"/>
        <v>93.939708939999989</v>
      </c>
      <c r="AB13" s="237">
        <f t="shared" si="27"/>
        <v>63.725528230000002</v>
      </c>
      <c r="AC13" s="237">
        <f t="shared" si="27"/>
        <v>41.060576469999994</v>
      </c>
      <c r="AD13" s="237">
        <f t="shared" si="27"/>
        <v>2.35123975</v>
      </c>
      <c r="AE13" s="237">
        <f t="shared" si="27"/>
        <v>0.62307051000000002</v>
      </c>
      <c r="AF13" s="237">
        <f t="shared" si="27"/>
        <v>24.891616459999998</v>
      </c>
      <c r="AG13" s="237">
        <f t="shared" si="27"/>
        <v>2.7267684999999999</v>
      </c>
      <c r="AH13" s="237">
        <f t="shared" si="27"/>
        <v>2.12979736</v>
      </c>
      <c r="AI13" s="237">
        <f t="shared" si="27"/>
        <v>0.27260520999999999</v>
      </c>
      <c r="AJ13" s="237">
        <f t="shared" si="27"/>
        <v>3.4144032200000001</v>
      </c>
      <c r="AK13" s="237">
        <f t="shared" si="27"/>
        <v>2.1800382100000002</v>
      </c>
      <c r="AL13" s="237">
        <f t="shared" si="27"/>
        <v>6.8837735199999983</v>
      </c>
      <c r="AM13" s="237">
        <f t="shared" si="27"/>
        <v>1.37006439</v>
      </c>
      <c r="AN13" s="237">
        <f t="shared" si="27"/>
        <v>309.91672550999999</v>
      </c>
      <c r="AO13" s="148"/>
      <c r="AP13" s="157">
        <f t="shared" si="3"/>
        <v>7.5799455742921769</v>
      </c>
      <c r="AQ13" s="157">
        <f t="shared" si="4"/>
        <v>16.479490548914626</v>
      </c>
      <c r="AR13" s="157">
        <f t="shared" si="5"/>
        <v>20.660649777480021</v>
      </c>
      <c r="AS13" s="157">
        <f t="shared" si="6"/>
        <v>1.4446262128821581</v>
      </c>
      <c r="AT13" s="157">
        <f t="shared" si="7"/>
        <v>-5.0159054176009157</v>
      </c>
      <c r="AU13" s="157">
        <f t="shared" si="8"/>
        <v>-15.783347709097528</v>
      </c>
      <c r="AV13" s="157">
        <f t="shared" si="9"/>
        <v>15.974537631716762</v>
      </c>
      <c r="AW13" s="157">
        <f t="shared" si="10"/>
        <v>3.2952445619380031</v>
      </c>
      <c r="AX13" s="157">
        <f t="shared" si="11"/>
        <v>-9.3706039786733051</v>
      </c>
      <c r="AY13" s="157">
        <f t="shared" si="12"/>
        <v>-4.0933581056775713E-2</v>
      </c>
      <c r="AZ13" s="157">
        <f t="shared" si="13"/>
        <v>9.8198629623306619</v>
      </c>
      <c r="BA13" s="157">
        <f t="shared" si="14"/>
        <v>-10.480351520390661</v>
      </c>
      <c r="BB13" s="157">
        <f t="shared" si="15"/>
        <v>-57.60650355875444</v>
      </c>
      <c r="BC13" s="157">
        <f t="shared" si="16"/>
        <v>-24.250767312713592</v>
      </c>
      <c r="BD13" s="157">
        <f t="shared" si="17"/>
        <v>-10.180505505910416</v>
      </c>
      <c r="BE13" s="157">
        <f t="shared" si="18"/>
        <v>-10.379190976056377</v>
      </c>
      <c r="BF13" s="157">
        <f t="shared" si="19"/>
        <v>31.114894534263449</v>
      </c>
      <c r="BG13" s="158">
        <f t="shared" si="20"/>
        <v>-1.999856445243714</v>
      </c>
      <c r="BH13" s="150"/>
      <c r="BI13" s="161"/>
      <c r="BJ13" s="150"/>
      <c r="BK13" s="151"/>
      <c r="BL13" s="151"/>
      <c r="BM13" s="151"/>
      <c r="BN13" s="151"/>
    </row>
    <row r="14" spans="2:85" ht="13.15" customHeight="1">
      <c r="C14" s="162" t="str">
        <f>IF(Indice_index!$Z$1=1,"Aquisição de bens","Purchase of goods")</f>
        <v>Purchase of goods</v>
      </c>
      <c r="D14" s="236">
        <v>8.1584470000000006E-2</v>
      </c>
      <c r="E14" s="236">
        <v>0.28460619000000004</v>
      </c>
      <c r="F14" s="236">
        <v>0.40379708999999997</v>
      </c>
      <c r="G14" s="236">
        <v>4.25155086</v>
      </c>
      <c r="H14" s="236">
        <v>19.53763803</v>
      </c>
      <c r="I14" s="236">
        <v>7.004982919999998</v>
      </c>
      <c r="J14" s="236">
        <v>15.247422039999998</v>
      </c>
      <c r="K14" s="236">
        <v>0.12958150999999998</v>
      </c>
      <c r="L14" s="236">
        <v>3.7596539999999998E-2</v>
      </c>
      <c r="M14" s="236">
        <v>17.351806810000003</v>
      </c>
      <c r="N14" s="236">
        <v>0.17672331999999999</v>
      </c>
      <c r="O14" s="236">
        <v>0.40062523999999999</v>
      </c>
      <c r="P14" s="236">
        <v>2.9915020000000004E-2</v>
      </c>
      <c r="Q14" s="236">
        <v>0.14815705999999998</v>
      </c>
      <c r="R14" s="236">
        <v>0.14115796999999997</v>
      </c>
      <c r="S14" s="236">
        <v>0.80527482000000006</v>
      </c>
      <c r="T14" s="236">
        <v>0.12889564000000001</v>
      </c>
      <c r="U14" s="237">
        <f t="shared" si="24"/>
        <v>66.161315529999982</v>
      </c>
      <c r="V14" s="148"/>
      <c r="W14" s="236">
        <v>0.10696968999999999</v>
      </c>
      <c r="X14" s="236">
        <v>0.22729797999999998</v>
      </c>
      <c r="Y14" s="236">
        <v>0.12527616</v>
      </c>
      <c r="Z14" s="236">
        <v>11.075600790000001</v>
      </c>
      <c r="AA14" s="236">
        <v>22.709667229999994</v>
      </c>
      <c r="AB14" s="236">
        <v>11.520059819999998</v>
      </c>
      <c r="AC14" s="236">
        <v>9.1504114500000018</v>
      </c>
      <c r="AD14" s="236">
        <v>0.19369951999999999</v>
      </c>
      <c r="AE14" s="236">
        <v>3.6721589999999998E-2</v>
      </c>
      <c r="AF14" s="236">
        <v>18.117831269999996</v>
      </c>
      <c r="AG14" s="236">
        <v>0.17685053999999997</v>
      </c>
      <c r="AH14" s="236">
        <v>0.40420485</v>
      </c>
      <c r="AI14" s="236">
        <v>3.1962709999999998E-2</v>
      </c>
      <c r="AJ14" s="236">
        <v>0.34033564000000005</v>
      </c>
      <c r="AK14" s="236">
        <v>0.14773510000000001</v>
      </c>
      <c r="AL14" s="236">
        <v>0.75968569999999991</v>
      </c>
      <c r="AM14" s="236">
        <v>7.4688289999999977E-2</v>
      </c>
      <c r="AN14" s="237">
        <f>SUM(W14:AM14)</f>
        <v>75.198998330000009</v>
      </c>
      <c r="AO14" s="148"/>
      <c r="AP14" s="157">
        <f t="shared" si="3"/>
        <v>-23.731227041977952</v>
      </c>
      <c r="AQ14" s="157">
        <f t="shared" si="4"/>
        <v>25.21281095414929</v>
      </c>
      <c r="AR14" s="157" t="str">
        <f t="shared" si="5"/>
        <v>-</v>
      </c>
      <c r="AS14" s="157">
        <f t="shared" si="6"/>
        <v>-61.613361291979189</v>
      </c>
      <c r="AT14" s="157">
        <f t="shared" si="7"/>
        <v>-13.96774848294417</v>
      </c>
      <c r="AU14" s="157">
        <f t="shared" si="8"/>
        <v>-39.193172349342895</v>
      </c>
      <c r="AV14" s="157">
        <f t="shared" si="9"/>
        <v>66.630999308779664</v>
      </c>
      <c r="AW14" s="157">
        <f t="shared" si="10"/>
        <v>-33.101790856270583</v>
      </c>
      <c r="AX14" s="157">
        <f t="shared" si="11"/>
        <v>2.3826582672482299</v>
      </c>
      <c r="AY14" s="157">
        <f t="shared" si="12"/>
        <v>-4.2280140960822266</v>
      </c>
      <c r="AZ14" s="157">
        <f t="shared" si="13"/>
        <v>-7.1936449840630107E-2</v>
      </c>
      <c r="BA14" s="157">
        <f t="shared" si="14"/>
        <v>-0.88559303531365619</v>
      </c>
      <c r="BB14" s="157">
        <f t="shared" si="15"/>
        <v>-6.4064968208265016</v>
      </c>
      <c r="BC14" s="157">
        <f t="shared" si="16"/>
        <v>-56.467368507159591</v>
      </c>
      <c r="BD14" s="157">
        <f t="shared" si="17"/>
        <v>-4.4519751907299225</v>
      </c>
      <c r="BE14" s="157">
        <f t="shared" si="18"/>
        <v>6.0010501711431656</v>
      </c>
      <c r="BF14" s="157">
        <f t="shared" si="19"/>
        <v>72.578110972951777</v>
      </c>
      <c r="BG14" s="158">
        <f t="shared" si="20"/>
        <v>-12.018355298217475</v>
      </c>
      <c r="BH14" s="150"/>
      <c r="BI14" s="150"/>
      <c r="BJ14" s="150"/>
      <c r="BK14" s="151"/>
      <c r="BL14" s="151"/>
      <c r="BM14" s="151"/>
      <c r="BN14" s="151"/>
    </row>
    <row r="15" spans="2:85" ht="13.15" customHeight="1">
      <c r="C15" s="162" t="str">
        <f>IF(Indice_index!$Z$1=1,"Aquisição de serviços","Purchase of services")</f>
        <v>Purchase of services</v>
      </c>
      <c r="D15" s="236">
        <v>0.77868020000000004</v>
      </c>
      <c r="E15" s="236">
        <v>3.1488740099999997</v>
      </c>
      <c r="F15" s="236">
        <v>12.359979130000001</v>
      </c>
      <c r="G15" s="236">
        <v>46.493007440000014</v>
      </c>
      <c r="H15" s="236">
        <v>69.69014396</v>
      </c>
      <c r="I15" s="236">
        <v>46.662523610000001</v>
      </c>
      <c r="J15" s="236">
        <v>32.372391669999985</v>
      </c>
      <c r="K15" s="236">
        <v>2.2991373399999997</v>
      </c>
      <c r="L15" s="236">
        <v>0.52708849999999996</v>
      </c>
      <c r="M15" s="236">
        <v>7.5296206200000011</v>
      </c>
      <c r="N15" s="236">
        <v>2.8178101099999995</v>
      </c>
      <c r="O15" s="236">
        <v>1.5059618699999999</v>
      </c>
      <c r="P15" s="236">
        <v>8.5651859999999982E-2</v>
      </c>
      <c r="Q15" s="236">
        <v>2.4382271799999997</v>
      </c>
      <c r="R15" s="236">
        <v>1.8169413299999995</v>
      </c>
      <c r="S15" s="236">
        <v>5.3640186999999999</v>
      </c>
      <c r="T15" s="236">
        <v>1.6674628399999998</v>
      </c>
      <c r="U15" s="237">
        <f t="shared" si="24"/>
        <v>237.55752037000002</v>
      </c>
      <c r="V15" s="148"/>
      <c r="W15" s="236">
        <v>0.69268182999999994</v>
      </c>
      <c r="X15" s="236">
        <v>2.7204142600000001</v>
      </c>
      <c r="Y15" s="236">
        <v>10.452966409999998</v>
      </c>
      <c r="Z15" s="236">
        <v>38.946327620000005</v>
      </c>
      <c r="AA15" s="236">
        <v>71.230041709999995</v>
      </c>
      <c r="AB15" s="236">
        <v>52.205468410000002</v>
      </c>
      <c r="AC15" s="236">
        <v>31.910165019999994</v>
      </c>
      <c r="AD15" s="236">
        <v>2.1575402299999999</v>
      </c>
      <c r="AE15" s="236">
        <v>0.58634892000000005</v>
      </c>
      <c r="AF15" s="236">
        <v>6.7737851900000008</v>
      </c>
      <c r="AG15" s="236">
        <v>2.5499179600000001</v>
      </c>
      <c r="AH15" s="236">
        <v>1.7255925099999998</v>
      </c>
      <c r="AI15" s="236">
        <v>0.24064250000000001</v>
      </c>
      <c r="AJ15" s="236">
        <v>3.0740675799999999</v>
      </c>
      <c r="AK15" s="236">
        <v>2.03230311</v>
      </c>
      <c r="AL15" s="236">
        <v>6.1240878199999988</v>
      </c>
      <c r="AM15" s="236">
        <v>1.2953761000000001</v>
      </c>
      <c r="AN15" s="237">
        <f>SUM(W15:AM15)</f>
        <v>234.71772718</v>
      </c>
      <c r="AO15" s="148"/>
      <c r="AP15" s="157">
        <f t="shared" si="3"/>
        <v>12.41527729982467</v>
      </c>
      <c r="AQ15" s="157">
        <f t="shared" si="4"/>
        <v>15.749797973783581</v>
      </c>
      <c r="AR15" s="157">
        <f t="shared" si="5"/>
        <v>18.243746752841648</v>
      </c>
      <c r="AS15" s="157">
        <f t="shared" si="6"/>
        <v>19.377128168881786</v>
      </c>
      <c r="AT15" s="157">
        <f t="shared" si="7"/>
        <v>-2.1618655738956392</v>
      </c>
      <c r="AU15" s="157">
        <f t="shared" si="8"/>
        <v>-10.617555916686776</v>
      </c>
      <c r="AV15" s="157">
        <f t="shared" si="9"/>
        <v>1.4485247873531399</v>
      </c>
      <c r="AW15" s="157">
        <f t="shared" si="10"/>
        <v>6.5628954691611829</v>
      </c>
      <c r="AX15" s="157">
        <f t="shared" si="11"/>
        <v>-10.106681871265335</v>
      </c>
      <c r="AY15" s="157">
        <f t="shared" si="12"/>
        <v>11.158243268709267</v>
      </c>
      <c r="AZ15" s="157">
        <f t="shared" si="13"/>
        <v>10.505912511789175</v>
      </c>
      <c r="BA15" s="157">
        <f t="shared" si="14"/>
        <v>-12.727839204633536</v>
      </c>
      <c r="BB15" s="157">
        <f t="shared" si="15"/>
        <v>-64.407010399243688</v>
      </c>
      <c r="BC15" s="157">
        <f t="shared" si="16"/>
        <v>-20.684008514868115</v>
      </c>
      <c r="BD15" s="157">
        <f t="shared" si="17"/>
        <v>-10.596932068858592</v>
      </c>
      <c r="BE15" s="157">
        <f t="shared" si="18"/>
        <v>-12.41114011327158</v>
      </c>
      <c r="BF15" s="157">
        <f t="shared" si="19"/>
        <v>28.724224570763624</v>
      </c>
      <c r="BG15" s="158">
        <f t="shared" si="20"/>
        <v>1.2098758896988835</v>
      </c>
      <c r="BH15" s="150"/>
      <c r="BI15" s="150"/>
      <c r="BJ15" s="150"/>
      <c r="BK15" s="151"/>
      <c r="BL15" s="151"/>
      <c r="BM15" s="151"/>
      <c r="BN15" s="151"/>
    </row>
    <row r="16" spans="2:85" ht="12.75">
      <c r="C16" s="156" t="str">
        <f>IF(Indice_index!$Z$1=1,"Juros e outros encargos","Interests and other charges")</f>
        <v>Interests and other charges</v>
      </c>
      <c r="D16" s="236">
        <v>1.0959E-4</v>
      </c>
      <c r="E16" s="236">
        <v>0</v>
      </c>
      <c r="F16" s="236">
        <v>0</v>
      </c>
      <c r="G16" s="236">
        <v>3371.2306293299998</v>
      </c>
      <c r="H16" s="236">
        <v>1.6988999999999999E-4</v>
      </c>
      <c r="I16" s="236">
        <v>2.0472400000000001E-3</v>
      </c>
      <c r="J16" s="236">
        <v>6.9557469999999996E-2</v>
      </c>
      <c r="K16" s="236">
        <v>2.0100399999999998E-3</v>
      </c>
      <c r="L16" s="236">
        <v>0</v>
      </c>
      <c r="M16" s="236">
        <v>2.1100000000000001E-5</v>
      </c>
      <c r="N16" s="236">
        <v>3.21624E-3</v>
      </c>
      <c r="O16" s="236">
        <v>7.3849400000000004E-3</v>
      </c>
      <c r="P16" s="236">
        <v>0</v>
      </c>
      <c r="Q16" s="236">
        <v>1.8649999999999999E-5</v>
      </c>
      <c r="R16" s="236">
        <v>1.0872999999999998E-4</v>
      </c>
      <c r="S16" s="236">
        <v>5.26816E-3</v>
      </c>
      <c r="T16" s="236">
        <v>6.8419999999999999E-5</v>
      </c>
      <c r="U16" s="237">
        <f t="shared" si="24"/>
        <v>3371.3206098000005</v>
      </c>
      <c r="V16" s="148"/>
      <c r="W16" s="236">
        <v>1.1800000000000001E-5</v>
      </c>
      <c r="X16" s="236">
        <v>0</v>
      </c>
      <c r="Y16" s="236">
        <v>0</v>
      </c>
      <c r="Z16" s="236">
        <v>3169.2755168799999</v>
      </c>
      <c r="AA16" s="236">
        <v>9.0611300000000006E-2</v>
      </c>
      <c r="AB16" s="236">
        <v>1.0455859999999999E-2</v>
      </c>
      <c r="AC16" s="236">
        <v>2.1865450000000002E-2</v>
      </c>
      <c r="AD16" s="236">
        <v>9.6681999999999996E-4</v>
      </c>
      <c r="AE16" s="236">
        <v>0</v>
      </c>
      <c r="AF16" s="236">
        <v>0.33685765999999995</v>
      </c>
      <c r="AG16" s="236">
        <v>1.057924E-2</v>
      </c>
      <c r="AH16" s="236">
        <v>1.5823259999999999E-2</v>
      </c>
      <c r="AI16" s="236">
        <v>0</v>
      </c>
      <c r="AJ16" s="236">
        <v>1.8989999999999999E-5</v>
      </c>
      <c r="AK16" s="236">
        <v>7.6686000000000007E-4</v>
      </c>
      <c r="AL16" s="236">
        <v>1.0669099999999999E-3</v>
      </c>
      <c r="AM16" s="236">
        <v>8.7219999999999995E-5</v>
      </c>
      <c r="AN16" s="237">
        <f>SUM(W16:AM16)</f>
        <v>3169.7646282500004</v>
      </c>
      <c r="AO16" s="148"/>
      <c r="AP16" s="157" t="str">
        <f t="shared" si="3"/>
        <v>-</v>
      </c>
      <c r="AQ16" s="157" t="str">
        <f t="shared" si="4"/>
        <v>-</v>
      </c>
      <c r="AR16" s="157" t="str">
        <f t="shared" si="5"/>
        <v>-</v>
      </c>
      <c r="AS16" s="157">
        <f t="shared" si="6"/>
        <v>6.3722800802378661</v>
      </c>
      <c r="AT16" s="157">
        <f t="shared" si="7"/>
        <v>-99.812506828618496</v>
      </c>
      <c r="AU16" s="157">
        <f t="shared" si="8"/>
        <v>-80.420166299089686</v>
      </c>
      <c r="AV16" s="157" t="str">
        <f t="shared" si="9"/>
        <v>-</v>
      </c>
      <c r="AW16" s="157">
        <f t="shared" si="10"/>
        <v>107.90219482426923</v>
      </c>
      <c r="AX16" s="157" t="str">
        <f t="shared" si="11"/>
        <v>-</v>
      </c>
      <c r="AY16" s="157">
        <f t="shared" si="12"/>
        <v>-99.993736226749306</v>
      </c>
      <c r="AZ16" s="157">
        <f t="shared" si="13"/>
        <v>-69.598572298199116</v>
      </c>
      <c r="BA16" s="157">
        <f t="shared" si="14"/>
        <v>-53.328580836060333</v>
      </c>
      <c r="BB16" s="157" t="str">
        <f t="shared" si="15"/>
        <v>-</v>
      </c>
      <c r="BC16" s="157">
        <f t="shared" si="16"/>
        <v>-1.7904160084254879</v>
      </c>
      <c r="BD16" s="157">
        <f t="shared" si="17"/>
        <v>-85.821401559606699</v>
      </c>
      <c r="BE16" s="157" t="str">
        <f t="shared" si="18"/>
        <v>-</v>
      </c>
      <c r="BF16" s="157">
        <f t="shared" si="19"/>
        <v>-21.554689291446913</v>
      </c>
      <c r="BG16" s="158">
        <f t="shared" si="20"/>
        <v>6.3587049888078715</v>
      </c>
      <c r="BH16" s="150"/>
      <c r="BI16" s="150"/>
      <c r="BJ16" s="150"/>
      <c r="BK16" s="151"/>
      <c r="BL16" s="151"/>
      <c r="BM16" s="151"/>
      <c r="BN16" s="151"/>
    </row>
    <row r="17" spans="3:69" ht="12.75">
      <c r="C17" s="156" t="str">
        <f>IF(Indice_index!$Z$1=1,"Transferências correntes","Current transfers")</f>
        <v>Current transfers</v>
      </c>
      <c r="D17" s="237">
        <f>+D18+D23</f>
        <v>1346.5106331099998</v>
      </c>
      <c r="E17" s="237">
        <f t="shared" ref="E17:T17" si="28">+E18+E23</f>
        <v>20.008453960000001</v>
      </c>
      <c r="F17" s="237">
        <f t="shared" si="28"/>
        <v>37.670736180000006</v>
      </c>
      <c r="G17" s="237">
        <f t="shared" si="28"/>
        <v>1067.1653821299999</v>
      </c>
      <c r="H17" s="237">
        <f t="shared" si="28"/>
        <v>19.021477709999999</v>
      </c>
      <c r="I17" s="237">
        <f t="shared" si="28"/>
        <v>31.815973039999999</v>
      </c>
      <c r="J17" s="237">
        <f t="shared" si="28"/>
        <v>24.149041889999999</v>
      </c>
      <c r="K17" s="237">
        <f t="shared" ref="K17:N17" si="29">+K18+K23</f>
        <v>101.96718308999999</v>
      </c>
      <c r="L17" s="237">
        <f t="shared" si="29"/>
        <v>539.43246102000012</v>
      </c>
      <c r="M17" s="237">
        <f t="shared" si="29"/>
        <v>317.05499595999999</v>
      </c>
      <c r="N17" s="237">
        <f t="shared" si="29"/>
        <v>5533.9439794900018</v>
      </c>
      <c r="O17" s="237">
        <f t="shared" si="28"/>
        <v>3715.4459461500005</v>
      </c>
      <c r="P17" s="237">
        <f t="shared" si="28"/>
        <v>52.699566220000001</v>
      </c>
      <c r="Q17" s="237">
        <f t="shared" si="28"/>
        <v>8.8133990000000004</v>
      </c>
      <c r="R17" s="237">
        <f t="shared" si="28"/>
        <v>37.049899630000006</v>
      </c>
      <c r="S17" s="237">
        <f t="shared" si="28"/>
        <v>53.43299648</v>
      </c>
      <c r="T17" s="237">
        <f t="shared" si="28"/>
        <v>7.4304893300000003</v>
      </c>
      <c r="U17" s="237">
        <f>+U18+U23</f>
        <v>12913.612614390004</v>
      </c>
      <c r="V17" s="148"/>
      <c r="W17" s="237">
        <f t="shared" ref="W17:AN17" si="30">+W18+W23</f>
        <v>1325.5277770599998</v>
      </c>
      <c r="X17" s="237">
        <f t="shared" si="30"/>
        <v>19.989577480000001</v>
      </c>
      <c r="Y17" s="237">
        <f t="shared" si="30"/>
        <v>39.636615519999992</v>
      </c>
      <c r="Z17" s="237">
        <f t="shared" si="30"/>
        <v>922.57391479000012</v>
      </c>
      <c r="AA17" s="237">
        <f t="shared" si="30"/>
        <v>14.71280359</v>
      </c>
      <c r="AB17" s="237">
        <f t="shared" si="30"/>
        <v>32.419602179999998</v>
      </c>
      <c r="AC17" s="237">
        <f t="shared" si="30"/>
        <v>17.534844700000001</v>
      </c>
      <c r="AD17" s="237">
        <f t="shared" si="30"/>
        <v>88.577726809999987</v>
      </c>
      <c r="AE17" s="237">
        <f t="shared" si="30"/>
        <v>540.89577887999997</v>
      </c>
      <c r="AF17" s="237">
        <f t="shared" si="30"/>
        <v>306.55102247000002</v>
      </c>
      <c r="AG17" s="237">
        <f t="shared" si="30"/>
        <v>5246.7458107399998</v>
      </c>
      <c r="AH17" s="237">
        <f t="shared" si="30"/>
        <v>3595.1094199300005</v>
      </c>
      <c r="AI17" s="237">
        <f t="shared" si="30"/>
        <v>78.850558210000003</v>
      </c>
      <c r="AJ17" s="237">
        <f t="shared" si="30"/>
        <v>6.5599731100000005</v>
      </c>
      <c r="AK17" s="237">
        <f t="shared" si="30"/>
        <v>15.55828777</v>
      </c>
      <c r="AL17" s="237">
        <f t="shared" si="30"/>
        <v>64.346599409999996</v>
      </c>
      <c r="AM17" s="237">
        <f t="shared" si="30"/>
        <v>6.7741461099999993</v>
      </c>
      <c r="AN17" s="237">
        <f t="shared" si="30"/>
        <v>12322.364458760001</v>
      </c>
      <c r="AO17" s="148"/>
      <c r="AP17" s="157">
        <f t="shared" si="3"/>
        <v>1.5829812406149391</v>
      </c>
      <c r="AQ17" s="157">
        <f t="shared" si="4"/>
        <v>9.4431610767589963E-2</v>
      </c>
      <c r="AR17" s="157">
        <f t="shared" si="5"/>
        <v>-4.9597558071224217</v>
      </c>
      <c r="AS17" s="157">
        <f t="shared" si="6"/>
        <v>15.672616038890745</v>
      </c>
      <c r="AT17" s="157">
        <f t="shared" si="7"/>
        <v>29.285201108295354</v>
      </c>
      <c r="AU17" s="157">
        <f t="shared" si="8"/>
        <v>-1.8619264254031602</v>
      </c>
      <c r="AV17" s="157">
        <f t="shared" si="9"/>
        <v>37.720306641780518</v>
      </c>
      <c r="AW17" s="157">
        <f t="shared" si="10"/>
        <v>15.116053168445504</v>
      </c>
      <c r="AX17" s="157">
        <f t="shared" si="11"/>
        <v>-0.27053601028831298</v>
      </c>
      <c r="AY17" s="157">
        <f t="shared" si="12"/>
        <v>3.4265008824193091</v>
      </c>
      <c r="AZ17" s="157">
        <f t="shared" si="13"/>
        <v>5.4738342414475696</v>
      </c>
      <c r="BA17" s="157">
        <f t="shared" si="14"/>
        <v>3.3472284752418755</v>
      </c>
      <c r="BB17" s="157">
        <f t="shared" si="15"/>
        <v>-33.165259173375738</v>
      </c>
      <c r="BC17" s="157">
        <f t="shared" si="16"/>
        <v>34.351145229008409</v>
      </c>
      <c r="BD17" s="157">
        <f t="shared" si="17"/>
        <v>138.13609940703654</v>
      </c>
      <c r="BE17" s="157">
        <f t="shared" si="18"/>
        <v>-16.960652202397402</v>
      </c>
      <c r="BF17" s="157">
        <f t="shared" si="19"/>
        <v>9.6889439545909219</v>
      </c>
      <c r="BG17" s="158">
        <f t="shared" si="20"/>
        <v>4.7981713055864272</v>
      </c>
      <c r="BH17" s="150"/>
      <c r="BI17" s="150"/>
      <c r="BJ17" s="150"/>
      <c r="BK17" s="151"/>
      <c r="BL17" s="151"/>
      <c r="BM17" s="151"/>
      <c r="BN17" s="151"/>
    </row>
    <row r="18" spans="3:69" ht="12.75">
      <c r="C18" s="159" t="str">
        <f>IF(Indice_index!$Z$1=1,"Administrações Públicas","General Government")</f>
        <v>General Government</v>
      </c>
      <c r="D18" s="237">
        <f t="shared" ref="D18:T18" si="31">+SUM(D19:D22)</f>
        <v>1346.3753653499998</v>
      </c>
      <c r="E18" s="237">
        <f t="shared" si="31"/>
        <v>18.129895830000002</v>
      </c>
      <c r="F18" s="237">
        <f t="shared" si="31"/>
        <v>19.27717839</v>
      </c>
      <c r="G18" s="237">
        <f t="shared" si="31"/>
        <v>62.013527769999996</v>
      </c>
      <c r="H18" s="237">
        <f t="shared" si="31"/>
        <v>13.830472489999998</v>
      </c>
      <c r="I18" s="237">
        <f t="shared" si="31"/>
        <v>30.514401100000001</v>
      </c>
      <c r="J18" s="237">
        <f t="shared" si="31"/>
        <v>22.625360019999999</v>
      </c>
      <c r="K18" s="237">
        <f t="shared" ref="K18:N18" si="32">+SUM(K19:K22)</f>
        <v>91.872585200000003</v>
      </c>
      <c r="L18" s="237">
        <f t="shared" si="32"/>
        <v>450.7506842300001</v>
      </c>
      <c r="M18" s="237">
        <f t="shared" si="32"/>
        <v>236.46239746000001</v>
      </c>
      <c r="N18" s="237">
        <f t="shared" si="32"/>
        <v>5532.9433733700007</v>
      </c>
      <c r="O18" s="237">
        <f t="shared" si="31"/>
        <v>3712.6458614500002</v>
      </c>
      <c r="P18" s="237">
        <f t="shared" si="31"/>
        <v>52.699566220000001</v>
      </c>
      <c r="Q18" s="237">
        <f t="shared" si="31"/>
        <v>8.7879190000000005</v>
      </c>
      <c r="R18" s="237">
        <f t="shared" si="31"/>
        <v>36.696339500000001</v>
      </c>
      <c r="S18" s="237">
        <f t="shared" si="31"/>
        <v>52.441975999999997</v>
      </c>
      <c r="T18" s="237">
        <f t="shared" si="31"/>
        <v>7.3766583399999996</v>
      </c>
      <c r="U18" s="237">
        <f>+SUM(U19:U22)</f>
        <v>11695.443561720002</v>
      </c>
      <c r="V18" s="148"/>
      <c r="W18" s="237">
        <f t="shared" ref="W18:AN18" si="33">+SUM(W19:W22)</f>
        <v>1325.3967259999997</v>
      </c>
      <c r="X18" s="237">
        <f t="shared" si="33"/>
        <v>18.047072549999999</v>
      </c>
      <c r="Y18" s="237">
        <f t="shared" si="33"/>
        <v>17.92777023</v>
      </c>
      <c r="Z18" s="237">
        <f t="shared" si="33"/>
        <v>26.547843740000001</v>
      </c>
      <c r="AA18" s="237">
        <f t="shared" si="33"/>
        <v>9.6185267700000008</v>
      </c>
      <c r="AB18" s="237">
        <f t="shared" si="33"/>
        <v>30.67414999</v>
      </c>
      <c r="AC18" s="237">
        <f t="shared" si="33"/>
        <v>16.761119069999999</v>
      </c>
      <c r="AD18" s="237">
        <f t="shared" si="33"/>
        <v>87.081834089999987</v>
      </c>
      <c r="AE18" s="237">
        <f t="shared" si="33"/>
        <v>449.38366179000002</v>
      </c>
      <c r="AF18" s="237">
        <f t="shared" si="33"/>
        <v>217.76145221999997</v>
      </c>
      <c r="AG18" s="237">
        <f t="shared" si="33"/>
        <v>5246.0815409099996</v>
      </c>
      <c r="AH18" s="237">
        <f t="shared" si="33"/>
        <v>3592.8664415500002</v>
      </c>
      <c r="AI18" s="237">
        <f t="shared" si="33"/>
        <v>78.850558210000003</v>
      </c>
      <c r="AJ18" s="237">
        <f t="shared" si="33"/>
        <v>6.55507375</v>
      </c>
      <c r="AK18" s="237">
        <f t="shared" si="33"/>
        <v>15.3518805</v>
      </c>
      <c r="AL18" s="237">
        <f t="shared" si="33"/>
        <v>63.843671999999998</v>
      </c>
      <c r="AM18" s="237">
        <f t="shared" si="33"/>
        <v>6.6885470900000001</v>
      </c>
      <c r="AN18" s="237">
        <f t="shared" si="33"/>
        <v>11209.43787046</v>
      </c>
      <c r="AO18" s="148"/>
      <c r="AP18" s="157">
        <f t="shared" si="3"/>
        <v>1.582819614570264</v>
      </c>
      <c r="AQ18" s="157">
        <f t="shared" si="4"/>
        <v>0.45892916854264576</v>
      </c>
      <c r="AR18" s="157">
        <f t="shared" si="5"/>
        <v>7.5269157440556924</v>
      </c>
      <c r="AS18" s="157">
        <f t="shared" si="6"/>
        <v>133.59158045880523</v>
      </c>
      <c r="AT18" s="157">
        <f t="shared" si="7"/>
        <v>43.789925637437271</v>
      </c>
      <c r="AU18" s="157">
        <f t="shared" si="8"/>
        <v>-0.5207932087835484</v>
      </c>
      <c r="AV18" s="157">
        <f t="shared" si="9"/>
        <v>34.987168371687957</v>
      </c>
      <c r="AW18" s="157">
        <f t="shared" si="10"/>
        <v>5.5014357013297692</v>
      </c>
      <c r="AX18" s="157">
        <f t="shared" si="11"/>
        <v>0.30419940826395764</v>
      </c>
      <c r="AY18" s="157">
        <f t="shared" si="12"/>
        <v>8.587812511971519</v>
      </c>
      <c r="AZ18" s="157">
        <f t="shared" si="13"/>
        <v>5.4681161591369634</v>
      </c>
      <c r="BA18" s="157">
        <f t="shared" si="14"/>
        <v>3.3338122039494991</v>
      </c>
      <c r="BB18" s="157">
        <f t="shared" si="15"/>
        <v>-33.165259173375738</v>
      </c>
      <c r="BC18" s="157">
        <f t="shared" si="16"/>
        <v>34.062854746676194</v>
      </c>
      <c r="BD18" s="157">
        <f t="shared" si="17"/>
        <v>139.03481726554608</v>
      </c>
      <c r="BE18" s="157">
        <f t="shared" si="18"/>
        <v>-17.858772283649351</v>
      </c>
      <c r="BF18" s="157">
        <f t="shared" si="19"/>
        <v>10.287903198420922</v>
      </c>
      <c r="BG18" s="158">
        <f t="shared" si="20"/>
        <v>4.3356829921040188</v>
      </c>
      <c r="BH18" s="150"/>
      <c r="BI18" s="150"/>
      <c r="BJ18" s="150"/>
      <c r="BK18" s="151"/>
      <c r="BL18" s="151"/>
      <c r="BM18" s="151"/>
      <c r="BN18" s="151"/>
    </row>
    <row r="19" spans="3:69" ht="12.75">
      <c r="C19" s="163" t="str">
        <f>IF(Indice_index!$Z$1=1,"Administração Central","Central Government")</f>
        <v>Central Government</v>
      </c>
      <c r="D19" s="236">
        <v>100.32474736</v>
      </c>
      <c r="E19" s="236">
        <v>18.129895830000002</v>
      </c>
      <c r="F19" s="236">
        <v>19.082916000000001</v>
      </c>
      <c r="G19" s="236">
        <v>60.467695979999995</v>
      </c>
      <c r="H19" s="236">
        <v>13.587145529999999</v>
      </c>
      <c r="I19" s="236">
        <v>30.276440600000001</v>
      </c>
      <c r="J19" s="236">
        <v>22.52480942</v>
      </c>
      <c r="K19" s="236">
        <v>91.569141799999997</v>
      </c>
      <c r="L19" s="236">
        <v>450.7506842300001</v>
      </c>
      <c r="M19" s="236">
        <v>103.06848822999999</v>
      </c>
      <c r="N19" s="236">
        <v>1974.2811999999999</v>
      </c>
      <c r="O19" s="236">
        <v>3712.6458614500002</v>
      </c>
      <c r="P19" s="236">
        <v>52.699566220000001</v>
      </c>
      <c r="Q19" s="236">
        <v>8.7879190000000005</v>
      </c>
      <c r="R19" s="236">
        <v>36.696339500000001</v>
      </c>
      <c r="S19" s="236">
        <v>52.441975999999997</v>
      </c>
      <c r="T19" s="236">
        <v>7.3766583399999996</v>
      </c>
      <c r="U19" s="237">
        <f t="shared" si="24"/>
        <v>6754.711485490001</v>
      </c>
      <c r="V19" s="148"/>
      <c r="W19" s="236">
        <v>98.540864979999995</v>
      </c>
      <c r="X19" s="236">
        <v>18.047072549999999</v>
      </c>
      <c r="Y19" s="236">
        <v>17.747105000000001</v>
      </c>
      <c r="Z19" s="236">
        <v>24.531631520000001</v>
      </c>
      <c r="AA19" s="236">
        <v>9.6065148800000006</v>
      </c>
      <c r="AB19" s="236">
        <v>30.511566689999999</v>
      </c>
      <c r="AC19" s="236">
        <v>16.761119069999999</v>
      </c>
      <c r="AD19" s="236">
        <v>86.777963049999983</v>
      </c>
      <c r="AE19" s="236">
        <v>449.38366179000002</v>
      </c>
      <c r="AF19" s="236">
        <v>98.767579589999983</v>
      </c>
      <c r="AG19" s="236">
        <v>1883.7725</v>
      </c>
      <c r="AH19" s="236">
        <v>3592.8664415500002</v>
      </c>
      <c r="AI19" s="236">
        <v>78.850558210000003</v>
      </c>
      <c r="AJ19" s="236">
        <v>6.55507375</v>
      </c>
      <c r="AK19" s="236">
        <v>15.3518805</v>
      </c>
      <c r="AL19" s="236">
        <v>63.843671999999998</v>
      </c>
      <c r="AM19" s="236">
        <v>6.6885470900000001</v>
      </c>
      <c r="AN19" s="237">
        <f t="shared" ref="AN19:AN25" si="34">SUM(W19:AM19)</f>
        <v>6498.6037522200004</v>
      </c>
      <c r="AO19" s="148"/>
      <c r="AP19" s="157">
        <f t="shared" si="3"/>
        <v>1.8102970583443407</v>
      </c>
      <c r="AQ19" s="157">
        <f t="shared" si="4"/>
        <v>0.45892916854264576</v>
      </c>
      <c r="AR19" s="157">
        <f t="shared" si="5"/>
        <v>7.5269234052539806</v>
      </c>
      <c r="AS19" s="157">
        <f t="shared" si="6"/>
        <v>146.48868515207502</v>
      </c>
      <c r="AT19" s="157">
        <f t="shared" si="7"/>
        <v>41.436782222524364</v>
      </c>
      <c r="AU19" s="157">
        <f t="shared" si="8"/>
        <v>-0.77061296913691146</v>
      </c>
      <c r="AV19" s="157">
        <f t="shared" si="9"/>
        <v>34.387264513359256</v>
      </c>
      <c r="AW19" s="157">
        <f t="shared" si="10"/>
        <v>5.5211929176528596</v>
      </c>
      <c r="AX19" s="157">
        <f t="shared" si="11"/>
        <v>0.30419940826395764</v>
      </c>
      <c r="AY19" s="157">
        <f t="shared" si="12"/>
        <v>4.3545753149502726</v>
      </c>
      <c r="AZ19" s="157">
        <f t="shared" si="13"/>
        <v>4.8046513047621122</v>
      </c>
      <c r="BA19" s="157">
        <f t="shared" si="14"/>
        <v>3.3338122039494991</v>
      </c>
      <c r="BB19" s="157">
        <f t="shared" si="15"/>
        <v>-33.165259173375738</v>
      </c>
      <c r="BC19" s="157">
        <f t="shared" si="16"/>
        <v>34.062854746676194</v>
      </c>
      <c r="BD19" s="157">
        <f t="shared" si="17"/>
        <v>139.03481726554608</v>
      </c>
      <c r="BE19" s="157">
        <f t="shared" si="18"/>
        <v>-17.858772283649351</v>
      </c>
      <c r="BF19" s="157">
        <f t="shared" si="19"/>
        <v>10.287903198420922</v>
      </c>
      <c r="BG19" s="158">
        <f t="shared" si="20"/>
        <v>3.9409655217478239</v>
      </c>
      <c r="BH19" s="150"/>
      <c r="BI19" s="150"/>
      <c r="BJ19" s="150"/>
      <c r="BK19" s="151"/>
      <c r="BL19" s="151"/>
      <c r="BM19" s="151"/>
      <c r="BN19" s="151"/>
    </row>
    <row r="20" spans="3:69" ht="12.75">
      <c r="C20" s="163" t="str">
        <f>IF(Indice_index!$Z$1=1,"Administração Regional","Regional Government")</f>
        <v>Regional Government</v>
      </c>
      <c r="D20" s="236">
        <v>180.37250501999998</v>
      </c>
      <c r="E20" s="236">
        <v>0</v>
      </c>
      <c r="F20" s="236">
        <v>0</v>
      </c>
      <c r="G20" s="236">
        <v>0</v>
      </c>
      <c r="H20" s="236">
        <v>0</v>
      </c>
      <c r="I20" s="236">
        <v>0</v>
      </c>
      <c r="J20" s="236">
        <v>0</v>
      </c>
      <c r="K20" s="236">
        <v>0</v>
      </c>
      <c r="L20" s="236">
        <v>0</v>
      </c>
      <c r="M20" s="236">
        <v>0</v>
      </c>
      <c r="N20" s="236">
        <v>0</v>
      </c>
      <c r="O20" s="236">
        <v>0</v>
      </c>
      <c r="P20" s="236">
        <v>0</v>
      </c>
      <c r="Q20" s="236">
        <v>0</v>
      </c>
      <c r="R20" s="236">
        <v>0</v>
      </c>
      <c r="S20" s="236">
        <v>0</v>
      </c>
      <c r="T20" s="236">
        <v>0</v>
      </c>
      <c r="U20" s="237">
        <f t="shared" si="24"/>
        <v>180.37250501999998</v>
      </c>
      <c r="V20" s="148"/>
      <c r="W20" s="236">
        <v>181.2979775</v>
      </c>
      <c r="X20" s="236">
        <v>0</v>
      </c>
      <c r="Y20" s="236">
        <v>0</v>
      </c>
      <c r="Z20" s="236">
        <v>0</v>
      </c>
      <c r="AA20" s="236">
        <v>0</v>
      </c>
      <c r="AB20" s="236">
        <v>0</v>
      </c>
      <c r="AC20" s="236">
        <v>0</v>
      </c>
      <c r="AD20" s="236">
        <v>0</v>
      </c>
      <c r="AE20" s="236">
        <v>0</v>
      </c>
      <c r="AF20" s="236">
        <v>0</v>
      </c>
      <c r="AG20" s="236">
        <v>0</v>
      </c>
      <c r="AH20" s="236">
        <v>0</v>
      </c>
      <c r="AI20" s="236">
        <v>0</v>
      </c>
      <c r="AJ20" s="236">
        <v>0</v>
      </c>
      <c r="AK20" s="236">
        <v>0</v>
      </c>
      <c r="AL20" s="236">
        <v>0</v>
      </c>
      <c r="AM20" s="236">
        <v>0</v>
      </c>
      <c r="AN20" s="237">
        <f t="shared" si="34"/>
        <v>181.2979775</v>
      </c>
      <c r="AO20" s="148"/>
      <c r="AP20" s="157">
        <f t="shared" si="3"/>
        <v>-0.5104703829363042</v>
      </c>
      <c r="AQ20" s="157" t="str">
        <f t="shared" si="4"/>
        <v>-</v>
      </c>
      <c r="AR20" s="157" t="str">
        <f t="shared" si="5"/>
        <v>-</v>
      </c>
      <c r="AS20" s="157" t="str">
        <f t="shared" si="6"/>
        <v>-</v>
      </c>
      <c r="AT20" s="157" t="str">
        <f t="shared" si="7"/>
        <v>-</v>
      </c>
      <c r="AU20" s="157" t="str">
        <f t="shared" si="8"/>
        <v>-</v>
      </c>
      <c r="AV20" s="157" t="str">
        <f t="shared" si="9"/>
        <v>-</v>
      </c>
      <c r="AW20" s="157" t="str">
        <f t="shared" si="10"/>
        <v>-</v>
      </c>
      <c r="AX20" s="157" t="str">
        <f t="shared" si="11"/>
        <v>-</v>
      </c>
      <c r="AY20" s="157" t="str">
        <f t="shared" si="12"/>
        <v>-</v>
      </c>
      <c r="AZ20" s="157" t="str">
        <f t="shared" si="13"/>
        <v>-</v>
      </c>
      <c r="BA20" s="157" t="str">
        <f t="shared" si="14"/>
        <v>-</v>
      </c>
      <c r="BB20" s="157" t="str">
        <f t="shared" si="15"/>
        <v>-</v>
      </c>
      <c r="BC20" s="157" t="str">
        <f t="shared" si="16"/>
        <v>-</v>
      </c>
      <c r="BD20" s="157" t="str">
        <f t="shared" si="17"/>
        <v>-</v>
      </c>
      <c r="BE20" s="157" t="str">
        <f t="shared" si="18"/>
        <v>-</v>
      </c>
      <c r="BF20" s="157" t="str">
        <f t="shared" si="19"/>
        <v>-</v>
      </c>
      <c r="BG20" s="158">
        <f t="shared" si="20"/>
        <v>-0.5104703829363042</v>
      </c>
      <c r="BH20" s="150"/>
      <c r="BI20" s="150"/>
      <c r="BJ20" s="150"/>
      <c r="BK20" s="151"/>
      <c r="BL20" s="151"/>
      <c r="BM20" s="151"/>
      <c r="BN20" s="151"/>
    </row>
    <row r="21" spans="3:69" ht="12.75">
      <c r="C21" s="163" t="str">
        <f>IF(Indice_index!$Z$1=1,"Administração Local","Local Government")</f>
        <v>Local Government</v>
      </c>
      <c r="D21" s="236">
        <v>1065.6770869699999</v>
      </c>
      <c r="E21" s="236">
        <v>0</v>
      </c>
      <c r="F21" s="236">
        <v>0</v>
      </c>
      <c r="G21" s="236">
        <v>0</v>
      </c>
      <c r="H21" s="236">
        <v>0</v>
      </c>
      <c r="I21" s="236">
        <v>0.23796049999999999</v>
      </c>
      <c r="J21" s="236">
        <v>0.1005506</v>
      </c>
      <c r="K21" s="236">
        <v>0.30344340000000003</v>
      </c>
      <c r="L21" s="236">
        <v>0</v>
      </c>
      <c r="M21" s="236">
        <v>124.42091334999999</v>
      </c>
      <c r="N21" s="236">
        <v>0</v>
      </c>
      <c r="O21" s="236">
        <v>0</v>
      </c>
      <c r="P21" s="236">
        <v>0</v>
      </c>
      <c r="Q21" s="236">
        <v>0</v>
      </c>
      <c r="R21" s="236">
        <v>0</v>
      </c>
      <c r="S21" s="236">
        <v>0</v>
      </c>
      <c r="T21" s="236">
        <v>0</v>
      </c>
      <c r="U21" s="237">
        <f t="shared" si="24"/>
        <v>1190.7399548200001</v>
      </c>
      <c r="V21" s="148"/>
      <c r="W21" s="236">
        <v>1045.5574465199998</v>
      </c>
      <c r="X21" s="236">
        <v>0</v>
      </c>
      <c r="Y21" s="236">
        <v>0</v>
      </c>
      <c r="Z21" s="236">
        <v>0</v>
      </c>
      <c r="AA21" s="236">
        <v>0</v>
      </c>
      <c r="AB21" s="236">
        <v>0.16258329999999999</v>
      </c>
      <c r="AC21" s="236">
        <v>0</v>
      </c>
      <c r="AD21" s="236">
        <v>0.30387104000000004</v>
      </c>
      <c r="AE21" s="236">
        <v>0</v>
      </c>
      <c r="AF21" s="236">
        <v>109.69730591000001</v>
      </c>
      <c r="AG21" s="236">
        <v>0.35477759999999997</v>
      </c>
      <c r="AH21" s="236">
        <v>0</v>
      </c>
      <c r="AI21" s="236">
        <v>0</v>
      </c>
      <c r="AJ21" s="236">
        <v>0</v>
      </c>
      <c r="AK21" s="236">
        <v>0</v>
      </c>
      <c r="AL21" s="236">
        <v>0</v>
      </c>
      <c r="AM21" s="236">
        <v>0</v>
      </c>
      <c r="AN21" s="237">
        <f t="shared" si="34"/>
        <v>1156.07598437</v>
      </c>
      <c r="AO21" s="148"/>
      <c r="AP21" s="157">
        <f t="shared" si="3"/>
        <v>1.9242979443134096</v>
      </c>
      <c r="AQ21" s="157" t="str">
        <f t="shared" si="4"/>
        <v>-</v>
      </c>
      <c r="AR21" s="157" t="str">
        <f t="shared" si="5"/>
        <v>-</v>
      </c>
      <c r="AS21" s="157" t="str">
        <f t="shared" si="6"/>
        <v>-</v>
      </c>
      <c r="AT21" s="157" t="str">
        <f t="shared" si="7"/>
        <v>-</v>
      </c>
      <c r="AU21" s="157">
        <f t="shared" si="8"/>
        <v>46.362203252117538</v>
      </c>
      <c r="AV21" s="157" t="str">
        <f t="shared" si="9"/>
        <v>-</v>
      </c>
      <c r="AW21" s="157">
        <f t="shared" si="10"/>
        <v>-0.14073075209799751</v>
      </c>
      <c r="AX21" s="157" t="str">
        <f t="shared" si="11"/>
        <v>-</v>
      </c>
      <c r="AY21" s="157">
        <f t="shared" si="12"/>
        <v>13.422031943136151</v>
      </c>
      <c r="AZ21" s="157">
        <f t="shared" si="13"/>
        <v>-100</v>
      </c>
      <c r="BA21" s="157" t="str">
        <f t="shared" si="14"/>
        <v>-</v>
      </c>
      <c r="BB21" s="157" t="str">
        <f t="shared" si="15"/>
        <v>-</v>
      </c>
      <c r="BC21" s="157" t="str">
        <f t="shared" si="16"/>
        <v>-</v>
      </c>
      <c r="BD21" s="157" t="str">
        <f t="shared" si="17"/>
        <v>-</v>
      </c>
      <c r="BE21" s="157" t="str">
        <f t="shared" si="18"/>
        <v>-</v>
      </c>
      <c r="BF21" s="157" t="str">
        <f t="shared" si="19"/>
        <v>-</v>
      </c>
      <c r="BG21" s="158">
        <f t="shared" si="20"/>
        <v>2.9984162735540347</v>
      </c>
      <c r="BH21" s="150"/>
      <c r="BI21" s="150"/>
      <c r="BJ21" s="150"/>
      <c r="BK21" s="151"/>
      <c r="BL21" s="151"/>
      <c r="BM21" s="151"/>
      <c r="BN21" s="151"/>
      <c r="BO21" s="139"/>
      <c r="BP21" s="139"/>
      <c r="BQ21" s="139"/>
    </row>
    <row r="22" spans="3:69" ht="12.75">
      <c r="C22" s="163" t="str">
        <f>IF(Indice_index!$Z$1=1,"Segurança Social","Social Security")</f>
        <v>Social Security</v>
      </c>
      <c r="D22" s="236">
        <v>1.026E-3</v>
      </c>
      <c r="E22" s="236">
        <v>0</v>
      </c>
      <c r="F22" s="236">
        <v>0.19426239000000001</v>
      </c>
      <c r="G22" s="236">
        <v>1.54583179</v>
      </c>
      <c r="H22" s="236">
        <v>0.24332695999999998</v>
      </c>
      <c r="I22" s="236">
        <v>0</v>
      </c>
      <c r="J22" s="236">
        <v>0</v>
      </c>
      <c r="K22" s="236">
        <v>0</v>
      </c>
      <c r="L22" s="236">
        <v>0</v>
      </c>
      <c r="M22" s="236">
        <v>8.9729958800000009</v>
      </c>
      <c r="N22" s="236">
        <v>3558.6621733700003</v>
      </c>
      <c r="O22" s="236">
        <v>0</v>
      </c>
      <c r="P22" s="236">
        <v>0</v>
      </c>
      <c r="Q22" s="236">
        <v>0</v>
      </c>
      <c r="R22" s="236">
        <v>0</v>
      </c>
      <c r="S22" s="236">
        <v>0</v>
      </c>
      <c r="T22" s="236">
        <v>0</v>
      </c>
      <c r="U22" s="237">
        <f t="shared" si="24"/>
        <v>3569.6196163900004</v>
      </c>
      <c r="V22" s="148"/>
      <c r="W22" s="236">
        <v>4.37E-4</v>
      </c>
      <c r="X22" s="236">
        <v>0</v>
      </c>
      <c r="Y22" s="236">
        <v>0.18066523000000001</v>
      </c>
      <c r="Z22" s="236">
        <v>2.0162122199999999</v>
      </c>
      <c r="AA22" s="236">
        <v>1.2011889999999999E-2</v>
      </c>
      <c r="AB22" s="236">
        <v>0</v>
      </c>
      <c r="AC22" s="236">
        <v>0</v>
      </c>
      <c r="AD22" s="236">
        <v>0</v>
      </c>
      <c r="AE22" s="236">
        <v>0</v>
      </c>
      <c r="AF22" s="236">
        <v>9.2965667200000013</v>
      </c>
      <c r="AG22" s="236">
        <v>3361.95426331</v>
      </c>
      <c r="AH22" s="236">
        <v>0</v>
      </c>
      <c r="AI22" s="236">
        <v>0</v>
      </c>
      <c r="AJ22" s="236">
        <v>0</v>
      </c>
      <c r="AK22" s="236">
        <v>0</v>
      </c>
      <c r="AL22" s="236">
        <v>0</v>
      </c>
      <c r="AM22" s="236">
        <v>0</v>
      </c>
      <c r="AN22" s="237">
        <f t="shared" si="34"/>
        <v>3373.4601563699998</v>
      </c>
      <c r="AO22" s="148"/>
      <c r="AP22" s="157">
        <f t="shared" si="3"/>
        <v>134.78260869565219</v>
      </c>
      <c r="AQ22" s="157" t="str">
        <f t="shared" si="4"/>
        <v>-</v>
      </c>
      <c r="AR22" s="157">
        <f t="shared" si="5"/>
        <v>7.5261631693049056</v>
      </c>
      <c r="AS22" s="157">
        <f t="shared" si="6"/>
        <v>-23.329906709919648</v>
      </c>
      <c r="AT22" s="157" t="str">
        <f t="shared" si="7"/>
        <v>-</v>
      </c>
      <c r="AU22" s="157" t="str">
        <f t="shared" si="8"/>
        <v>-</v>
      </c>
      <c r="AV22" s="157" t="str">
        <f t="shared" si="9"/>
        <v>-</v>
      </c>
      <c r="AW22" s="157" t="str">
        <f t="shared" si="10"/>
        <v>-</v>
      </c>
      <c r="AX22" s="157" t="str">
        <f t="shared" si="11"/>
        <v>-</v>
      </c>
      <c r="AY22" s="157">
        <f t="shared" si="12"/>
        <v>-3.4805412551269281</v>
      </c>
      <c r="AZ22" s="157">
        <f t="shared" si="13"/>
        <v>5.8509989920663665</v>
      </c>
      <c r="BA22" s="157" t="str">
        <f t="shared" si="14"/>
        <v>-</v>
      </c>
      <c r="BB22" s="157" t="str">
        <f t="shared" si="15"/>
        <v>-</v>
      </c>
      <c r="BC22" s="157" t="str">
        <f t="shared" si="16"/>
        <v>-</v>
      </c>
      <c r="BD22" s="157" t="str">
        <f t="shared" si="17"/>
        <v>-</v>
      </c>
      <c r="BE22" s="157" t="str">
        <f t="shared" si="18"/>
        <v>-</v>
      </c>
      <c r="BF22" s="157" t="str">
        <f t="shared" si="19"/>
        <v>-</v>
      </c>
      <c r="BG22" s="158">
        <f t="shared" si="20"/>
        <v>5.814785144256077</v>
      </c>
      <c r="BH22" s="150"/>
      <c r="BI22" s="150"/>
      <c r="BJ22" s="150"/>
      <c r="BK22" s="151"/>
      <c r="BL22" s="151"/>
      <c r="BM22" s="151"/>
      <c r="BN22" s="151"/>
    </row>
    <row r="23" spans="3:69" ht="12.75">
      <c r="C23" s="159" t="str">
        <f>IF(Indice_index!$Z$1=1,"Outras transferências correntes","Other current transfers")</f>
        <v>Other current transfers</v>
      </c>
      <c r="D23" s="236">
        <v>0.13526776000003338</v>
      </c>
      <c r="E23" s="236">
        <v>1.8785581299999983</v>
      </c>
      <c r="F23" s="236">
        <v>18.393557790000006</v>
      </c>
      <c r="G23" s="236">
        <v>1005.1518543599999</v>
      </c>
      <c r="H23" s="236">
        <v>5.191005220000001</v>
      </c>
      <c r="I23" s="236">
        <v>1.3015719399999988</v>
      </c>
      <c r="J23" s="236">
        <v>1.5236818700000008</v>
      </c>
      <c r="K23" s="236">
        <v>10.094597889999989</v>
      </c>
      <c r="L23" s="236">
        <v>88.681776790000015</v>
      </c>
      <c r="M23" s="236">
        <v>80.59259849999998</v>
      </c>
      <c r="N23" s="236">
        <v>1.0006061200010663</v>
      </c>
      <c r="O23" s="236">
        <v>2.8000847000002977</v>
      </c>
      <c r="P23" s="236">
        <v>0</v>
      </c>
      <c r="Q23" s="236">
        <v>2.5479999999999947E-2</v>
      </c>
      <c r="R23" s="236">
        <v>0.3535601300000053</v>
      </c>
      <c r="S23" s="236">
        <v>0.99102048000000309</v>
      </c>
      <c r="T23" s="236">
        <v>5.3830990000000689E-2</v>
      </c>
      <c r="U23" s="237">
        <f t="shared" si="24"/>
        <v>1218.1690526700013</v>
      </c>
      <c r="V23" s="148"/>
      <c r="W23" s="236">
        <v>0.13105106000011801</v>
      </c>
      <c r="X23" s="236">
        <v>1.9425049300000019</v>
      </c>
      <c r="Y23" s="236">
        <v>21.708845289999992</v>
      </c>
      <c r="Z23" s="236">
        <v>896.02607105000016</v>
      </c>
      <c r="AA23" s="236">
        <v>5.0942768199999993</v>
      </c>
      <c r="AB23" s="236">
        <v>1.7454521899999982</v>
      </c>
      <c r="AC23" s="236">
        <v>0.77372563000000127</v>
      </c>
      <c r="AD23" s="236">
        <v>1.4958927200000005</v>
      </c>
      <c r="AE23" s="236">
        <v>91.512117089999947</v>
      </c>
      <c r="AF23" s="236">
        <v>88.789570250000054</v>
      </c>
      <c r="AG23" s="236">
        <v>0.66426983000019391</v>
      </c>
      <c r="AH23" s="236">
        <v>2.2429783800002951</v>
      </c>
      <c r="AI23" s="236">
        <v>0</v>
      </c>
      <c r="AJ23" s="236">
        <v>4.8993600000004633E-3</v>
      </c>
      <c r="AK23" s="236">
        <v>0.2064072699999997</v>
      </c>
      <c r="AL23" s="236">
        <v>0.50292740999999808</v>
      </c>
      <c r="AM23" s="236">
        <v>8.5599019999999193E-2</v>
      </c>
      <c r="AN23" s="237">
        <f t="shared" si="34"/>
        <v>1112.926588300001</v>
      </c>
      <c r="AO23" s="148"/>
      <c r="AP23" s="157">
        <f t="shared" si="3"/>
        <v>3.2176008342943327</v>
      </c>
      <c r="AQ23" s="157">
        <f t="shared" si="4"/>
        <v>-3.2919762010592977</v>
      </c>
      <c r="AR23" s="157">
        <f t="shared" si="5"/>
        <v>-15.27159761706509</v>
      </c>
      <c r="AS23" s="157">
        <f t="shared" si="6"/>
        <v>12.178862517038334</v>
      </c>
      <c r="AT23" s="157">
        <f t="shared" si="7"/>
        <v>1.8987660745142176</v>
      </c>
      <c r="AU23" s="157">
        <f t="shared" si="8"/>
        <v>-25.430673641080929</v>
      </c>
      <c r="AV23" s="157">
        <f t="shared" si="9"/>
        <v>96.927930382763492</v>
      </c>
      <c r="AW23" s="157" t="str">
        <f t="shared" si="10"/>
        <v>-</v>
      </c>
      <c r="AX23" s="157">
        <f t="shared" si="11"/>
        <v>-3.0928585087987432</v>
      </c>
      <c r="AY23" s="157">
        <f t="shared" si="12"/>
        <v>-9.2319083501815573</v>
      </c>
      <c r="AZ23" s="157">
        <f t="shared" si="13"/>
        <v>50.632480177637184</v>
      </c>
      <c r="BA23" s="157">
        <f t="shared" si="14"/>
        <v>24.837792685274536</v>
      </c>
      <c r="BB23" s="157" t="str">
        <f t="shared" si="15"/>
        <v>-</v>
      </c>
      <c r="BC23" s="157" t="str">
        <f t="shared" si="16"/>
        <v>-</v>
      </c>
      <c r="BD23" s="157">
        <f t="shared" si="17"/>
        <v>71.292479184481166</v>
      </c>
      <c r="BE23" s="157">
        <f t="shared" si="18"/>
        <v>97.050401369057795</v>
      </c>
      <c r="BF23" s="157">
        <f t="shared" si="19"/>
        <v>-37.112609466789223</v>
      </c>
      <c r="BG23" s="158">
        <f t="shared" si="20"/>
        <v>9.4563707504516135</v>
      </c>
      <c r="BH23" s="150"/>
      <c r="BI23" s="150"/>
      <c r="BJ23" s="150"/>
      <c r="BK23" s="151"/>
      <c r="BL23" s="151"/>
      <c r="BM23" s="151"/>
      <c r="BN23" s="151"/>
    </row>
    <row r="24" spans="3:69" ht="12.75">
      <c r="C24" s="156" t="str">
        <f>IF(Indice_index!$Z$1=1,"Subsídios","Subsidies")</f>
        <v>Subsidies</v>
      </c>
      <c r="D24" s="236">
        <v>0</v>
      </c>
      <c r="E24" s="236">
        <v>0</v>
      </c>
      <c r="F24" s="236">
        <v>0</v>
      </c>
      <c r="G24" s="236">
        <v>23.26087764</v>
      </c>
      <c r="H24" s="236">
        <v>0.52294269999999998</v>
      </c>
      <c r="I24" s="236">
        <v>0</v>
      </c>
      <c r="J24" s="236">
        <v>0</v>
      </c>
      <c r="K24" s="236">
        <v>0.76712035999999995</v>
      </c>
      <c r="L24" s="236">
        <v>0</v>
      </c>
      <c r="M24" s="236">
        <v>0</v>
      </c>
      <c r="N24" s="236">
        <v>0</v>
      </c>
      <c r="O24" s="236">
        <v>0</v>
      </c>
      <c r="P24" s="236">
        <v>0</v>
      </c>
      <c r="Q24" s="236">
        <v>0</v>
      </c>
      <c r="R24" s="236">
        <v>0</v>
      </c>
      <c r="S24" s="236">
        <v>0</v>
      </c>
      <c r="T24" s="236">
        <v>0</v>
      </c>
      <c r="U24" s="237">
        <f t="shared" si="24"/>
        <v>24.550940700000002</v>
      </c>
      <c r="V24" s="148"/>
      <c r="W24" s="236">
        <v>0</v>
      </c>
      <c r="X24" s="236">
        <v>0</v>
      </c>
      <c r="Y24" s="236">
        <v>0</v>
      </c>
      <c r="Z24" s="236">
        <v>20.410720059999999</v>
      </c>
      <c r="AA24" s="236">
        <v>3.5400679999999997E-2</v>
      </c>
      <c r="AB24" s="236">
        <v>0</v>
      </c>
      <c r="AC24" s="236">
        <v>0</v>
      </c>
      <c r="AD24" s="236">
        <v>1.21845417</v>
      </c>
      <c r="AE24" s="236">
        <v>0</v>
      </c>
      <c r="AF24" s="236">
        <v>0</v>
      </c>
      <c r="AG24" s="236">
        <v>0</v>
      </c>
      <c r="AH24" s="236">
        <v>0</v>
      </c>
      <c r="AI24" s="236">
        <v>0</v>
      </c>
      <c r="AJ24" s="236">
        <v>0</v>
      </c>
      <c r="AK24" s="236">
        <v>0</v>
      </c>
      <c r="AL24" s="236">
        <v>0</v>
      </c>
      <c r="AM24" s="236">
        <v>0</v>
      </c>
      <c r="AN24" s="237">
        <f t="shared" si="34"/>
        <v>21.664574909999999</v>
      </c>
      <c r="AO24" s="148"/>
      <c r="AP24" s="157" t="str">
        <f t="shared" si="3"/>
        <v>-</v>
      </c>
      <c r="AQ24" s="157" t="str">
        <f t="shared" si="4"/>
        <v>-</v>
      </c>
      <c r="AR24" s="157" t="str">
        <f t="shared" si="5"/>
        <v>-</v>
      </c>
      <c r="AS24" s="157">
        <f t="shared" si="6"/>
        <v>13.964022688183404</v>
      </c>
      <c r="AT24" s="157" t="str">
        <f t="shared" si="7"/>
        <v>-</v>
      </c>
      <c r="AU24" s="157" t="str">
        <f t="shared" si="8"/>
        <v>-</v>
      </c>
      <c r="AV24" s="157" t="str">
        <f t="shared" si="9"/>
        <v>-</v>
      </c>
      <c r="AW24" s="157">
        <f t="shared" si="10"/>
        <v>-37.041508914528976</v>
      </c>
      <c r="AX24" s="157" t="str">
        <f t="shared" si="11"/>
        <v>-</v>
      </c>
      <c r="AY24" s="157" t="str">
        <f t="shared" si="12"/>
        <v>-</v>
      </c>
      <c r="AZ24" s="157" t="str">
        <f t="shared" si="13"/>
        <v>-</v>
      </c>
      <c r="BA24" s="157" t="str">
        <f t="shared" si="14"/>
        <v>-</v>
      </c>
      <c r="BB24" s="157" t="str">
        <f t="shared" si="15"/>
        <v>-</v>
      </c>
      <c r="BC24" s="157" t="str">
        <f t="shared" si="16"/>
        <v>-</v>
      </c>
      <c r="BD24" s="157" t="str">
        <f t="shared" si="17"/>
        <v>-</v>
      </c>
      <c r="BE24" s="157" t="str">
        <f t="shared" si="18"/>
        <v>-</v>
      </c>
      <c r="BF24" s="157" t="str">
        <f t="shared" si="19"/>
        <v>-</v>
      </c>
      <c r="BG24" s="158">
        <f t="shared" si="20"/>
        <v>13.322974496341056</v>
      </c>
      <c r="BH24" s="150"/>
      <c r="BI24" s="150"/>
      <c r="BJ24" s="150"/>
      <c r="BK24" s="151"/>
      <c r="BL24" s="151"/>
      <c r="BM24" s="151"/>
      <c r="BN24" s="151"/>
    </row>
    <row r="25" spans="3:69" ht="12.75">
      <c r="C25" s="156" t="str">
        <f>IF(Indice_index!$Z$1=1,"Outras despesas correntes","Other current expenditure")</f>
        <v>Other current expenditure</v>
      </c>
      <c r="D25" s="236">
        <v>1.224E-3</v>
      </c>
      <c r="E25" s="236">
        <v>5.2884109999999998E-2</v>
      </c>
      <c r="F25" s="236">
        <v>7.7849611100000002</v>
      </c>
      <c r="G25" s="236">
        <v>3.6027307400000002</v>
      </c>
      <c r="H25" s="236">
        <v>4.3060384300000001</v>
      </c>
      <c r="I25" s="236">
        <v>0.87520461999999988</v>
      </c>
      <c r="J25" s="236">
        <v>0.34508270000000002</v>
      </c>
      <c r="K25" s="236">
        <v>2.3951860000000002E-2</v>
      </c>
      <c r="L25" s="236">
        <v>1.5502330000000002E-2</v>
      </c>
      <c r="M25" s="236">
        <v>167.76372071</v>
      </c>
      <c r="N25" s="236">
        <v>3.5336720000000002E-2</v>
      </c>
      <c r="O25" s="236">
        <v>3.6520779999999996E-2</v>
      </c>
      <c r="P25" s="236">
        <v>1.7373E-3</v>
      </c>
      <c r="Q25" s="236">
        <v>3.3680830000000002E-2</v>
      </c>
      <c r="R25" s="236">
        <v>5.3345699999999996E-2</v>
      </c>
      <c r="S25" s="236">
        <v>0.70305332000000009</v>
      </c>
      <c r="T25" s="236">
        <v>3.2795089999999999E-2</v>
      </c>
      <c r="U25" s="237">
        <f t="shared" si="24"/>
        <v>185.66777035000001</v>
      </c>
      <c r="V25" s="148"/>
      <c r="W25" s="236">
        <v>3.5E-4</v>
      </c>
      <c r="X25" s="236">
        <v>0.10180541999999999</v>
      </c>
      <c r="Y25" s="236">
        <v>5.2495378500000003</v>
      </c>
      <c r="Z25" s="236">
        <v>14.12963794</v>
      </c>
      <c r="AA25" s="236">
        <v>3.9140243099999998</v>
      </c>
      <c r="AB25" s="236">
        <v>0.53360898999999995</v>
      </c>
      <c r="AC25" s="236">
        <v>0.53207300000000002</v>
      </c>
      <c r="AD25" s="236">
        <v>3.2203220000000005E-2</v>
      </c>
      <c r="AE25" s="236">
        <v>1.8165400000000002E-2</v>
      </c>
      <c r="AF25" s="236">
        <v>206.07584052000001</v>
      </c>
      <c r="AG25" s="236">
        <v>4.1635160000000004E-2</v>
      </c>
      <c r="AH25" s="236">
        <v>3.6043749999999999E-2</v>
      </c>
      <c r="AI25" s="236">
        <v>1.4046999999999999E-4</v>
      </c>
      <c r="AJ25" s="236">
        <v>4.7821570000000008E-2</v>
      </c>
      <c r="AK25" s="236">
        <v>7.7088179999999992E-2</v>
      </c>
      <c r="AL25" s="236">
        <v>0.61815910000000007</v>
      </c>
      <c r="AM25" s="236">
        <v>2.7521629999999998E-2</v>
      </c>
      <c r="AN25" s="237">
        <f t="shared" si="34"/>
        <v>231.43565651000003</v>
      </c>
      <c r="AO25" s="148"/>
      <c r="AP25" s="157" t="str">
        <f t="shared" si="3"/>
        <v>-</v>
      </c>
      <c r="AQ25" s="157">
        <f t="shared" si="4"/>
        <v>-48.053738199793287</v>
      </c>
      <c r="AR25" s="157">
        <f t="shared" si="5"/>
        <v>48.298027987358921</v>
      </c>
      <c r="AS25" s="157">
        <f t="shared" si="6"/>
        <v>-74.502313822203988</v>
      </c>
      <c r="AT25" s="157">
        <f t="shared" si="7"/>
        <v>10.015628134920814</v>
      </c>
      <c r="AU25" s="157">
        <f t="shared" si="8"/>
        <v>64.016093506970321</v>
      </c>
      <c r="AV25" s="157">
        <f t="shared" si="9"/>
        <v>-35.143730277612278</v>
      </c>
      <c r="AW25" s="157">
        <f t="shared" si="10"/>
        <v>-25.622779336973139</v>
      </c>
      <c r="AX25" s="157">
        <f t="shared" si="11"/>
        <v>-14.660123091151309</v>
      </c>
      <c r="AY25" s="157">
        <f t="shared" si="12"/>
        <v>-18.591271889671976</v>
      </c>
      <c r="AZ25" s="157">
        <f t="shared" si="13"/>
        <v>-15.12769495781931</v>
      </c>
      <c r="BA25" s="157">
        <f t="shared" si="14"/>
        <v>1.3234749436448658</v>
      </c>
      <c r="BB25" s="157" t="str">
        <f t="shared" si="15"/>
        <v>-</v>
      </c>
      <c r="BC25" s="157">
        <f t="shared" si="16"/>
        <v>-29.569794550868998</v>
      </c>
      <c r="BD25" s="157">
        <f t="shared" si="17"/>
        <v>-30.799118619741702</v>
      </c>
      <c r="BE25" s="157">
        <f t="shared" si="18"/>
        <v>13.733393231613029</v>
      </c>
      <c r="BF25" s="157">
        <f t="shared" si="19"/>
        <v>19.161147068687431</v>
      </c>
      <c r="BG25" s="158">
        <f t="shared" si="20"/>
        <v>-19.775641683813941</v>
      </c>
      <c r="BH25" s="150"/>
      <c r="BI25" s="150"/>
      <c r="BJ25" s="150"/>
      <c r="BK25" s="151"/>
      <c r="BL25" s="151"/>
      <c r="BM25" s="151"/>
      <c r="BN25" s="151"/>
    </row>
    <row r="26" spans="3:69" ht="12.75">
      <c r="C26" s="164"/>
      <c r="D26" s="236"/>
      <c r="E26" s="236"/>
      <c r="F26" s="236"/>
      <c r="G26" s="236"/>
      <c r="H26" s="236"/>
      <c r="I26" s="236"/>
      <c r="J26" s="236"/>
      <c r="K26" s="236"/>
      <c r="L26" s="236"/>
      <c r="M26" s="236"/>
      <c r="N26" s="236"/>
      <c r="O26" s="236"/>
      <c r="P26" s="236"/>
      <c r="Q26" s="236"/>
      <c r="R26" s="236"/>
      <c r="S26" s="236"/>
      <c r="T26" s="236"/>
      <c r="U26" s="237">
        <f>SUM(D26:T26)</f>
        <v>0</v>
      </c>
      <c r="V26" s="148"/>
      <c r="W26" s="236"/>
      <c r="X26" s="236"/>
      <c r="Y26" s="236"/>
      <c r="Z26" s="236"/>
      <c r="AA26" s="236"/>
      <c r="AB26" s="236"/>
      <c r="AC26" s="236"/>
      <c r="AD26" s="236"/>
      <c r="AE26" s="236"/>
      <c r="AF26" s="236"/>
      <c r="AG26" s="236"/>
      <c r="AH26" s="236"/>
      <c r="AI26" s="236"/>
      <c r="AJ26" s="236"/>
      <c r="AK26" s="236"/>
      <c r="AL26" s="236"/>
      <c r="AM26" s="236"/>
      <c r="AN26" s="237">
        <f>SUM(W26:AM26)</f>
        <v>0</v>
      </c>
      <c r="AO26" s="148"/>
      <c r="AP26" s="157"/>
      <c r="AQ26" s="157"/>
      <c r="AR26" s="157"/>
      <c r="AS26" s="157"/>
      <c r="AT26" s="157"/>
      <c r="AU26" s="157"/>
      <c r="AV26" s="157"/>
      <c r="AW26" s="157"/>
      <c r="AX26" s="157"/>
      <c r="AY26" s="157"/>
      <c r="AZ26" s="157"/>
      <c r="BA26" s="157"/>
      <c r="BB26" s="157"/>
      <c r="BC26" s="157"/>
      <c r="BD26" s="157"/>
      <c r="BE26" s="157"/>
      <c r="BF26" s="157"/>
      <c r="BG26" s="158"/>
      <c r="BH26" s="150"/>
      <c r="BI26" s="150"/>
      <c r="BJ26" s="150"/>
      <c r="BK26" s="151"/>
      <c r="BL26" s="151"/>
      <c r="BM26" s="151"/>
      <c r="BN26" s="151"/>
    </row>
    <row r="27" spans="3:69" ht="12.75">
      <c r="C27" s="165" t="str">
        <f>IF(Indice_index!$Z$1=1,"Despesa de capital","Capital expenditure")</f>
        <v>Capital expenditure</v>
      </c>
      <c r="D27" s="238">
        <f t="shared" ref="D27:T27" si="35">+D28+D29+D36</f>
        <v>218.74868885999999</v>
      </c>
      <c r="E27" s="238">
        <f t="shared" si="35"/>
        <v>0.32923734999999998</v>
      </c>
      <c r="F27" s="238">
        <f t="shared" si="35"/>
        <v>1.8175898699999999</v>
      </c>
      <c r="G27" s="238">
        <f t="shared" si="35"/>
        <v>56.976957800000001</v>
      </c>
      <c r="H27" s="238">
        <f t="shared" si="35"/>
        <v>53.107633039999996</v>
      </c>
      <c r="I27" s="238">
        <f t="shared" si="35"/>
        <v>11.527270199999998</v>
      </c>
      <c r="J27" s="238">
        <f t="shared" si="35"/>
        <v>5.3459037800000004</v>
      </c>
      <c r="K27" s="238">
        <f t="shared" ref="K27:N27" si="36">+K28+K29+K36</f>
        <v>0.87846325999999986</v>
      </c>
      <c r="L27" s="238">
        <f t="shared" si="36"/>
        <v>113.64070127000001</v>
      </c>
      <c r="M27" s="238">
        <f t="shared" si="36"/>
        <v>6.9541670700000005</v>
      </c>
      <c r="N27" s="238">
        <f t="shared" si="36"/>
        <v>9.4016890000000006E-2</v>
      </c>
      <c r="O27" s="238">
        <f t="shared" si="35"/>
        <v>0.20819291000000001</v>
      </c>
      <c r="P27" s="238">
        <f t="shared" si="35"/>
        <v>232.31374457999999</v>
      </c>
      <c r="Q27" s="238">
        <f t="shared" si="35"/>
        <v>0.47061120000000001</v>
      </c>
      <c r="R27" s="238">
        <f t="shared" si="35"/>
        <v>0.1063896</v>
      </c>
      <c r="S27" s="238">
        <f t="shared" si="35"/>
        <v>22.17236231</v>
      </c>
      <c r="T27" s="238">
        <f t="shared" si="35"/>
        <v>1.9386945099999999</v>
      </c>
      <c r="U27" s="238">
        <f>+U28+U29+U36</f>
        <v>726.63062450000007</v>
      </c>
      <c r="V27" s="166"/>
      <c r="W27" s="238">
        <f t="shared" ref="W27:AN27" si="37">+W28+W29+W36</f>
        <v>156.41417916999998</v>
      </c>
      <c r="X27" s="238">
        <f t="shared" si="37"/>
        <v>0.60288242000000003</v>
      </c>
      <c r="Y27" s="238">
        <f t="shared" si="37"/>
        <v>1.03412189</v>
      </c>
      <c r="Z27" s="238">
        <f t="shared" si="37"/>
        <v>70.746580600000001</v>
      </c>
      <c r="AA27" s="238">
        <f t="shared" si="37"/>
        <v>65.757157980000002</v>
      </c>
      <c r="AB27" s="238">
        <f t="shared" si="37"/>
        <v>3.3017172399999999</v>
      </c>
      <c r="AC27" s="238">
        <f t="shared" si="37"/>
        <v>5.4057790700000004</v>
      </c>
      <c r="AD27" s="238">
        <f t="shared" si="37"/>
        <v>0.68437755999999994</v>
      </c>
      <c r="AE27" s="238">
        <f t="shared" si="37"/>
        <v>84.946453349999999</v>
      </c>
      <c r="AF27" s="238">
        <f t="shared" si="37"/>
        <v>3.6333674299999998</v>
      </c>
      <c r="AG27" s="238">
        <f t="shared" si="37"/>
        <v>0.59476510999999999</v>
      </c>
      <c r="AH27" s="238">
        <f t="shared" si="37"/>
        <v>0.25007946000000003</v>
      </c>
      <c r="AI27" s="238">
        <f t="shared" si="37"/>
        <v>150.6539727</v>
      </c>
      <c r="AJ27" s="238">
        <f t="shared" si="37"/>
        <v>0.46078300000000005</v>
      </c>
      <c r="AK27" s="238">
        <f t="shared" si="37"/>
        <v>2.2583104400000003</v>
      </c>
      <c r="AL27" s="238">
        <f t="shared" si="37"/>
        <v>21.582100409999999</v>
      </c>
      <c r="AM27" s="238">
        <f t="shared" si="37"/>
        <v>3.0285826</v>
      </c>
      <c r="AN27" s="238">
        <f t="shared" si="37"/>
        <v>571.35521043000006</v>
      </c>
      <c r="AO27" s="166"/>
      <c r="AP27" s="167">
        <f t="shared" ref="AP27:AP36" si="38">IF(W27=0,"-",IF((D27/W27)&gt;3,"-",((D27-W27)/W27)*100))</f>
        <v>39.852211622228474</v>
      </c>
      <c r="AQ27" s="167">
        <f t="shared" ref="AQ27:AQ36" si="39">IF(X27=0,"-",IF((E27/X27)&gt;3,"-",((E27-X27)/X27)*100))</f>
        <v>-45.389459191727639</v>
      </c>
      <c r="AR27" s="167">
        <f t="shared" ref="AR27:AR36" si="40">IF(Y27=0,"-",IF((F27/Y27)&gt;3,"-",((F27-Y27)/Y27)*100))</f>
        <v>75.761666741238784</v>
      </c>
      <c r="AS27" s="167">
        <f t="shared" ref="AS27:AS36" si="41">IF(Z27=0,"-",IF((G27/Z27)&gt;3,"-",((G27-Z27)/Z27)*100))</f>
        <v>-19.463305057601609</v>
      </c>
      <c r="AT27" s="167">
        <f t="shared" ref="AT27:AT36" si="42">IF(AA27=0,"-",IF((H27/AA27)&gt;3,"-",((H27-AA27)/AA27)*100))</f>
        <v>-19.236726964154002</v>
      </c>
      <c r="AU27" s="167" t="str">
        <f t="shared" ref="AU27:AU36" si="43">IF(AB27=0,"-",IF((I27/AB27)&gt;3,"-",((I27-AB27)/AB27)*100))</f>
        <v>-</v>
      </c>
      <c r="AV27" s="167">
        <f t="shared" ref="AV27:AV36" si="44">IF(AC27=0,"-",IF((J27/AC27)&gt;3,"-",((J27-AC27)/AC27)*100))</f>
        <v>-1.1076162977559478</v>
      </c>
      <c r="AW27" s="167">
        <f t="shared" ref="AW27:AW36" si="45">IF(AD27=0,"-",IF((K27/AD27)&gt;3,"-",((K27-AD27)/AD27)*100))</f>
        <v>28.359448255433726</v>
      </c>
      <c r="AX27" s="167">
        <f t="shared" ref="AX27:AX36" si="46">IF(AE27=0,"-",IF((L27/AE27)&gt;3,"-",((L27-AE27)/AE27)*100))</f>
        <v>33.779218305645728</v>
      </c>
      <c r="AY27" s="167">
        <f t="shared" ref="AY27:AY36" si="47">IF(AF27=0,"-",IF((M27/AF27)&gt;3,"-",((M27-AF27)/AF27)*100))</f>
        <v>91.39729752022356</v>
      </c>
      <c r="AZ27" s="167">
        <f t="shared" ref="AZ27:AZ36" si="48">IF(AG27=0,"-",IF((N27/AG27)&gt;3,"-",((N27-AG27)/AG27)*100))</f>
        <v>-84.192601681023277</v>
      </c>
      <c r="BA27" s="167">
        <f t="shared" ref="BA27:BA36" si="49">IF(AH27=0,"-",IF((O27/AH27)&gt;3,"-",((O27-AH27)/AH27)*100))</f>
        <v>-16.749296403631075</v>
      </c>
      <c r="BB27" s="167">
        <f t="shared" ref="BB27:BB36" si="50">IF(AI27=0,"-",IF((P27/AI27)&gt;3,"-",((P27-AI27)/AI27)*100))</f>
        <v>54.203530392531093</v>
      </c>
      <c r="BC27" s="167">
        <f t="shared" ref="BC27:BC36" si="51">IF(AJ27=0,"-",IF((Q27/AJ27)&gt;3,"-",((Q27-AJ27)/AJ27)*100))</f>
        <v>2.1329345917709532</v>
      </c>
      <c r="BD27" s="167">
        <f t="shared" ref="BD27:BD36" si="52">IF(AK27=0,"-",IF((R27/AK27)&gt;3,"-",((R27-AK27)/AK27)*100))</f>
        <v>-95.288973645270843</v>
      </c>
      <c r="BE27" s="167">
        <f t="shared" ref="BE27:BE36" si="53">IF(AL27=0,"-",IF((S27/AL27)&gt;3,"-",((S27-AL27)/AL27)*100))</f>
        <v>2.734960401381997</v>
      </c>
      <c r="BF27" s="167">
        <f t="shared" ref="BF27:BF36" si="54">IF(AM27=0,"-",IF((T27/AM27)&gt;3,"-",((T27-AM27)/AM27)*100))</f>
        <v>-35.98673815269229</v>
      </c>
      <c r="BG27" s="168">
        <f t="shared" ref="BG27:BG36" si="55">IF(AN27=0,"-",IF((U27/AN27)&gt;3,"-",((U27-AN27)/AN27)*100))</f>
        <v>27.176686452748061</v>
      </c>
      <c r="BH27" s="169"/>
      <c r="BI27" s="150"/>
      <c r="BJ27" s="150"/>
      <c r="BK27" s="151"/>
      <c r="BL27" s="151"/>
      <c r="BM27" s="151"/>
      <c r="BN27" s="151"/>
    </row>
    <row r="28" spans="3:69" ht="12.75">
      <c r="C28" s="156" t="str">
        <f>IF(Indice_index!$Z$1=1,"Investimento","Investment")</f>
        <v>Investment</v>
      </c>
      <c r="D28" s="236">
        <v>4.1761300000000001E-2</v>
      </c>
      <c r="E28" s="236">
        <v>0.13057227999999999</v>
      </c>
      <c r="F28" s="236">
        <v>1.1999980100000001</v>
      </c>
      <c r="G28" s="236">
        <v>6.1244668699999973</v>
      </c>
      <c r="H28" s="236">
        <v>53.105924569999999</v>
      </c>
      <c r="I28" s="236">
        <v>11.001202369999998</v>
      </c>
      <c r="J28" s="236">
        <v>2.05590378</v>
      </c>
      <c r="K28" s="236">
        <v>0.73991941999999988</v>
      </c>
      <c r="L28" s="236">
        <v>3.4796270000000004E-2</v>
      </c>
      <c r="M28" s="236">
        <v>1.7305585400000001</v>
      </c>
      <c r="N28" s="236">
        <v>9.4016890000000006E-2</v>
      </c>
      <c r="O28" s="236">
        <v>7.8932789999999989E-2</v>
      </c>
      <c r="P28" s="236">
        <v>4.9077000000000001E-3</v>
      </c>
      <c r="Q28" s="236">
        <v>0.37126419999999999</v>
      </c>
      <c r="R28" s="236">
        <v>5.3159600000000001E-2</v>
      </c>
      <c r="S28" s="236">
        <v>3.1664103099999994</v>
      </c>
      <c r="T28" s="236">
        <v>1.56386151</v>
      </c>
      <c r="U28" s="237">
        <f>SUM(D28:T28)</f>
        <v>81.497656410000005</v>
      </c>
      <c r="V28" s="148"/>
      <c r="W28" s="236">
        <v>7.1292739999999993E-2</v>
      </c>
      <c r="X28" s="236">
        <v>0.29378305999999998</v>
      </c>
      <c r="Y28" s="236">
        <v>1.02745489</v>
      </c>
      <c r="Z28" s="236">
        <v>4.3709631399999997</v>
      </c>
      <c r="AA28" s="236">
        <v>65.443882979999998</v>
      </c>
      <c r="AB28" s="236">
        <v>2.1910939599999999</v>
      </c>
      <c r="AC28" s="236">
        <v>1.7057790700000004</v>
      </c>
      <c r="AD28" s="236">
        <v>0.41528085999999997</v>
      </c>
      <c r="AE28" s="236">
        <v>6.4993499999999992E-3</v>
      </c>
      <c r="AF28" s="236">
        <v>1.5504706799999997</v>
      </c>
      <c r="AG28" s="236">
        <v>0.35020472000000002</v>
      </c>
      <c r="AH28" s="236">
        <v>9.0584679999999987E-2</v>
      </c>
      <c r="AI28" s="236">
        <v>1.0664379999999999E-2</v>
      </c>
      <c r="AJ28" s="236">
        <v>0.18323700000000001</v>
      </c>
      <c r="AK28" s="236">
        <v>0.14966544000000001</v>
      </c>
      <c r="AL28" s="236">
        <v>4.8814234099999991</v>
      </c>
      <c r="AM28" s="236">
        <v>2.85826E-2</v>
      </c>
      <c r="AN28" s="237">
        <f>SUM(W28:AM28)</f>
        <v>82.770862960000002</v>
      </c>
      <c r="AO28" s="148"/>
      <c r="AP28" s="157">
        <f t="shared" si="38"/>
        <v>-41.422787229106348</v>
      </c>
      <c r="AQ28" s="157">
        <f t="shared" si="39"/>
        <v>-55.554864191284551</v>
      </c>
      <c r="AR28" s="157">
        <f t="shared" si="40"/>
        <v>16.79325503039847</v>
      </c>
      <c r="AS28" s="157">
        <f t="shared" si="41"/>
        <v>40.117101742477693</v>
      </c>
      <c r="AT28" s="157">
        <f t="shared" si="42"/>
        <v>-18.85272977120038</v>
      </c>
      <c r="AU28" s="157" t="str">
        <f t="shared" si="43"/>
        <v>-</v>
      </c>
      <c r="AV28" s="157">
        <f t="shared" si="44"/>
        <v>20.525794703296452</v>
      </c>
      <c r="AW28" s="157">
        <f t="shared" si="45"/>
        <v>78.173253638513458</v>
      </c>
      <c r="AX28" s="157" t="str">
        <f t="shared" si="46"/>
        <v>-</v>
      </c>
      <c r="AY28" s="157">
        <f t="shared" si="47"/>
        <v>11.615044536024408</v>
      </c>
      <c r="AZ28" s="157">
        <f t="shared" si="48"/>
        <v>-73.153734192960044</v>
      </c>
      <c r="BA28" s="157">
        <f t="shared" si="49"/>
        <v>-12.862980804259616</v>
      </c>
      <c r="BB28" s="157">
        <f t="shared" si="50"/>
        <v>-53.980447058338129</v>
      </c>
      <c r="BC28" s="157">
        <f t="shared" si="51"/>
        <v>102.61421001217002</v>
      </c>
      <c r="BD28" s="157">
        <f t="shared" si="52"/>
        <v>-64.481045189858136</v>
      </c>
      <c r="BE28" s="157">
        <f t="shared" si="53"/>
        <v>-35.133463253498022</v>
      </c>
      <c r="BF28" s="157" t="str">
        <f t="shared" si="54"/>
        <v>-</v>
      </c>
      <c r="BG28" s="158">
        <f t="shared" si="55"/>
        <v>-1.5382303681131</v>
      </c>
      <c r="BH28" s="169"/>
      <c r="BI28" s="150"/>
      <c r="BJ28" s="150"/>
      <c r="BK28" s="151"/>
      <c r="BL28" s="151"/>
      <c r="BM28" s="151"/>
      <c r="BN28" s="151"/>
    </row>
    <row r="29" spans="3:69" ht="12.75">
      <c r="C29" s="156" t="str">
        <f>IF(Indice_index!$Z$1=1,"Transferências de capital","Capital transfers")</f>
        <v>Capital transfers</v>
      </c>
      <c r="D29" s="237">
        <f t="shared" ref="D29:T29" si="56">+D30+D35</f>
        <v>218.70692756</v>
      </c>
      <c r="E29" s="237">
        <f t="shared" si="56"/>
        <v>0.19866507</v>
      </c>
      <c r="F29" s="237">
        <f t="shared" si="56"/>
        <v>5.0833999999999997E-2</v>
      </c>
      <c r="G29" s="237">
        <f t="shared" si="56"/>
        <v>50.852490930000002</v>
      </c>
      <c r="H29" s="237">
        <f t="shared" si="56"/>
        <v>1.7084700000000001E-3</v>
      </c>
      <c r="I29" s="237">
        <f t="shared" si="56"/>
        <v>0.5260678299999999</v>
      </c>
      <c r="J29" s="237">
        <f t="shared" si="56"/>
        <v>3.29</v>
      </c>
      <c r="K29" s="237">
        <f t="shared" ref="K29:N29" si="57">+K30+K35</f>
        <v>0.13854384</v>
      </c>
      <c r="L29" s="237">
        <f t="shared" si="57"/>
        <v>113.60590500000001</v>
      </c>
      <c r="M29" s="237">
        <f t="shared" si="57"/>
        <v>3.1573691399999997</v>
      </c>
      <c r="N29" s="237">
        <f t="shared" si="57"/>
        <v>0</v>
      </c>
      <c r="O29" s="237">
        <f t="shared" si="56"/>
        <v>0.12926012000000001</v>
      </c>
      <c r="P29" s="237">
        <f t="shared" si="56"/>
        <v>232.30883688</v>
      </c>
      <c r="Q29" s="237">
        <f t="shared" si="56"/>
        <v>9.9347000000000005E-2</v>
      </c>
      <c r="R29" s="237">
        <f t="shared" si="56"/>
        <v>5.323E-2</v>
      </c>
      <c r="S29" s="237">
        <f t="shared" si="56"/>
        <v>19.005952000000001</v>
      </c>
      <c r="T29" s="237">
        <f t="shared" si="56"/>
        <v>0.37483300000000003</v>
      </c>
      <c r="U29" s="237">
        <f>+U30+U35</f>
        <v>642.49997084000006</v>
      </c>
      <c r="V29" s="148"/>
      <c r="W29" s="237">
        <f t="shared" ref="W29:AN29" si="58">+W30+W35</f>
        <v>156.34288642999999</v>
      </c>
      <c r="X29" s="237">
        <f t="shared" si="58"/>
        <v>0.30909935999999999</v>
      </c>
      <c r="Y29" s="237">
        <f t="shared" si="58"/>
        <v>6.6670000000000002E-3</v>
      </c>
      <c r="Z29" s="237">
        <f t="shared" si="58"/>
        <v>66.375617460000001</v>
      </c>
      <c r="AA29" s="237">
        <f t="shared" si="58"/>
        <v>0.31327500000000003</v>
      </c>
      <c r="AB29" s="237">
        <f t="shared" si="58"/>
        <v>1.11062328</v>
      </c>
      <c r="AC29" s="237">
        <f t="shared" si="58"/>
        <v>3.7</v>
      </c>
      <c r="AD29" s="237">
        <f t="shared" si="58"/>
        <v>0.26909670000000002</v>
      </c>
      <c r="AE29" s="237">
        <f t="shared" si="58"/>
        <v>84.939954</v>
      </c>
      <c r="AF29" s="237">
        <f t="shared" si="58"/>
        <v>0.10982757000000001</v>
      </c>
      <c r="AG29" s="237">
        <f t="shared" si="58"/>
        <v>0.24456039000000002</v>
      </c>
      <c r="AH29" s="237">
        <f t="shared" si="58"/>
        <v>0.15949478000000003</v>
      </c>
      <c r="AI29" s="237">
        <f t="shared" si="58"/>
        <v>150.64330831999999</v>
      </c>
      <c r="AJ29" s="237">
        <f t="shared" si="58"/>
        <v>0.27754600000000001</v>
      </c>
      <c r="AK29" s="237">
        <f t="shared" si="58"/>
        <v>2.1086450000000001</v>
      </c>
      <c r="AL29" s="237">
        <f t="shared" si="58"/>
        <v>16.700676999999999</v>
      </c>
      <c r="AM29" s="237">
        <f t="shared" si="58"/>
        <v>3</v>
      </c>
      <c r="AN29" s="237">
        <f t="shared" si="58"/>
        <v>486.61127829000003</v>
      </c>
      <c r="AO29" s="148"/>
      <c r="AP29" s="157">
        <f t="shared" si="38"/>
        <v>39.889273221217195</v>
      </c>
      <c r="AQ29" s="157">
        <f t="shared" si="39"/>
        <v>-35.727764043251334</v>
      </c>
      <c r="AR29" s="157" t="str">
        <f t="shared" si="40"/>
        <v>-</v>
      </c>
      <c r="AS29" s="157">
        <f t="shared" si="41"/>
        <v>-23.386790396872335</v>
      </c>
      <c r="AT29" s="157">
        <f t="shared" si="42"/>
        <v>-99.454642087622688</v>
      </c>
      <c r="AU29" s="157">
        <f t="shared" si="43"/>
        <v>-52.633098956830807</v>
      </c>
      <c r="AV29" s="157">
        <f t="shared" si="44"/>
        <v>-11.081081081081084</v>
      </c>
      <c r="AW29" s="157">
        <f t="shared" si="45"/>
        <v>-48.515221479862078</v>
      </c>
      <c r="AX29" s="157">
        <f t="shared" si="46"/>
        <v>33.748488961978964</v>
      </c>
      <c r="AY29" s="157" t="str">
        <f t="shared" si="47"/>
        <v>-</v>
      </c>
      <c r="AZ29" s="157">
        <f t="shared" si="48"/>
        <v>-100</v>
      </c>
      <c r="BA29" s="157">
        <f t="shared" si="49"/>
        <v>-18.956520081723063</v>
      </c>
      <c r="BB29" s="157">
        <f t="shared" si="50"/>
        <v>54.211188980611212</v>
      </c>
      <c r="BC29" s="157">
        <f t="shared" si="51"/>
        <v>-64.205212829585008</v>
      </c>
      <c r="BD29" s="157">
        <f t="shared" si="52"/>
        <v>-97.475630084722653</v>
      </c>
      <c r="BE29" s="157">
        <f t="shared" si="53"/>
        <v>13.803482337871703</v>
      </c>
      <c r="BF29" s="157">
        <f t="shared" si="54"/>
        <v>-87.505566666666653</v>
      </c>
      <c r="BG29" s="158">
        <f t="shared" si="55"/>
        <v>32.03556915035103</v>
      </c>
      <c r="BH29" s="169"/>
      <c r="BI29" s="150"/>
      <c r="BJ29" s="150"/>
      <c r="BK29" s="151"/>
      <c r="BL29" s="151"/>
      <c r="BM29" s="151"/>
      <c r="BN29" s="151"/>
    </row>
    <row r="30" spans="3:69" ht="12.75">
      <c r="C30" s="159" t="str">
        <f>IF(Indice_index!$Z$1=1,"Administrações Públicas","General Government")</f>
        <v>General Government</v>
      </c>
      <c r="D30" s="237">
        <f t="shared" ref="D30:T30" si="59">SUM(D31:D34)</f>
        <v>218.70692756</v>
      </c>
      <c r="E30" s="237">
        <f t="shared" si="59"/>
        <v>0.19866507</v>
      </c>
      <c r="F30" s="237">
        <f t="shared" si="59"/>
        <v>5.0833999999999997E-2</v>
      </c>
      <c r="G30" s="237">
        <f t="shared" si="59"/>
        <v>16.52988779</v>
      </c>
      <c r="H30" s="237">
        <f t="shared" si="59"/>
        <v>1.7084700000000001E-3</v>
      </c>
      <c r="I30" s="237">
        <f t="shared" si="59"/>
        <v>0.43858220999999997</v>
      </c>
      <c r="J30" s="237">
        <f t="shared" si="59"/>
        <v>3.29</v>
      </c>
      <c r="K30" s="237">
        <f t="shared" ref="K30:N30" si="60">SUM(K31:K34)</f>
        <v>0.13854384</v>
      </c>
      <c r="L30" s="237">
        <f t="shared" si="60"/>
        <v>113.60590500000001</v>
      </c>
      <c r="M30" s="237">
        <f t="shared" si="60"/>
        <v>3.14691374</v>
      </c>
      <c r="N30" s="237">
        <f t="shared" si="60"/>
        <v>0</v>
      </c>
      <c r="O30" s="237">
        <f t="shared" si="59"/>
        <v>0.12926012000000001</v>
      </c>
      <c r="P30" s="237">
        <f t="shared" si="59"/>
        <v>232.30883688</v>
      </c>
      <c r="Q30" s="237">
        <f t="shared" si="59"/>
        <v>9.9347000000000005E-2</v>
      </c>
      <c r="R30" s="237">
        <f t="shared" si="59"/>
        <v>5.323E-2</v>
      </c>
      <c r="S30" s="237">
        <f t="shared" si="59"/>
        <v>18.568452000000001</v>
      </c>
      <c r="T30" s="237">
        <f t="shared" si="59"/>
        <v>0.37483300000000003</v>
      </c>
      <c r="U30" s="237">
        <f>SUM(U31:U34)</f>
        <v>607.6419266800001</v>
      </c>
      <c r="V30" s="148"/>
      <c r="W30" s="237">
        <f t="shared" ref="W30:AN30" si="61">SUM(W31:W34)</f>
        <v>156.34288642999999</v>
      </c>
      <c r="X30" s="237">
        <f t="shared" si="61"/>
        <v>0.30909935999999999</v>
      </c>
      <c r="Y30" s="237">
        <f t="shared" si="61"/>
        <v>6.6670000000000002E-3</v>
      </c>
      <c r="Z30" s="237">
        <f t="shared" si="61"/>
        <v>31.798279000000001</v>
      </c>
      <c r="AA30" s="237">
        <f t="shared" si="61"/>
        <v>0.31327500000000003</v>
      </c>
      <c r="AB30" s="237">
        <f t="shared" si="61"/>
        <v>1.00614078</v>
      </c>
      <c r="AC30" s="237">
        <f t="shared" si="61"/>
        <v>3.7</v>
      </c>
      <c r="AD30" s="237">
        <f t="shared" si="61"/>
        <v>0.26909670000000002</v>
      </c>
      <c r="AE30" s="237">
        <f t="shared" si="61"/>
        <v>84.939954</v>
      </c>
      <c r="AF30" s="237">
        <f t="shared" si="61"/>
        <v>9.9117870000000011E-2</v>
      </c>
      <c r="AG30" s="237">
        <f t="shared" si="61"/>
        <v>0.24456039000000002</v>
      </c>
      <c r="AH30" s="237">
        <f t="shared" si="61"/>
        <v>0.15949478000000003</v>
      </c>
      <c r="AI30" s="237">
        <f t="shared" si="61"/>
        <v>150.64330831999999</v>
      </c>
      <c r="AJ30" s="237">
        <f t="shared" si="61"/>
        <v>0.12714600000000001</v>
      </c>
      <c r="AK30" s="237">
        <f t="shared" si="61"/>
        <v>2.1086450000000001</v>
      </c>
      <c r="AL30" s="237">
        <f t="shared" si="61"/>
        <v>16.700676999999999</v>
      </c>
      <c r="AM30" s="237">
        <f t="shared" si="61"/>
        <v>3</v>
      </c>
      <c r="AN30" s="237">
        <f t="shared" si="61"/>
        <v>451.76834763000005</v>
      </c>
      <c r="AO30" s="148"/>
      <c r="AP30" s="157">
        <f t="shared" si="38"/>
        <v>39.889273221217195</v>
      </c>
      <c r="AQ30" s="157">
        <f t="shared" si="39"/>
        <v>-35.727764043251334</v>
      </c>
      <c r="AR30" s="157" t="str">
        <f t="shared" si="40"/>
        <v>-</v>
      </c>
      <c r="AS30" s="157">
        <f t="shared" si="41"/>
        <v>-48.016407460290537</v>
      </c>
      <c r="AT30" s="157">
        <f t="shared" si="42"/>
        <v>-99.454642087622688</v>
      </c>
      <c r="AU30" s="157">
        <f t="shared" si="43"/>
        <v>-56.409458922835832</v>
      </c>
      <c r="AV30" s="157">
        <f t="shared" si="44"/>
        <v>-11.081081081081084</v>
      </c>
      <c r="AW30" s="157">
        <f t="shared" si="45"/>
        <v>-48.515221479862078</v>
      </c>
      <c r="AX30" s="157">
        <f t="shared" si="46"/>
        <v>33.748488961978964</v>
      </c>
      <c r="AY30" s="157" t="str">
        <f t="shared" si="47"/>
        <v>-</v>
      </c>
      <c r="AZ30" s="157">
        <f t="shared" si="48"/>
        <v>-100</v>
      </c>
      <c r="BA30" s="157">
        <f t="shared" si="49"/>
        <v>-18.956520081723063</v>
      </c>
      <c r="BB30" s="157">
        <f t="shared" si="50"/>
        <v>54.211188980611212</v>
      </c>
      <c r="BC30" s="157">
        <f t="shared" si="51"/>
        <v>-21.863841567961241</v>
      </c>
      <c r="BD30" s="157">
        <f t="shared" si="52"/>
        <v>-97.475630084722653</v>
      </c>
      <c r="BE30" s="157">
        <f t="shared" si="53"/>
        <v>11.183828056790762</v>
      </c>
      <c r="BF30" s="157">
        <f t="shared" si="54"/>
        <v>-87.505566666666653</v>
      </c>
      <c r="BG30" s="158">
        <f t="shared" si="55"/>
        <v>34.502988061850914</v>
      </c>
      <c r="BH30" s="169"/>
      <c r="BI30" s="150"/>
      <c r="BJ30" s="150"/>
      <c r="BK30" s="151"/>
      <c r="BL30" s="151"/>
      <c r="BM30" s="151"/>
      <c r="BN30" s="151"/>
    </row>
    <row r="31" spans="3:69" ht="12.75">
      <c r="C31" s="163" t="str">
        <f>IF(Indice_index!$Z$1=1,"Administração Central","Central Government")</f>
        <v>Central Government</v>
      </c>
      <c r="D31" s="236">
        <v>2.3114511099999997</v>
      </c>
      <c r="E31" s="236">
        <v>0.19866507</v>
      </c>
      <c r="F31" s="236">
        <v>5.0833999999999997E-2</v>
      </c>
      <c r="G31" s="236">
        <v>16.52988779</v>
      </c>
      <c r="H31" s="236">
        <v>1.7084700000000001E-3</v>
      </c>
      <c r="I31" s="236">
        <v>0</v>
      </c>
      <c r="J31" s="236">
        <v>3.29</v>
      </c>
      <c r="K31" s="236">
        <v>0.13854384</v>
      </c>
      <c r="L31" s="236">
        <v>113.60590500000001</v>
      </c>
      <c r="M31" s="236">
        <v>2.9919981899999999</v>
      </c>
      <c r="N31" s="236">
        <v>0</v>
      </c>
      <c r="O31" s="236">
        <v>0.12926012000000001</v>
      </c>
      <c r="P31" s="236">
        <v>232.30883688</v>
      </c>
      <c r="Q31" s="236">
        <v>9.9347000000000005E-2</v>
      </c>
      <c r="R31" s="236">
        <v>5.323E-2</v>
      </c>
      <c r="S31" s="236">
        <v>18.568452000000001</v>
      </c>
      <c r="T31" s="236">
        <v>0.37483300000000003</v>
      </c>
      <c r="U31" s="237">
        <f t="shared" si="24"/>
        <v>390.65295247000006</v>
      </c>
      <c r="V31" s="148"/>
      <c r="W31" s="236">
        <v>2.1302249500000001</v>
      </c>
      <c r="X31" s="236">
        <v>0.30909935999999999</v>
      </c>
      <c r="Y31" s="236">
        <v>6.6670000000000002E-3</v>
      </c>
      <c r="Z31" s="236">
        <v>31.798279000000001</v>
      </c>
      <c r="AA31" s="236">
        <v>0.31327500000000003</v>
      </c>
      <c r="AB31" s="236">
        <v>1.00614078</v>
      </c>
      <c r="AC31" s="236">
        <v>3.7</v>
      </c>
      <c r="AD31" s="236">
        <v>0.25</v>
      </c>
      <c r="AE31" s="236">
        <v>84.939954</v>
      </c>
      <c r="AF31" s="236">
        <v>5.8766130000000007E-2</v>
      </c>
      <c r="AG31" s="236">
        <v>0</v>
      </c>
      <c r="AH31" s="236">
        <v>0.15949478000000003</v>
      </c>
      <c r="AI31" s="236">
        <v>150.64330831999999</v>
      </c>
      <c r="AJ31" s="236">
        <v>0.12714600000000001</v>
      </c>
      <c r="AK31" s="236">
        <v>2.1086450000000001</v>
      </c>
      <c r="AL31" s="236">
        <v>16.700676999999999</v>
      </c>
      <c r="AM31" s="236">
        <v>3</v>
      </c>
      <c r="AN31" s="237">
        <f t="shared" ref="AN31:AN36" si="62">SUM(W31:AM31)</f>
        <v>297.25167732</v>
      </c>
      <c r="AO31" s="148"/>
      <c r="AP31" s="157">
        <f t="shared" si="38"/>
        <v>8.5073719561870487</v>
      </c>
      <c r="AQ31" s="157">
        <f t="shared" si="39"/>
        <v>-35.727764043251334</v>
      </c>
      <c r="AR31" s="157" t="str">
        <f t="shared" si="40"/>
        <v>-</v>
      </c>
      <c r="AS31" s="157">
        <f t="shared" si="41"/>
        <v>-48.016407460290537</v>
      </c>
      <c r="AT31" s="157">
        <f t="shared" si="42"/>
        <v>-99.454642087622688</v>
      </c>
      <c r="AU31" s="157">
        <f t="shared" si="43"/>
        <v>-100</v>
      </c>
      <c r="AV31" s="157">
        <f t="shared" si="44"/>
        <v>-11.081081081081084</v>
      </c>
      <c r="AW31" s="157">
        <f t="shared" si="45"/>
        <v>-44.582464000000002</v>
      </c>
      <c r="AX31" s="157">
        <f t="shared" si="46"/>
        <v>33.748488961978964</v>
      </c>
      <c r="AY31" s="157" t="str">
        <f t="shared" si="47"/>
        <v>-</v>
      </c>
      <c r="AZ31" s="157" t="str">
        <f t="shared" si="48"/>
        <v>-</v>
      </c>
      <c r="BA31" s="157">
        <f t="shared" si="49"/>
        <v>-18.956520081723063</v>
      </c>
      <c r="BB31" s="157">
        <f t="shared" si="50"/>
        <v>54.211188980611212</v>
      </c>
      <c r="BC31" s="157">
        <f t="shared" si="51"/>
        <v>-21.863841567961241</v>
      </c>
      <c r="BD31" s="157">
        <f t="shared" si="52"/>
        <v>-97.475630084722653</v>
      </c>
      <c r="BE31" s="157">
        <f t="shared" si="53"/>
        <v>11.183828056790762</v>
      </c>
      <c r="BF31" s="157">
        <f t="shared" si="54"/>
        <v>-87.505566666666653</v>
      </c>
      <c r="BG31" s="158">
        <f t="shared" si="55"/>
        <v>31.421614166183794</v>
      </c>
      <c r="BH31" s="169"/>
      <c r="BI31" s="150"/>
      <c r="BJ31" s="150"/>
      <c r="BK31" s="151"/>
      <c r="BL31" s="151"/>
      <c r="BM31" s="151"/>
      <c r="BN31" s="151"/>
    </row>
    <row r="32" spans="3:69" ht="12.75">
      <c r="C32" s="163" t="str">
        <f>IF(Indice_index!$Z$1=1,"Administração Regional","Regional Government")</f>
        <v>Regional Government</v>
      </c>
      <c r="D32" s="236">
        <v>85.949445520000012</v>
      </c>
      <c r="E32" s="236">
        <v>0</v>
      </c>
      <c r="F32" s="236">
        <v>0</v>
      </c>
      <c r="G32" s="236">
        <v>0</v>
      </c>
      <c r="H32" s="236">
        <v>0</v>
      </c>
      <c r="I32" s="236">
        <v>0</v>
      </c>
      <c r="J32" s="236">
        <v>0</v>
      </c>
      <c r="K32" s="236">
        <v>0</v>
      </c>
      <c r="L32" s="236">
        <v>0</v>
      </c>
      <c r="M32" s="236">
        <v>0</v>
      </c>
      <c r="N32" s="236">
        <v>0</v>
      </c>
      <c r="O32" s="236">
        <v>0</v>
      </c>
      <c r="P32" s="236">
        <v>0</v>
      </c>
      <c r="Q32" s="236">
        <v>0</v>
      </c>
      <c r="R32" s="236">
        <v>0</v>
      </c>
      <c r="S32" s="236">
        <v>0</v>
      </c>
      <c r="T32" s="236">
        <v>0</v>
      </c>
      <c r="U32" s="237">
        <f t="shared" si="24"/>
        <v>85.949445520000012</v>
      </c>
      <c r="V32" s="148"/>
      <c r="W32" s="236">
        <v>72.519191479999989</v>
      </c>
      <c r="X32" s="236">
        <v>0</v>
      </c>
      <c r="Y32" s="236">
        <v>0</v>
      </c>
      <c r="Z32" s="236">
        <v>0</v>
      </c>
      <c r="AA32" s="236">
        <v>0</v>
      </c>
      <c r="AB32" s="236">
        <v>0</v>
      </c>
      <c r="AC32" s="236">
        <v>0</v>
      </c>
      <c r="AD32" s="236">
        <v>0</v>
      </c>
      <c r="AE32" s="236">
        <v>0</v>
      </c>
      <c r="AF32" s="236">
        <v>0</v>
      </c>
      <c r="AG32" s="236">
        <v>0</v>
      </c>
      <c r="AH32" s="236">
        <v>0</v>
      </c>
      <c r="AI32" s="236">
        <v>0</v>
      </c>
      <c r="AJ32" s="236">
        <v>0</v>
      </c>
      <c r="AK32" s="236">
        <v>0</v>
      </c>
      <c r="AL32" s="236">
        <v>0</v>
      </c>
      <c r="AM32" s="236">
        <v>0</v>
      </c>
      <c r="AN32" s="237">
        <f t="shared" si="62"/>
        <v>72.519191479999989</v>
      </c>
      <c r="AO32" s="148"/>
      <c r="AP32" s="157">
        <f t="shared" si="38"/>
        <v>18.519586010144558</v>
      </c>
      <c r="AQ32" s="157" t="str">
        <f t="shared" si="39"/>
        <v>-</v>
      </c>
      <c r="AR32" s="157" t="str">
        <f t="shared" si="40"/>
        <v>-</v>
      </c>
      <c r="AS32" s="157" t="str">
        <f t="shared" si="41"/>
        <v>-</v>
      </c>
      <c r="AT32" s="157" t="str">
        <f t="shared" si="42"/>
        <v>-</v>
      </c>
      <c r="AU32" s="157" t="str">
        <f t="shared" si="43"/>
        <v>-</v>
      </c>
      <c r="AV32" s="157" t="str">
        <f t="shared" si="44"/>
        <v>-</v>
      </c>
      <c r="AW32" s="157" t="str">
        <f t="shared" si="45"/>
        <v>-</v>
      </c>
      <c r="AX32" s="157" t="str">
        <f t="shared" si="46"/>
        <v>-</v>
      </c>
      <c r="AY32" s="157" t="str">
        <f t="shared" si="47"/>
        <v>-</v>
      </c>
      <c r="AZ32" s="157" t="str">
        <f t="shared" si="48"/>
        <v>-</v>
      </c>
      <c r="BA32" s="157" t="str">
        <f t="shared" si="49"/>
        <v>-</v>
      </c>
      <c r="BB32" s="157" t="str">
        <f t="shared" si="50"/>
        <v>-</v>
      </c>
      <c r="BC32" s="157" t="str">
        <f t="shared" si="51"/>
        <v>-</v>
      </c>
      <c r="BD32" s="157" t="str">
        <f t="shared" si="52"/>
        <v>-</v>
      </c>
      <c r="BE32" s="157" t="str">
        <f t="shared" si="53"/>
        <v>-</v>
      </c>
      <c r="BF32" s="157" t="str">
        <f t="shared" si="54"/>
        <v>-</v>
      </c>
      <c r="BG32" s="158">
        <f t="shared" si="55"/>
        <v>18.519586010144558</v>
      </c>
      <c r="BH32" s="169"/>
      <c r="BI32" s="150"/>
      <c r="BJ32" s="150"/>
      <c r="BK32" s="151"/>
      <c r="BL32" s="151"/>
      <c r="BM32" s="151"/>
      <c r="BN32" s="151"/>
    </row>
    <row r="33" spans="3:199" ht="12.75">
      <c r="C33" s="163" t="str">
        <f>IF(Indice_index!$Z$1=1,"Administração Local","Local Government")</f>
        <v>Local Government</v>
      </c>
      <c r="D33" s="236">
        <v>130.44603093000001</v>
      </c>
      <c r="E33" s="236">
        <v>0</v>
      </c>
      <c r="F33" s="236">
        <v>0</v>
      </c>
      <c r="G33" s="236">
        <v>0</v>
      </c>
      <c r="H33" s="236">
        <v>0</v>
      </c>
      <c r="I33" s="236">
        <v>0.43858220999999997</v>
      </c>
      <c r="J33" s="236">
        <v>0</v>
      </c>
      <c r="K33" s="236">
        <v>0</v>
      </c>
      <c r="L33" s="236">
        <v>0</v>
      </c>
      <c r="M33" s="236">
        <v>0.15491554999999999</v>
      </c>
      <c r="N33" s="236">
        <v>0</v>
      </c>
      <c r="O33" s="236">
        <v>0</v>
      </c>
      <c r="P33" s="236">
        <v>0</v>
      </c>
      <c r="Q33" s="236">
        <v>0</v>
      </c>
      <c r="R33" s="236">
        <v>0</v>
      </c>
      <c r="S33" s="236">
        <v>0</v>
      </c>
      <c r="T33" s="236">
        <v>0</v>
      </c>
      <c r="U33" s="237">
        <f t="shared" si="24"/>
        <v>131.03952869</v>
      </c>
      <c r="V33" s="148"/>
      <c r="W33" s="236">
        <v>81.693470000000005</v>
      </c>
      <c r="X33" s="236">
        <v>0</v>
      </c>
      <c r="Y33" s="236">
        <v>0</v>
      </c>
      <c r="Z33" s="236">
        <v>0</v>
      </c>
      <c r="AA33" s="236">
        <v>0</v>
      </c>
      <c r="AB33" s="236">
        <v>0</v>
      </c>
      <c r="AC33" s="236">
        <v>0</v>
      </c>
      <c r="AD33" s="236">
        <v>1.9096700000000001E-2</v>
      </c>
      <c r="AE33" s="236">
        <v>0</v>
      </c>
      <c r="AF33" s="236">
        <v>4.0351740000000004E-2</v>
      </c>
      <c r="AG33" s="236">
        <v>0</v>
      </c>
      <c r="AH33" s="236">
        <v>0</v>
      </c>
      <c r="AI33" s="236">
        <v>0</v>
      </c>
      <c r="AJ33" s="236">
        <v>0</v>
      </c>
      <c r="AK33" s="236">
        <v>0</v>
      </c>
      <c r="AL33" s="236">
        <v>0</v>
      </c>
      <c r="AM33" s="236">
        <v>0</v>
      </c>
      <c r="AN33" s="237">
        <f t="shared" si="62"/>
        <v>81.752918440000016</v>
      </c>
      <c r="AO33" s="148"/>
      <c r="AP33" s="157">
        <f t="shared" si="38"/>
        <v>59.677427008547923</v>
      </c>
      <c r="AQ33" s="157" t="str">
        <f t="shared" si="39"/>
        <v>-</v>
      </c>
      <c r="AR33" s="157" t="str">
        <f t="shared" si="40"/>
        <v>-</v>
      </c>
      <c r="AS33" s="157" t="str">
        <f t="shared" si="41"/>
        <v>-</v>
      </c>
      <c r="AT33" s="157" t="str">
        <f t="shared" si="42"/>
        <v>-</v>
      </c>
      <c r="AU33" s="157" t="str">
        <f t="shared" si="43"/>
        <v>-</v>
      </c>
      <c r="AV33" s="157" t="str">
        <f t="shared" si="44"/>
        <v>-</v>
      </c>
      <c r="AW33" s="157">
        <f t="shared" si="45"/>
        <v>-100</v>
      </c>
      <c r="AX33" s="157" t="str">
        <f t="shared" si="46"/>
        <v>-</v>
      </c>
      <c r="AY33" s="157" t="str">
        <f t="shared" si="47"/>
        <v>-</v>
      </c>
      <c r="AZ33" s="157" t="str">
        <f t="shared" si="48"/>
        <v>-</v>
      </c>
      <c r="BA33" s="157" t="str">
        <f t="shared" si="49"/>
        <v>-</v>
      </c>
      <c r="BB33" s="157" t="str">
        <f t="shared" si="50"/>
        <v>-</v>
      </c>
      <c r="BC33" s="157" t="str">
        <f t="shared" si="51"/>
        <v>-</v>
      </c>
      <c r="BD33" s="157" t="str">
        <f t="shared" si="52"/>
        <v>-</v>
      </c>
      <c r="BE33" s="157" t="str">
        <f t="shared" si="53"/>
        <v>-</v>
      </c>
      <c r="BF33" s="157" t="str">
        <f t="shared" si="54"/>
        <v>-</v>
      </c>
      <c r="BG33" s="158">
        <f t="shared" si="55"/>
        <v>60.287279268412099</v>
      </c>
      <c r="BH33" s="169"/>
      <c r="BI33" s="150"/>
      <c r="BJ33" s="150"/>
      <c r="BK33" s="151"/>
      <c r="BL33" s="151"/>
      <c r="BM33" s="151"/>
      <c r="BN33" s="151"/>
    </row>
    <row r="34" spans="3:199" ht="12.75">
      <c r="C34" s="163" t="str">
        <f>IF(Indice_index!$Z$1=1,"Segurança Social","Social Security")</f>
        <v>Social Security</v>
      </c>
      <c r="D34" s="236">
        <v>0</v>
      </c>
      <c r="E34" s="236">
        <v>0</v>
      </c>
      <c r="F34" s="236">
        <v>0</v>
      </c>
      <c r="G34" s="236">
        <v>0</v>
      </c>
      <c r="H34" s="236">
        <v>0</v>
      </c>
      <c r="I34" s="236">
        <v>0</v>
      </c>
      <c r="J34" s="236">
        <v>0</v>
      </c>
      <c r="K34" s="236">
        <v>0</v>
      </c>
      <c r="L34" s="236">
        <v>0</v>
      </c>
      <c r="M34" s="236">
        <v>0</v>
      </c>
      <c r="N34" s="236">
        <v>0</v>
      </c>
      <c r="O34" s="236">
        <v>0</v>
      </c>
      <c r="P34" s="236">
        <v>0</v>
      </c>
      <c r="Q34" s="236">
        <v>0</v>
      </c>
      <c r="R34" s="236">
        <v>0</v>
      </c>
      <c r="S34" s="236">
        <v>0</v>
      </c>
      <c r="T34" s="236">
        <v>0</v>
      </c>
      <c r="U34" s="237">
        <f t="shared" si="24"/>
        <v>0</v>
      </c>
      <c r="V34" s="148"/>
      <c r="W34" s="236">
        <v>0</v>
      </c>
      <c r="X34" s="236">
        <v>0</v>
      </c>
      <c r="Y34" s="236">
        <v>0</v>
      </c>
      <c r="Z34" s="236">
        <v>0</v>
      </c>
      <c r="AA34" s="236">
        <v>0</v>
      </c>
      <c r="AB34" s="236">
        <v>0</v>
      </c>
      <c r="AC34" s="236">
        <v>0</v>
      </c>
      <c r="AD34" s="236">
        <v>0</v>
      </c>
      <c r="AE34" s="236">
        <v>0</v>
      </c>
      <c r="AF34" s="236">
        <v>0</v>
      </c>
      <c r="AG34" s="236">
        <v>0.24456039000000002</v>
      </c>
      <c r="AH34" s="236">
        <v>0</v>
      </c>
      <c r="AI34" s="236">
        <v>0</v>
      </c>
      <c r="AJ34" s="236">
        <v>0</v>
      </c>
      <c r="AK34" s="236">
        <v>0</v>
      </c>
      <c r="AL34" s="236">
        <v>0</v>
      </c>
      <c r="AM34" s="236">
        <v>0</v>
      </c>
      <c r="AN34" s="237">
        <f t="shared" si="62"/>
        <v>0.24456039000000002</v>
      </c>
      <c r="AO34" s="148"/>
      <c r="AP34" s="157" t="str">
        <f t="shared" si="38"/>
        <v>-</v>
      </c>
      <c r="AQ34" s="157" t="str">
        <f t="shared" si="39"/>
        <v>-</v>
      </c>
      <c r="AR34" s="157" t="str">
        <f t="shared" si="40"/>
        <v>-</v>
      </c>
      <c r="AS34" s="157" t="str">
        <f t="shared" si="41"/>
        <v>-</v>
      </c>
      <c r="AT34" s="157" t="str">
        <f t="shared" si="42"/>
        <v>-</v>
      </c>
      <c r="AU34" s="157" t="str">
        <f t="shared" si="43"/>
        <v>-</v>
      </c>
      <c r="AV34" s="157" t="str">
        <f t="shared" si="44"/>
        <v>-</v>
      </c>
      <c r="AW34" s="157" t="str">
        <f t="shared" si="45"/>
        <v>-</v>
      </c>
      <c r="AX34" s="157" t="str">
        <f t="shared" si="46"/>
        <v>-</v>
      </c>
      <c r="AY34" s="157" t="str">
        <f t="shared" si="47"/>
        <v>-</v>
      </c>
      <c r="AZ34" s="157">
        <f t="shared" si="48"/>
        <v>-100</v>
      </c>
      <c r="BA34" s="157" t="str">
        <f t="shared" si="49"/>
        <v>-</v>
      </c>
      <c r="BB34" s="157" t="str">
        <f t="shared" si="50"/>
        <v>-</v>
      </c>
      <c r="BC34" s="157" t="str">
        <f t="shared" si="51"/>
        <v>-</v>
      </c>
      <c r="BD34" s="157" t="str">
        <f t="shared" si="52"/>
        <v>-</v>
      </c>
      <c r="BE34" s="157" t="str">
        <f t="shared" si="53"/>
        <v>-</v>
      </c>
      <c r="BF34" s="157" t="str">
        <f t="shared" si="54"/>
        <v>-</v>
      </c>
      <c r="BG34" s="158">
        <f t="shared" si="55"/>
        <v>-100</v>
      </c>
      <c r="BH34" s="169"/>
      <c r="BI34" s="150"/>
      <c r="BJ34" s="150"/>
      <c r="BK34" s="151"/>
      <c r="BL34" s="151"/>
      <c r="BM34" s="151"/>
      <c r="BN34" s="151"/>
    </row>
    <row r="35" spans="3:199" ht="12.75">
      <c r="C35" s="170" t="str">
        <f>IF(Indice_index!$Z$1=1,"Outras transferências de capital","Other capital transfers")</f>
        <v>Other capital transfers</v>
      </c>
      <c r="D35" s="236">
        <v>0</v>
      </c>
      <c r="E35" s="236">
        <v>0</v>
      </c>
      <c r="F35" s="236">
        <v>0</v>
      </c>
      <c r="G35" s="236">
        <v>34.322603139999998</v>
      </c>
      <c r="H35" s="236">
        <v>0</v>
      </c>
      <c r="I35" s="236">
        <v>8.7485619999999931E-2</v>
      </c>
      <c r="J35" s="236">
        <v>0</v>
      </c>
      <c r="K35" s="236">
        <v>0</v>
      </c>
      <c r="L35" s="236">
        <v>0</v>
      </c>
      <c r="M35" s="236">
        <v>1.0455399999999671E-2</v>
      </c>
      <c r="N35" s="236">
        <v>0</v>
      </c>
      <c r="O35" s="236">
        <v>0</v>
      </c>
      <c r="P35" s="236">
        <v>0</v>
      </c>
      <c r="Q35" s="236">
        <v>0</v>
      </c>
      <c r="R35" s="236">
        <v>0</v>
      </c>
      <c r="S35" s="236">
        <v>0.4375</v>
      </c>
      <c r="T35" s="236">
        <v>0</v>
      </c>
      <c r="U35" s="237">
        <f t="shared" si="24"/>
        <v>34.858044159999999</v>
      </c>
      <c r="V35" s="148"/>
      <c r="W35" s="323">
        <v>0</v>
      </c>
      <c r="X35" s="323">
        <v>0</v>
      </c>
      <c r="Y35" s="323">
        <v>0</v>
      </c>
      <c r="Z35" s="323">
        <v>34.57733846</v>
      </c>
      <c r="AA35" s="323">
        <v>0</v>
      </c>
      <c r="AB35" s="323">
        <v>0.10448250000000003</v>
      </c>
      <c r="AC35" s="323">
        <v>0</v>
      </c>
      <c r="AD35" s="323">
        <v>0</v>
      </c>
      <c r="AE35" s="323">
        <v>0</v>
      </c>
      <c r="AF35" s="323">
        <v>1.0709700000000003E-2</v>
      </c>
      <c r="AG35" s="323">
        <v>0</v>
      </c>
      <c r="AH35" s="323">
        <v>0</v>
      </c>
      <c r="AI35" s="323">
        <v>0</v>
      </c>
      <c r="AJ35" s="323">
        <v>0.15040000000000001</v>
      </c>
      <c r="AK35" s="323">
        <v>0</v>
      </c>
      <c r="AL35" s="323">
        <v>0</v>
      </c>
      <c r="AM35" s="323">
        <v>0</v>
      </c>
      <c r="AN35" s="237">
        <f t="shared" si="62"/>
        <v>34.84293066</v>
      </c>
      <c r="AO35" s="148"/>
      <c r="AP35" s="157" t="str">
        <f t="shared" si="38"/>
        <v>-</v>
      </c>
      <c r="AQ35" s="157" t="str">
        <f t="shared" si="39"/>
        <v>-</v>
      </c>
      <c r="AR35" s="157" t="str">
        <f t="shared" si="40"/>
        <v>-</v>
      </c>
      <c r="AS35" s="157">
        <f t="shared" si="41"/>
        <v>-0.73671176367344315</v>
      </c>
      <c r="AT35" s="157" t="str">
        <f t="shared" si="42"/>
        <v>-</v>
      </c>
      <c r="AU35" s="157">
        <f t="shared" si="43"/>
        <v>-16.267681190630103</v>
      </c>
      <c r="AV35" s="157" t="str">
        <f t="shared" si="44"/>
        <v>-</v>
      </c>
      <c r="AW35" s="157" t="str">
        <f t="shared" si="45"/>
        <v>-</v>
      </c>
      <c r="AX35" s="157" t="str">
        <f t="shared" si="46"/>
        <v>-</v>
      </c>
      <c r="AY35" s="157">
        <f t="shared" si="47"/>
        <v>-2.3744829453703837</v>
      </c>
      <c r="AZ35" s="157" t="str">
        <f t="shared" si="48"/>
        <v>-</v>
      </c>
      <c r="BA35" s="157" t="str">
        <f t="shared" si="49"/>
        <v>-</v>
      </c>
      <c r="BB35" s="157" t="str">
        <f t="shared" si="50"/>
        <v>-</v>
      </c>
      <c r="BC35" s="157">
        <f t="shared" si="51"/>
        <v>-100</v>
      </c>
      <c r="BD35" s="157" t="str">
        <f t="shared" si="52"/>
        <v>-</v>
      </c>
      <c r="BE35" s="157" t="str">
        <f t="shared" si="53"/>
        <v>-</v>
      </c>
      <c r="BF35" s="157" t="str">
        <f t="shared" si="54"/>
        <v>-</v>
      </c>
      <c r="BG35" s="158">
        <f t="shared" si="55"/>
        <v>4.3376087239839045E-2</v>
      </c>
      <c r="BH35" s="169"/>
      <c r="BI35" s="150"/>
      <c r="BJ35" s="150"/>
      <c r="BK35" s="151"/>
      <c r="BL35" s="151"/>
      <c r="BM35" s="151"/>
      <c r="BN35" s="151"/>
    </row>
    <row r="36" spans="3:199" ht="12.75">
      <c r="C36" s="171" t="str">
        <f>IF(Indice_index!$Z$1=1,"Outras despesas de capital","Other capital expenditure")</f>
        <v>Other capital expenditure</v>
      </c>
      <c r="D36" s="236">
        <v>0</v>
      </c>
      <c r="E36" s="236">
        <v>0</v>
      </c>
      <c r="F36" s="236">
        <v>0.56675785999999995</v>
      </c>
      <c r="G36" s="236">
        <v>0</v>
      </c>
      <c r="H36" s="236">
        <v>0</v>
      </c>
      <c r="I36" s="236">
        <v>0</v>
      </c>
      <c r="J36" s="236">
        <v>0</v>
      </c>
      <c r="K36" s="236">
        <v>0</v>
      </c>
      <c r="L36" s="236">
        <v>0</v>
      </c>
      <c r="M36" s="236">
        <v>2.0662393900000002</v>
      </c>
      <c r="N36" s="236">
        <v>0</v>
      </c>
      <c r="O36" s="236">
        <v>0</v>
      </c>
      <c r="P36" s="236">
        <v>0</v>
      </c>
      <c r="Q36" s="236">
        <v>0</v>
      </c>
      <c r="R36" s="236">
        <v>0</v>
      </c>
      <c r="S36" s="236">
        <v>0</v>
      </c>
      <c r="T36" s="236">
        <v>0</v>
      </c>
      <c r="U36" s="237">
        <f t="shared" si="24"/>
        <v>2.6329972500000003</v>
      </c>
      <c r="V36" s="148"/>
      <c r="W36" s="236">
        <v>0</v>
      </c>
      <c r="X36" s="236">
        <v>0</v>
      </c>
      <c r="Y36" s="236">
        <v>0</v>
      </c>
      <c r="Z36" s="236">
        <v>0</v>
      </c>
      <c r="AA36" s="236">
        <v>0</v>
      </c>
      <c r="AB36" s="236">
        <v>0</v>
      </c>
      <c r="AC36" s="236">
        <v>0</v>
      </c>
      <c r="AD36" s="236">
        <v>0</v>
      </c>
      <c r="AE36" s="236">
        <v>0</v>
      </c>
      <c r="AF36" s="236">
        <v>1.9730691800000002</v>
      </c>
      <c r="AG36" s="236">
        <v>0</v>
      </c>
      <c r="AH36" s="236">
        <v>0</v>
      </c>
      <c r="AI36" s="236">
        <v>0</v>
      </c>
      <c r="AJ36" s="236">
        <v>0</v>
      </c>
      <c r="AK36" s="236">
        <v>0</v>
      </c>
      <c r="AL36" s="236">
        <v>0</v>
      </c>
      <c r="AM36" s="236">
        <v>0</v>
      </c>
      <c r="AN36" s="237">
        <f t="shared" si="62"/>
        <v>1.9730691800000002</v>
      </c>
      <c r="AO36" s="148"/>
      <c r="AP36" s="157" t="str">
        <f t="shared" si="38"/>
        <v>-</v>
      </c>
      <c r="AQ36" s="157" t="str">
        <f t="shared" si="39"/>
        <v>-</v>
      </c>
      <c r="AR36" s="157" t="str">
        <f t="shared" si="40"/>
        <v>-</v>
      </c>
      <c r="AS36" s="157" t="str">
        <f t="shared" si="41"/>
        <v>-</v>
      </c>
      <c r="AT36" s="157" t="str">
        <f t="shared" si="42"/>
        <v>-</v>
      </c>
      <c r="AU36" s="157" t="str">
        <f t="shared" si="43"/>
        <v>-</v>
      </c>
      <c r="AV36" s="157" t="str">
        <f t="shared" si="44"/>
        <v>-</v>
      </c>
      <c r="AW36" s="157" t="str">
        <f t="shared" si="45"/>
        <v>-</v>
      </c>
      <c r="AX36" s="157" t="str">
        <f t="shared" si="46"/>
        <v>-</v>
      </c>
      <c r="AY36" s="157">
        <f t="shared" si="47"/>
        <v>4.7220954513110387</v>
      </c>
      <c r="AZ36" s="157" t="str">
        <f t="shared" si="48"/>
        <v>-</v>
      </c>
      <c r="BA36" s="157" t="str">
        <f t="shared" si="49"/>
        <v>-</v>
      </c>
      <c r="BB36" s="157" t="str">
        <f t="shared" si="50"/>
        <v>-</v>
      </c>
      <c r="BC36" s="157" t="str">
        <f t="shared" si="51"/>
        <v>-</v>
      </c>
      <c r="BD36" s="157" t="str">
        <f t="shared" si="52"/>
        <v>-</v>
      </c>
      <c r="BE36" s="157" t="str">
        <f t="shared" si="53"/>
        <v>-</v>
      </c>
      <c r="BF36" s="157" t="str">
        <f t="shared" si="54"/>
        <v>-</v>
      </c>
      <c r="BG36" s="158">
        <f t="shared" si="55"/>
        <v>33.446778080026576</v>
      </c>
      <c r="BH36" s="169"/>
      <c r="BI36" s="150"/>
      <c r="BJ36" s="150"/>
      <c r="BK36" s="151"/>
      <c r="BL36" s="151"/>
      <c r="BM36" s="151"/>
      <c r="BN36" s="151"/>
    </row>
    <row r="37" spans="3:199" ht="12.75">
      <c r="C37" s="171"/>
      <c r="D37" s="237"/>
      <c r="E37" s="237"/>
      <c r="F37" s="237"/>
      <c r="G37" s="237"/>
      <c r="H37" s="237"/>
      <c r="I37" s="237"/>
      <c r="J37" s="237"/>
      <c r="K37" s="237"/>
      <c r="L37" s="237"/>
      <c r="M37" s="237"/>
      <c r="N37" s="237"/>
      <c r="O37" s="237"/>
      <c r="P37" s="237"/>
      <c r="Q37" s="237"/>
      <c r="R37" s="237"/>
      <c r="S37" s="237"/>
      <c r="T37" s="237"/>
      <c r="U37" s="237"/>
      <c r="V37" s="148"/>
      <c r="W37" s="237"/>
      <c r="X37" s="237"/>
      <c r="Y37" s="237"/>
      <c r="Z37" s="237"/>
      <c r="AA37" s="237"/>
      <c r="AB37" s="237"/>
      <c r="AC37" s="237"/>
      <c r="AD37" s="237"/>
      <c r="AE37" s="237"/>
      <c r="AF37" s="237"/>
      <c r="AG37" s="237"/>
      <c r="AH37" s="237"/>
      <c r="AI37" s="237"/>
      <c r="AJ37" s="237"/>
      <c r="AK37" s="237"/>
      <c r="AL37" s="237"/>
      <c r="AM37" s="237"/>
      <c r="AN37" s="237"/>
      <c r="AO37" s="148"/>
      <c r="AP37" s="157"/>
      <c r="AQ37" s="157"/>
      <c r="AR37" s="157"/>
      <c r="AS37" s="157"/>
      <c r="AT37" s="157"/>
      <c r="AU37" s="157"/>
      <c r="AV37" s="157"/>
      <c r="AW37" s="157"/>
      <c r="AX37" s="157"/>
      <c r="AY37" s="157"/>
      <c r="AZ37" s="157"/>
      <c r="BA37" s="157"/>
      <c r="BB37" s="157"/>
      <c r="BC37" s="157"/>
      <c r="BD37" s="157"/>
      <c r="BE37" s="157"/>
      <c r="BF37" s="157"/>
      <c r="BG37" s="158"/>
      <c r="BH37" s="169"/>
      <c r="BI37" s="150"/>
      <c r="BJ37" s="150"/>
      <c r="BK37" s="151"/>
      <c r="BL37" s="151"/>
      <c r="BM37" s="151"/>
      <c r="BN37" s="151"/>
    </row>
    <row r="38" spans="3:199" s="125" customFormat="1" ht="17.25" customHeight="1">
      <c r="C38" s="172" t="str">
        <f>IF(Indice_index!$Z$1=1,"Despesa efetiva","Effective Expenditure")</f>
        <v>Effective Expenditure</v>
      </c>
      <c r="D38" s="239">
        <f>+D27+D8</f>
        <v>1581.1505319999999</v>
      </c>
      <c r="E38" s="239">
        <f>+E27+E8</f>
        <v>40.859487229999999</v>
      </c>
      <c r="F38" s="239">
        <f t="shared" ref="F38:T38" si="63">+F8+F27</f>
        <v>108.55898108000001</v>
      </c>
      <c r="G38" s="239">
        <f t="shared" si="63"/>
        <v>4763.6654870599996</v>
      </c>
      <c r="H38" s="239">
        <f t="shared" si="63"/>
        <v>565.75080756999989</v>
      </c>
      <c r="I38" s="239">
        <f t="shared" si="63"/>
        <v>680.30614628000001</v>
      </c>
      <c r="J38" s="239">
        <f t="shared" si="63"/>
        <v>422.49031361999994</v>
      </c>
      <c r="K38" s="239">
        <f t="shared" ref="K38:N38" si="64">+K8+K27</f>
        <v>116.8979468</v>
      </c>
      <c r="L38" s="239">
        <f t="shared" si="64"/>
        <v>655.71494537000012</v>
      </c>
      <c r="M38" s="239">
        <f t="shared" si="64"/>
        <v>2298.6254210999996</v>
      </c>
      <c r="N38" s="239">
        <f t="shared" si="64"/>
        <v>5554.7890443600008</v>
      </c>
      <c r="O38" s="239">
        <f t="shared" si="63"/>
        <v>3723.4494867900007</v>
      </c>
      <c r="P38" s="239">
        <f t="shared" si="63"/>
        <v>286.62188180999999</v>
      </c>
      <c r="Q38" s="239">
        <f t="shared" si="63"/>
        <v>24.299739559999999</v>
      </c>
      <c r="R38" s="239">
        <f t="shared" si="63"/>
        <v>50.085549880000009</v>
      </c>
      <c r="S38" s="239">
        <f t="shared" si="63"/>
        <v>117.11605434999998</v>
      </c>
      <c r="T38" s="239">
        <f t="shared" si="63"/>
        <v>16.141780929999999</v>
      </c>
      <c r="U38" s="239">
        <f>+U8+U27</f>
        <v>21006.523605790004</v>
      </c>
      <c r="V38" s="173"/>
      <c r="W38" s="239">
        <f>+W27+W8</f>
        <v>1497.5667520099998</v>
      </c>
      <c r="X38" s="239">
        <f>+X27+X8</f>
        <v>40.416507979999999</v>
      </c>
      <c r="Y38" s="239">
        <f t="shared" ref="Y38:AM38" si="65">+Y8+Y27</f>
        <v>104.53222617</v>
      </c>
      <c r="Z38" s="239">
        <f t="shared" si="65"/>
        <v>4426.5400012800001</v>
      </c>
      <c r="AA38" s="239">
        <f t="shared" si="65"/>
        <v>577.57861750000006</v>
      </c>
      <c r="AB38" s="239">
        <f t="shared" si="65"/>
        <v>677.83399498999995</v>
      </c>
      <c r="AC38" s="239">
        <f t="shared" si="65"/>
        <v>401.83673198000008</v>
      </c>
      <c r="AD38" s="239">
        <f t="shared" si="65"/>
        <v>103.22953890999999</v>
      </c>
      <c r="AE38" s="239">
        <f t="shared" si="65"/>
        <v>628.40879296999992</v>
      </c>
      <c r="AF38" s="239">
        <f t="shared" si="65"/>
        <v>2261.8229911200006</v>
      </c>
      <c r="AG38" s="239">
        <f t="shared" si="65"/>
        <v>5267.3819117699986</v>
      </c>
      <c r="AH38" s="239">
        <f t="shared" si="65"/>
        <v>3603.3366139400005</v>
      </c>
      <c r="AI38" s="239">
        <f t="shared" si="65"/>
        <v>230.80080036000001</v>
      </c>
      <c r="AJ38" s="239">
        <f t="shared" si="65"/>
        <v>22.547747559999998</v>
      </c>
      <c r="AK38" s="239">
        <f t="shared" si="65"/>
        <v>30.832157559999999</v>
      </c>
      <c r="AL38" s="239">
        <f t="shared" si="65"/>
        <v>127.72808454999998</v>
      </c>
      <c r="AM38" s="239">
        <f t="shared" si="65"/>
        <v>15.96199565</v>
      </c>
      <c r="AN38" s="239">
        <f>+AN8+AN27</f>
        <v>20018.3554663</v>
      </c>
      <c r="AO38" s="173"/>
      <c r="AP38" s="174">
        <f t="shared" ref="AP38:BG38" si="66">IF(W38=0,"-",IF((D38/W38)&gt;3,"-",((D38-W38)/W38)*100))</f>
        <v>5.5813058000797495</v>
      </c>
      <c r="AQ38" s="174">
        <f t="shared" si="66"/>
        <v>1.0960354373495296</v>
      </c>
      <c r="AR38" s="174">
        <f t="shared" si="66"/>
        <v>3.85216603294311</v>
      </c>
      <c r="AS38" s="174">
        <f t="shared" si="66"/>
        <v>7.6160045019928582</v>
      </c>
      <c r="AT38" s="174">
        <f t="shared" si="66"/>
        <v>-2.0478268363181176</v>
      </c>
      <c r="AU38" s="174">
        <f t="shared" si="66"/>
        <v>0.36471338237270434</v>
      </c>
      <c r="AV38" s="174">
        <f t="shared" si="66"/>
        <v>5.1397943483742576</v>
      </c>
      <c r="AW38" s="174">
        <f t="shared" si="66"/>
        <v>13.240791380378756</v>
      </c>
      <c r="AX38" s="174">
        <f t="shared" si="66"/>
        <v>4.3452849014007651</v>
      </c>
      <c r="AY38" s="174">
        <f t="shared" si="66"/>
        <v>1.6271136213791579</v>
      </c>
      <c r="AZ38" s="174">
        <f t="shared" si="66"/>
        <v>5.4563564481206335</v>
      </c>
      <c r="BA38" s="174">
        <f t="shared" si="66"/>
        <v>3.3333791904238748</v>
      </c>
      <c r="BB38" s="174">
        <f t="shared" si="66"/>
        <v>24.18582663618627</v>
      </c>
      <c r="BC38" s="174">
        <f t="shared" si="66"/>
        <v>7.7701419857478724</v>
      </c>
      <c r="BD38" s="174">
        <f t="shared" si="66"/>
        <v>62.445815809459724</v>
      </c>
      <c r="BE38" s="174">
        <f t="shared" si="66"/>
        <v>-8.3082982394884688</v>
      </c>
      <c r="BF38" s="174">
        <f t="shared" si="66"/>
        <v>1.1263333479231907</v>
      </c>
      <c r="BG38" s="175">
        <f t="shared" si="66"/>
        <v>4.9363102835971757</v>
      </c>
      <c r="BH38" s="169"/>
      <c r="BI38" s="150"/>
      <c r="BJ38" s="150"/>
      <c r="BK38" s="151"/>
      <c r="BL38" s="151"/>
      <c r="BM38" s="151"/>
      <c r="BN38" s="151"/>
      <c r="BO38" s="138"/>
      <c r="BP38" s="138"/>
      <c r="BQ38" s="138"/>
      <c r="BR38" s="137"/>
      <c r="BS38" s="137"/>
      <c r="BT38" s="137"/>
      <c r="BU38" s="137"/>
      <c r="BV38" s="137"/>
      <c r="BW38" s="137"/>
      <c r="BX38" s="123"/>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c r="CU38" s="123"/>
      <c r="CV38" s="123"/>
      <c r="CW38" s="123"/>
      <c r="CX38" s="123"/>
      <c r="CY38" s="123"/>
      <c r="CZ38" s="123"/>
      <c r="DA38" s="123"/>
      <c r="DB38" s="123"/>
      <c r="DC38" s="123"/>
      <c r="DD38" s="123"/>
      <c r="DE38" s="123"/>
      <c r="DF38" s="123"/>
      <c r="DG38" s="123"/>
      <c r="DH38" s="123"/>
      <c r="DI38" s="123"/>
      <c r="DJ38" s="123"/>
      <c r="DK38" s="123"/>
      <c r="DL38" s="123"/>
      <c r="DM38" s="123"/>
      <c r="DN38" s="123"/>
      <c r="DO38" s="123"/>
      <c r="DP38" s="123"/>
      <c r="DQ38" s="123"/>
      <c r="DR38" s="123"/>
      <c r="DS38" s="123"/>
      <c r="DT38" s="123"/>
      <c r="DU38" s="123"/>
      <c r="DV38" s="123"/>
      <c r="DW38" s="123"/>
      <c r="DX38" s="123"/>
      <c r="DY38" s="123"/>
      <c r="DZ38" s="123"/>
      <c r="EA38" s="123"/>
      <c r="EB38" s="123"/>
      <c r="EC38" s="123"/>
      <c r="ED38" s="123"/>
      <c r="EE38" s="123"/>
      <c r="EF38" s="123"/>
      <c r="EG38" s="123"/>
      <c r="EH38" s="123"/>
      <c r="EI38" s="123"/>
      <c r="EJ38" s="123"/>
      <c r="EK38" s="123"/>
      <c r="EL38" s="123"/>
      <c r="EM38" s="123"/>
      <c r="EN38" s="123"/>
      <c r="EO38" s="123"/>
      <c r="EP38" s="123"/>
      <c r="EQ38" s="123"/>
      <c r="ER38" s="123"/>
      <c r="ES38" s="123"/>
      <c r="ET38" s="123"/>
      <c r="EU38" s="123"/>
      <c r="EV38" s="123"/>
      <c r="EW38" s="123"/>
      <c r="EX38" s="123"/>
      <c r="EY38" s="123"/>
      <c r="EZ38" s="123"/>
      <c r="FA38" s="123"/>
      <c r="FB38" s="123"/>
      <c r="FC38" s="123"/>
      <c r="FD38" s="123"/>
      <c r="FE38" s="123"/>
      <c r="FF38" s="123"/>
      <c r="FG38" s="123"/>
      <c r="FH38" s="123"/>
      <c r="FI38" s="123"/>
      <c r="FJ38" s="123"/>
      <c r="FK38" s="123"/>
      <c r="FL38" s="123"/>
      <c r="FM38" s="123"/>
      <c r="FN38" s="123"/>
      <c r="FO38" s="123"/>
      <c r="FP38" s="123"/>
      <c r="FQ38" s="123"/>
      <c r="FR38" s="123"/>
      <c r="FS38" s="123"/>
      <c r="FT38" s="123"/>
      <c r="FU38" s="123"/>
      <c r="FV38" s="123"/>
      <c r="FW38" s="123"/>
      <c r="FX38" s="123"/>
      <c r="FY38" s="123"/>
      <c r="FZ38" s="123"/>
      <c r="GA38" s="123"/>
      <c r="GB38" s="123"/>
      <c r="GC38" s="123"/>
      <c r="GD38" s="123"/>
      <c r="GE38" s="123"/>
      <c r="GF38" s="123"/>
      <c r="GG38" s="123"/>
      <c r="GH38" s="123"/>
      <c r="GI38" s="123"/>
      <c r="GJ38" s="123"/>
      <c r="GK38" s="123"/>
      <c r="GL38" s="123"/>
      <c r="GM38" s="123"/>
      <c r="GN38" s="123"/>
      <c r="GO38" s="123"/>
      <c r="GP38" s="123"/>
      <c r="GQ38" s="123"/>
    </row>
    <row r="39" spans="3:199" ht="12.75">
      <c r="C39" s="176" t="str">
        <f>IF(Indice_index!$Z$1=1,"   Por memória:","   Memo item:")</f>
        <v xml:space="preserve">   Memo item:</v>
      </c>
      <c r="D39" s="237"/>
      <c r="E39" s="237"/>
      <c r="F39" s="237"/>
      <c r="G39" s="237"/>
      <c r="H39" s="237"/>
      <c r="I39" s="237"/>
      <c r="J39" s="237"/>
      <c r="K39" s="237"/>
      <c r="L39" s="237"/>
      <c r="M39" s="237"/>
      <c r="N39" s="237"/>
      <c r="O39" s="237"/>
      <c r="P39" s="237"/>
      <c r="Q39" s="237"/>
      <c r="R39" s="237"/>
      <c r="S39" s="237"/>
      <c r="T39" s="237"/>
      <c r="U39" s="237"/>
      <c r="V39" s="148"/>
      <c r="W39" s="237"/>
      <c r="X39" s="237"/>
      <c r="Y39" s="237"/>
      <c r="Z39" s="237"/>
      <c r="AA39" s="237"/>
      <c r="AB39" s="237"/>
      <c r="AC39" s="237"/>
      <c r="AD39" s="237"/>
      <c r="AE39" s="237"/>
      <c r="AF39" s="237"/>
      <c r="AG39" s="237"/>
      <c r="AH39" s="237"/>
      <c r="AI39" s="237"/>
      <c r="AJ39" s="237"/>
      <c r="AK39" s="237"/>
      <c r="AL39" s="237"/>
      <c r="AM39" s="237"/>
      <c r="AN39" s="237"/>
      <c r="AO39" s="148"/>
      <c r="AP39" s="157"/>
      <c r="AQ39" s="157"/>
      <c r="AR39" s="157"/>
      <c r="AS39" s="157"/>
      <c r="AT39" s="157"/>
      <c r="AU39" s="157"/>
      <c r="AV39" s="157"/>
      <c r="AW39" s="157"/>
      <c r="AX39" s="157"/>
      <c r="AY39" s="157"/>
      <c r="AZ39" s="157"/>
      <c r="BA39" s="157"/>
      <c r="BB39" s="157"/>
      <c r="BC39" s="157"/>
      <c r="BD39" s="157"/>
      <c r="BE39" s="157"/>
      <c r="BF39" s="157"/>
      <c r="BG39" s="177"/>
      <c r="BH39" s="169"/>
      <c r="BI39" s="150"/>
      <c r="BJ39" s="150"/>
      <c r="BK39" s="151"/>
      <c r="BL39" s="151"/>
      <c r="BM39" s="151"/>
      <c r="BN39" s="151"/>
    </row>
    <row r="40" spans="3:199" ht="12.75">
      <c r="C40" s="178" t="str">
        <f>IF(Indice_index!$Z$1=1,"Ativos financeiros","Financial assets")</f>
        <v>Financial assets</v>
      </c>
      <c r="D40" s="236">
        <v>0</v>
      </c>
      <c r="E40" s="236">
        <v>0</v>
      </c>
      <c r="F40" s="236">
        <v>0</v>
      </c>
      <c r="G40" s="236">
        <v>2743.2242153000002</v>
      </c>
      <c r="H40" s="236">
        <v>0</v>
      </c>
      <c r="I40" s="236">
        <v>0</v>
      </c>
      <c r="J40" s="236">
        <v>0</v>
      </c>
      <c r="K40" s="236">
        <v>0</v>
      </c>
      <c r="L40" s="236">
        <v>0</v>
      </c>
      <c r="M40" s="236">
        <v>0</v>
      </c>
      <c r="N40" s="236">
        <v>0</v>
      </c>
      <c r="O40" s="236">
        <v>0</v>
      </c>
      <c r="P40" s="236">
        <v>0</v>
      </c>
      <c r="Q40" s="236">
        <v>0</v>
      </c>
      <c r="R40" s="236">
        <v>0</v>
      </c>
      <c r="S40" s="236">
        <v>0</v>
      </c>
      <c r="T40" s="236">
        <v>0</v>
      </c>
      <c r="U40" s="237">
        <f>SUM(D40:T40)</f>
        <v>2743.2242153000002</v>
      </c>
      <c r="V40" s="179"/>
      <c r="W40" s="236">
        <v>0</v>
      </c>
      <c r="X40" s="236">
        <v>0</v>
      </c>
      <c r="Y40" s="236">
        <v>0</v>
      </c>
      <c r="Z40" s="236">
        <v>1493.67008033</v>
      </c>
      <c r="AA40" s="236">
        <v>0</v>
      </c>
      <c r="AB40" s="236">
        <v>0</v>
      </c>
      <c r="AC40" s="236">
        <v>0</v>
      </c>
      <c r="AD40" s="236">
        <v>0</v>
      </c>
      <c r="AE40" s="236">
        <v>0</v>
      </c>
      <c r="AF40" s="236">
        <v>0</v>
      </c>
      <c r="AG40" s="236">
        <v>0</v>
      </c>
      <c r="AH40" s="236">
        <v>0</v>
      </c>
      <c r="AI40" s="236">
        <v>0</v>
      </c>
      <c r="AJ40" s="236">
        <v>0</v>
      </c>
      <c r="AK40" s="236">
        <v>0</v>
      </c>
      <c r="AL40" s="236">
        <v>0</v>
      </c>
      <c r="AM40" s="236">
        <v>0</v>
      </c>
      <c r="AN40" s="237">
        <f>SUM(W40:AM40)</f>
        <v>1493.67008033</v>
      </c>
      <c r="AO40" s="179"/>
      <c r="AP40" s="157"/>
      <c r="AQ40" s="157"/>
      <c r="AR40" s="157"/>
      <c r="AS40" s="157"/>
      <c r="AT40" s="157"/>
      <c r="AU40" s="157"/>
      <c r="AV40" s="157"/>
      <c r="AW40" s="157"/>
      <c r="AX40" s="157"/>
      <c r="AY40" s="157"/>
      <c r="AZ40" s="157"/>
      <c r="BA40" s="157"/>
      <c r="BB40" s="157"/>
      <c r="BC40" s="157"/>
      <c r="BD40" s="157"/>
      <c r="BE40" s="157"/>
      <c r="BF40" s="157"/>
      <c r="BG40" s="177"/>
      <c r="BH40" s="169"/>
      <c r="BI40" s="150"/>
      <c r="BJ40" s="150"/>
      <c r="BK40" s="151"/>
      <c r="BL40" s="151"/>
      <c r="BM40" s="151"/>
      <c r="BN40" s="151"/>
    </row>
    <row r="41" spans="3:199" ht="12.75">
      <c r="C41" s="178" t="str">
        <f>IF(Indice_index!$Z$1=1,"Passivos financeiros","Financial liabilities")</f>
        <v>Financial liabilities</v>
      </c>
      <c r="D41" s="236">
        <v>0</v>
      </c>
      <c r="E41" s="236">
        <v>0</v>
      </c>
      <c r="F41" s="236">
        <v>0</v>
      </c>
      <c r="G41" s="236">
        <v>19854.4107</v>
      </c>
      <c r="H41" s="236">
        <v>0</v>
      </c>
      <c r="I41" s="236">
        <v>0</v>
      </c>
      <c r="J41" s="236">
        <v>0</v>
      </c>
      <c r="K41" s="236">
        <v>0</v>
      </c>
      <c r="L41" s="236">
        <v>0</v>
      </c>
      <c r="M41" s="236">
        <v>0</v>
      </c>
      <c r="N41" s="236">
        <v>0</v>
      </c>
      <c r="O41" s="236">
        <v>0</v>
      </c>
      <c r="P41" s="236">
        <v>0</v>
      </c>
      <c r="Q41" s="236">
        <v>0</v>
      </c>
      <c r="R41" s="236">
        <v>0</v>
      </c>
      <c r="S41" s="236">
        <v>0</v>
      </c>
      <c r="T41" s="236">
        <v>0</v>
      </c>
      <c r="U41" s="237">
        <f>SUM(D41:T41)</f>
        <v>19854.4107</v>
      </c>
      <c r="V41" s="179"/>
      <c r="W41" s="236">
        <v>0</v>
      </c>
      <c r="X41" s="236">
        <v>0</v>
      </c>
      <c r="Y41" s="236">
        <v>0</v>
      </c>
      <c r="Z41" s="236">
        <v>23833.988000000001</v>
      </c>
      <c r="AA41" s="236">
        <v>0</v>
      </c>
      <c r="AB41" s="236">
        <v>0</v>
      </c>
      <c r="AC41" s="236">
        <v>0</v>
      </c>
      <c r="AD41" s="236">
        <v>0</v>
      </c>
      <c r="AE41" s="236">
        <v>0</v>
      </c>
      <c r="AF41" s="236">
        <v>0</v>
      </c>
      <c r="AG41" s="236">
        <v>0</v>
      </c>
      <c r="AH41" s="236">
        <v>0</v>
      </c>
      <c r="AI41" s="236">
        <v>0</v>
      </c>
      <c r="AJ41" s="236">
        <v>0</v>
      </c>
      <c r="AK41" s="236">
        <v>0</v>
      </c>
      <c r="AL41" s="236">
        <v>0</v>
      </c>
      <c r="AM41" s="236">
        <v>0</v>
      </c>
      <c r="AN41" s="237">
        <f>SUM(W41:AM41)</f>
        <v>23833.988000000001</v>
      </c>
      <c r="AO41" s="179"/>
      <c r="AP41" s="157"/>
      <c r="AQ41" s="157"/>
      <c r="AR41" s="157"/>
      <c r="AS41" s="157"/>
      <c r="AT41" s="157"/>
      <c r="AU41" s="157"/>
      <c r="AV41" s="157"/>
      <c r="AW41" s="157"/>
      <c r="AX41" s="157"/>
      <c r="AY41" s="157"/>
      <c r="AZ41" s="157"/>
      <c r="BA41" s="157"/>
      <c r="BB41" s="157"/>
      <c r="BC41" s="157"/>
      <c r="BD41" s="157"/>
      <c r="BE41" s="157"/>
      <c r="BF41" s="157"/>
      <c r="BG41" s="177"/>
      <c r="BH41" s="169"/>
      <c r="BI41" s="150"/>
      <c r="BJ41" s="150"/>
      <c r="BK41" s="151"/>
      <c r="BL41" s="151"/>
      <c r="BM41" s="151"/>
      <c r="BN41" s="151"/>
    </row>
    <row r="42" spans="3:199" s="304" customFormat="1" ht="23.25" customHeight="1">
      <c r="C42" s="310" t="str">
        <f>IF(Indice_index!$Z$1=1,"Transf. para o Fundo de Regularização da Dívida Pública","Public Debt Settlement Fund transfers")</f>
        <v>Public Debt Settlement Fund transfers</v>
      </c>
      <c r="D42" s="305">
        <v>0</v>
      </c>
      <c r="E42" s="305">
        <v>0</v>
      </c>
      <c r="F42" s="305">
        <v>0</v>
      </c>
      <c r="G42" s="305">
        <v>0</v>
      </c>
      <c r="H42" s="305">
        <v>0</v>
      </c>
      <c r="I42" s="305">
        <v>0</v>
      </c>
      <c r="J42" s="305">
        <v>0</v>
      </c>
      <c r="K42" s="305"/>
      <c r="L42" s="305"/>
      <c r="M42" s="305"/>
      <c r="N42" s="305"/>
      <c r="O42" s="305">
        <v>0</v>
      </c>
      <c r="P42" s="305">
        <v>0</v>
      </c>
      <c r="Q42" s="305">
        <v>0</v>
      </c>
      <c r="R42" s="305">
        <v>0</v>
      </c>
      <c r="S42" s="305">
        <v>0</v>
      </c>
      <c r="T42" s="305">
        <v>0</v>
      </c>
      <c r="U42" s="305">
        <f>SUM(D42:T42)</f>
        <v>0</v>
      </c>
      <c r="V42" s="307"/>
      <c r="W42" s="305">
        <v>0</v>
      </c>
      <c r="X42" s="305">
        <v>0</v>
      </c>
      <c r="Y42" s="305">
        <v>0</v>
      </c>
      <c r="Z42" s="305">
        <v>0</v>
      </c>
      <c r="AA42" s="305">
        <v>0</v>
      </c>
      <c r="AB42" s="305">
        <v>0</v>
      </c>
      <c r="AC42" s="305">
        <v>0</v>
      </c>
      <c r="AD42" s="305"/>
      <c r="AE42" s="305"/>
      <c r="AF42" s="305"/>
      <c r="AG42" s="305"/>
      <c r="AH42" s="305">
        <v>0</v>
      </c>
      <c r="AI42" s="305">
        <v>0</v>
      </c>
      <c r="AJ42" s="305">
        <v>0</v>
      </c>
      <c r="AK42" s="305">
        <v>0</v>
      </c>
      <c r="AL42" s="305">
        <v>0</v>
      </c>
      <c r="AM42" s="305">
        <v>0</v>
      </c>
      <c r="AN42" s="305">
        <f>SUM(W42:AM42)</f>
        <v>0</v>
      </c>
      <c r="AO42" s="307"/>
      <c r="AP42" s="308"/>
      <c r="AQ42" s="308"/>
      <c r="AR42" s="308"/>
      <c r="AS42" s="308"/>
      <c r="AT42" s="308"/>
      <c r="AU42" s="308"/>
      <c r="AV42" s="308"/>
      <c r="AW42" s="308"/>
      <c r="AX42" s="308"/>
      <c r="AY42" s="308"/>
      <c r="AZ42" s="308"/>
      <c r="BA42" s="308"/>
      <c r="BB42" s="308"/>
      <c r="BC42" s="308"/>
      <c r="BD42" s="308"/>
      <c r="BE42" s="308"/>
      <c r="BF42" s="308"/>
      <c r="BG42" s="309"/>
      <c r="BH42" s="299"/>
      <c r="BI42" s="300"/>
      <c r="BJ42" s="300"/>
      <c r="BK42" s="301"/>
      <c r="BL42" s="301"/>
      <c r="BM42" s="301"/>
      <c r="BN42" s="301"/>
      <c r="BO42" s="302"/>
      <c r="BP42" s="302"/>
      <c r="BQ42" s="302"/>
      <c r="BR42" s="303"/>
      <c r="BS42" s="303"/>
      <c r="BT42" s="303"/>
      <c r="BU42" s="303"/>
      <c r="BV42" s="303"/>
      <c r="BW42" s="303"/>
    </row>
    <row r="43" spans="3:199" s="126" customFormat="1" ht="12.75">
      <c r="C43" s="188"/>
      <c r="E43" s="180"/>
      <c r="F43" s="181"/>
      <c r="G43" s="180"/>
      <c r="H43" s="180"/>
      <c r="I43" s="181"/>
      <c r="J43" s="180"/>
      <c r="K43" s="180"/>
      <c r="L43" s="180"/>
      <c r="M43" s="180"/>
      <c r="N43" s="180"/>
      <c r="O43" s="180"/>
      <c r="P43" s="180"/>
      <c r="Q43" s="180"/>
      <c r="R43" s="180"/>
      <c r="S43" s="182"/>
      <c r="T43" s="183"/>
      <c r="U43"/>
      <c r="V43" s="184"/>
      <c r="W43" s="184"/>
      <c r="X43" s="184"/>
      <c r="Y43" s="184"/>
      <c r="Z43" s="184"/>
      <c r="AA43" s="184"/>
      <c r="AB43" s="184"/>
      <c r="AC43" s="184"/>
      <c r="AD43" s="184"/>
      <c r="AE43" s="184"/>
      <c r="AF43" s="184"/>
      <c r="AG43" s="184"/>
      <c r="AH43" s="184"/>
      <c r="AI43" s="184"/>
      <c r="AJ43" s="184"/>
      <c r="AK43" s="185"/>
      <c r="AL43" s="185"/>
      <c r="AM43" s="185"/>
      <c r="AN43" s="184"/>
      <c r="AO43" s="184"/>
      <c r="AP43" s="184"/>
      <c r="AQ43" s="180"/>
      <c r="AR43" s="180"/>
      <c r="AS43" s="180"/>
      <c r="AT43" s="180"/>
      <c r="AU43" s="180"/>
      <c r="AV43" s="180"/>
      <c r="AW43" s="180"/>
      <c r="AX43" s="180"/>
      <c r="AY43" s="180"/>
      <c r="AZ43" s="180"/>
      <c r="BA43" s="180"/>
      <c r="BB43" s="180"/>
      <c r="BC43" s="180"/>
      <c r="BD43" s="180"/>
      <c r="BE43" s="180"/>
      <c r="BF43" s="180"/>
      <c r="BG43" s="180"/>
      <c r="BH43" s="186"/>
      <c r="BI43" s="186"/>
      <c r="BJ43" s="186"/>
      <c r="BK43" s="187"/>
      <c r="BL43" s="187"/>
      <c r="BM43" s="187"/>
      <c r="BN43" s="187"/>
      <c r="BO43" s="140"/>
      <c r="BP43" s="140"/>
      <c r="BQ43" s="140"/>
      <c r="BR43" s="140"/>
      <c r="BS43" s="140"/>
      <c r="BT43" s="140"/>
      <c r="BU43" s="140"/>
      <c r="BV43" s="140"/>
      <c r="BW43" s="140"/>
    </row>
    <row r="44" spans="3:199">
      <c r="T44" s="127"/>
      <c r="AN44" s="224"/>
    </row>
    <row r="45" spans="3:199">
      <c r="T45" s="127"/>
    </row>
    <row r="46" spans="3:199">
      <c r="T46" s="127"/>
    </row>
    <row r="47" spans="3:199">
      <c r="T47" s="127"/>
      <c r="AN47" s="224"/>
    </row>
    <row r="48" spans="3:199">
      <c r="D48" s="224"/>
      <c r="E48" s="224"/>
      <c r="F48" s="224"/>
      <c r="G48" s="224"/>
      <c r="H48" s="224"/>
      <c r="I48" s="224"/>
      <c r="J48" s="224"/>
      <c r="K48" s="224"/>
      <c r="L48" s="224"/>
      <c r="M48" s="224"/>
      <c r="N48" s="224"/>
      <c r="O48" s="224"/>
      <c r="P48" s="224"/>
      <c r="Q48" s="224"/>
      <c r="R48" s="224"/>
      <c r="S48" s="224"/>
      <c r="T48" s="224"/>
      <c r="U48" s="224"/>
      <c r="V48" s="224"/>
    </row>
    <row r="49" spans="20:20">
      <c r="T49" s="127"/>
    </row>
    <row r="50" spans="20:20">
      <c r="T50" s="127"/>
    </row>
    <row r="51" spans="20:20">
      <c r="T51" s="127"/>
    </row>
    <row r="52" spans="20:20">
      <c r="T52" s="127"/>
    </row>
    <row r="53" spans="20:20">
      <c r="T53" s="127"/>
    </row>
    <row r="54" spans="20:20">
      <c r="T54" s="127"/>
    </row>
    <row r="55" spans="20:20">
      <c r="T55" s="127"/>
    </row>
    <row r="56" spans="20:20">
      <c r="T56" s="127"/>
    </row>
    <row r="57" spans="20:20">
      <c r="T57" s="127"/>
    </row>
    <row r="58" spans="20:20">
      <c r="T58" s="127"/>
    </row>
    <row r="59" spans="20:20">
      <c r="T59" s="127"/>
    </row>
    <row r="60" spans="20:20">
      <c r="T60" s="127"/>
    </row>
    <row r="61" spans="20:20">
      <c r="T61" s="127"/>
    </row>
    <row r="62" spans="20:20">
      <c r="T62" s="127"/>
    </row>
    <row r="63" spans="20:20">
      <c r="T63" s="127"/>
    </row>
    <row r="64" spans="20:20">
      <c r="T64" s="127"/>
    </row>
    <row r="65" spans="20:20">
      <c r="T65" s="127"/>
    </row>
    <row r="66" spans="20:20">
      <c r="T66" s="127"/>
    </row>
    <row r="67" spans="20:20">
      <c r="T67" s="127"/>
    </row>
    <row r="68" spans="20:20">
      <c r="T68" s="127"/>
    </row>
    <row r="69" spans="20:20">
      <c r="T69" s="127"/>
    </row>
    <row r="70" spans="20:20">
      <c r="T70" s="127"/>
    </row>
    <row r="71" spans="20:20">
      <c r="T71" s="127"/>
    </row>
    <row r="72" spans="20:20">
      <c r="T72" s="127"/>
    </row>
    <row r="73" spans="20:20">
      <c r="T73" s="127"/>
    </row>
    <row r="74" spans="20:20">
      <c r="T74" s="127"/>
    </row>
    <row r="75" spans="20:20">
      <c r="T75" s="127"/>
    </row>
  </sheetData>
  <mergeCells count="4">
    <mergeCell ref="D6:U6"/>
    <mergeCell ref="AP6:BG6"/>
    <mergeCell ref="W6:AN6"/>
    <mergeCell ref="C2:BG2"/>
  </mergeCells>
  <printOptions horizontalCentered="1" verticalCentered="1"/>
  <pageMargins left="0.35433070866141736" right="0.35433070866141736" top="0.39370078740157483" bottom="0.39370078740157483" header="0.39370078740157483" footer="0.39370078740157483"/>
  <pageSetup paperSize="256" scale="54" fitToWidth="2" orientation="landscape" r:id="rId1"/>
  <headerFooter alignWithMargins="0">
    <oddHeader>&amp;L&amp;G</oddHeader>
  </headerFooter>
  <colBreaks count="2" manualBreakCount="2">
    <brk id="21" min="1" max="45" man="1"/>
    <brk id="41" min="1" max="45" man="1"/>
  </colBreaks>
  <ignoredErrors>
    <ignoredError sqref="O6:P6 R6:V6 E6:J6" numberStoredAsText="1"/>
    <ignoredError sqref="U35:U36 D13:J13 D26:J27 D18:J18 D29:J30 P27:T27 P13:S13 O26:T26 P18:T18 O29:T30 V13:V32 U33:V34 K17:U17 W13:AM13 U31:U32 K29:N30 U29:U30 U19:U25 K18:O18 U18 U28 K26:N26 U26 K13:O13 T13 K27:O27 U14:U16 W17:AM18 AO14:AR16 W26:AM27 AO19:AR25 W29:AR30 AN28:AR28 AN33:AR34 AN31:AR32 AO13:AR13 AO17:AR18 AO26:AR27" formulaRange="1"/>
    <ignoredError sqref="AN19:AN25 AN26:AN27 AN14:AN16 AN17:AN18 AN13 U13 U27" formula="1" formulaRange="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AD41"/>
  <sheetViews>
    <sheetView showGridLines="0" zoomScale="90" zoomScaleNormal="90" workbookViewId="0">
      <selection activeCell="B2" sqref="B2"/>
    </sheetView>
  </sheetViews>
  <sheetFormatPr defaultRowHeight="12.75"/>
  <cols>
    <col min="1" max="1" width="4.28515625" style="100" customWidth="1"/>
    <col min="2" max="2" width="4.140625" style="100" customWidth="1"/>
    <col min="3" max="3" width="5.140625" style="100" customWidth="1"/>
    <col min="4" max="4" width="9.7109375" style="100" bestFit="1" customWidth="1"/>
    <col min="5" max="5" width="14" style="100" customWidth="1"/>
    <col min="6" max="6" width="10.42578125" style="100" bestFit="1" customWidth="1"/>
    <col min="7" max="7" width="11.85546875" style="100" customWidth="1"/>
    <col min="8" max="8" width="2.28515625" style="100" customWidth="1"/>
    <col min="9" max="9" width="9.28515625" style="100" customWidth="1"/>
    <col min="10" max="10" width="9.42578125" style="100" bestFit="1" customWidth="1"/>
    <col min="11" max="11" width="11.85546875" style="100" customWidth="1"/>
    <col min="12" max="12" width="11" style="100" customWidth="1"/>
    <col min="13" max="13" width="13.28515625" style="100" customWidth="1"/>
    <col min="14" max="14" width="2.140625" style="100" customWidth="1"/>
    <col min="15" max="15" width="13.140625" style="100" customWidth="1"/>
    <col min="16" max="16" width="9.85546875" style="100" customWidth="1"/>
    <col min="17" max="17" width="13.7109375" style="100" customWidth="1"/>
    <col min="18" max="18" width="11.5703125" style="100" customWidth="1"/>
    <col min="19" max="19" width="11.42578125" style="100" customWidth="1"/>
    <col min="20" max="20" width="2.28515625" style="100" customWidth="1"/>
    <col min="21" max="21" width="10.28515625" style="100" customWidth="1"/>
    <col min="22" max="22" width="14.42578125" style="100" customWidth="1"/>
    <col min="23" max="23" width="13.7109375" style="100" customWidth="1"/>
    <col min="24" max="24" width="2" style="100" customWidth="1"/>
    <col min="25" max="25" width="18.28515625" style="104" customWidth="1"/>
    <col min="26" max="26" width="11.85546875" style="100" customWidth="1"/>
    <col min="27" max="16384" width="9.140625" style="100"/>
  </cols>
  <sheetData>
    <row r="2" spans="1:30" s="92" customFormat="1" ht="19.5" thickBot="1">
      <c r="B2" s="89"/>
      <c r="C2" s="121" t="str">
        <f>IF(Indice_index!$Z$1=1,"5 - Despesa dos Serviços e Fundos Autónomos - Classificação Funcional","5 -  Autonomous Services and Funds expenditure - Functional Classification")</f>
        <v>5 -  Autonomous Services and Funds expenditure - Functional Classification</v>
      </c>
      <c r="D2" s="90"/>
      <c r="E2" s="90"/>
      <c r="F2" s="90"/>
      <c r="G2" s="90"/>
      <c r="H2" s="90"/>
      <c r="I2" s="90"/>
      <c r="J2" s="90"/>
      <c r="K2" s="90"/>
      <c r="L2" s="90"/>
      <c r="M2" s="90"/>
      <c r="N2" s="90"/>
      <c r="O2" s="90"/>
      <c r="P2" s="90"/>
      <c r="Q2" s="90"/>
      <c r="R2" s="90"/>
      <c r="S2" s="90"/>
      <c r="T2" s="90"/>
      <c r="U2" s="90"/>
      <c r="V2" s="90"/>
      <c r="W2" s="91"/>
      <c r="Y2" s="91"/>
      <c r="AA2" s="93"/>
      <c r="AB2" s="94"/>
      <c r="AC2" s="93"/>
      <c r="AD2" s="95"/>
    </row>
    <row r="4" spans="1:30" s="96" customFormat="1">
      <c r="C4" s="98"/>
      <c r="D4" s="98"/>
      <c r="E4" s="114"/>
      <c r="F4" s="114"/>
      <c r="G4" s="114"/>
      <c r="H4" s="114"/>
      <c r="I4" s="116"/>
      <c r="J4" s="117"/>
      <c r="K4" s="114"/>
      <c r="L4" s="114"/>
      <c r="M4" s="118"/>
      <c r="N4" s="118"/>
      <c r="O4" s="114"/>
      <c r="P4" s="114"/>
      <c r="Q4" s="114"/>
      <c r="R4" s="114"/>
      <c r="S4" s="114"/>
      <c r="T4" s="114"/>
      <c r="U4" s="114"/>
      <c r="V4" s="114"/>
      <c r="W4" s="120"/>
      <c r="X4" s="94"/>
      <c r="Y4" s="120" t="str">
        <f>IF(Indice_index!$Z$1=1,"€ Milhões","€ Millions")</f>
        <v>€ Millions</v>
      </c>
      <c r="Z4" s="94"/>
    </row>
    <row r="5" spans="1:30" s="96" customFormat="1" ht="15.75" customHeight="1">
      <c r="C5" s="195"/>
      <c r="D5" s="195"/>
      <c r="E5" s="396" t="str">
        <f>IF(Indice_index!$Z$1=1,"Funções Gerais de Soberania","Sovereign General Functions")</f>
        <v>Sovereign General Functions</v>
      </c>
      <c r="F5" s="396" t="s">
        <v>11</v>
      </c>
      <c r="G5" s="396" t="s">
        <v>11</v>
      </c>
      <c r="H5" s="196"/>
      <c r="I5" s="397" t="str">
        <f>IF(Indice_index!$Z$1=1,"Funções Sociais","Social Functions")</f>
        <v>Social Functions</v>
      </c>
      <c r="J5" s="397" t="s">
        <v>12</v>
      </c>
      <c r="K5" s="397" t="s">
        <v>12</v>
      </c>
      <c r="L5" s="397" t="s">
        <v>12</v>
      </c>
      <c r="M5" s="397" t="s">
        <v>12</v>
      </c>
      <c r="N5" s="197"/>
      <c r="O5" s="397" t="str">
        <f>IF(Indice_index!$Z$1=1,"Funções Económicas","Economic Functions")</f>
        <v>Economic Functions</v>
      </c>
      <c r="P5" s="397" t="s">
        <v>13</v>
      </c>
      <c r="Q5" s="397" t="s">
        <v>13</v>
      </c>
      <c r="R5" s="397" t="s">
        <v>13</v>
      </c>
      <c r="S5" s="397" t="s">
        <v>13</v>
      </c>
      <c r="T5" s="197"/>
      <c r="U5" s="397" t="str">
        <f>IF(Indice_index!$Z$1=1,"Outras Funções","Other Functions")</f>
        <v>Other Functions</v>
      </c>
      <c r="V5" s="397" t="s">
        <v>14</v>
      </c>
      <c r="W5" s="397" t="s">
        <v>14</v>
      </c>
      <c r="X5" s="94"/>
      <c r="Y5" s="201"/>
    </row>
    <row r="6" spans="1:30" s="102" customFormat="1" ht="69.599999999999994" customHeight="1">
      <c r="B6" s="99"/>
      <c r="C6" s="191"/>
      <c r="D6" s="191"/>
      <c r="E6" s="194" t="str">
        <f>IF(Indice_index!$Z$1=1,"Serviços Gerais da Administração Pública","General Public Services")</f>
        <v>General Public Services</v>
      </c>
      <c r="F6" s="194" t="str">
        <f>IF(Indice_index!$Z$1=1,"Defesa Nacional","National Defense")</f>
        <v>National Defense</v>
      </c>
      <c r="G6" s="194" t="str">
        <f>IF(Indice_index!$Z$1=1,"Segurança e Ordem Públicas","Public Order and Safety")</f>
        <v>Public Order and Safety</v>
      </c>
      <c r="H6" s="193"/>
      <c r="I6" s="194" t="str">
        <f>IF(Indice_index!$Z$1=1,"Educação","Education")</f>
        <v>Education</v>
      </c>
      <c r="J6" s="194" t="str">
        <f>IF(Indice_index!$Z$1=1,"Saúde","Health")</f>
        <v>Health</v>
      </c>
      <c r="K6" s="194" t="str">
        <f>IF(Indice_index!$Z$1=1,"Segurança e Ação Sociais","Safety and Social Services")</f>
        <v>Safety and Social Services</v>
      </c>
      <c r="L6" s="194" t="str">
        <f>IF(Indice_index!$Z$1=1,"Habitação e Serviços Colectivos","Housing and Collective Services")</f>
        <v>Housing and Collective Services</v>
      </c>
      <c r="M6" s="194" t="str">
        <f>IF(Indice_index!$Z$1=1,"Serviços Culturais, Recreativos e Religiosos","Cultural, Recreational e Religious Services")</f>
        <v>Cultural, Recreational e Religious Services</v>
      </c>
      <c r="N6" s="192"/>
      <c r="O6" s="194" t="str">
        <f>IF(Indice_index!$Z$1=1,"Agricultura e Pecuária, Silvicultura, Caça e Pesca","Agriculture and Livestock, Forestry, Fishing and Hunting")</f>
        <v>Agriculture and Livestock, Forestry, Fishing and Hunting</v>
      </c>
      <c r="P6" s="194" t="str">
        <f>IF(Indice_index!$Z$1=1,"Indústria e Energia","Industry and Energy")</f>
        <v>Industry and Energy</v>
      </c>
      <c r="Q6" s="194" t="str">
        <f>IF(Indice_index!$Z$1=1,"Transportes e Comunicações","Transport and Communication")</f>
        <v>Transport and Communication</v>
      </c>
      <c r="R6" s="194" t="str">
        <f>IF(Indice_index!$Z$1=1,"Comércio e Turismo","Trade and Tourism")</f>
        <v>Trade and Tourism</v>
      </c>
      <c r="S6" s="194" t="str">
        <f>IF(Indice_index!$Z$1=1,"Outras Funções Económicas","Other Economic Functions")</f>
        <v>Other Economic Functions</v>
      </c>
      <c r="T6" s="192"/>
      <c r="U6" s="194" t="str">
        <f>IF(Indice_index!$Z$1=1,"Operações da Dívida Pública","Public Debt Operations")</f>
        <v>Public Debt Operations</v>
      </c>
      <c r="V6" s="194" t="str">
        <f>IF(Indice_index!$Z$1=1,"Transferências entre Administrações Públicas","Transfers within the General Government")</f>
        <v>Transfers within the General Government</v>
      </c>
      <c r="W6" s="194" t="str">
        <f>IF(Indice_index!$Z$1=1,"Diversas não especificadas","Not Elsewhere Classified")</f>
        <v>Not Elsewhere Classified</v>
      </c>
      <c r="X6" s="101"/>
      <c r="Y6" s="194" t="str">
        <f>IF(Indice_index!$Z$1=1,"TOTAL","TOTAL")</f>
        <v>TOTAL</v>
      </c>
    </row>
    <row r="7" spans="1:30" s="96" customFormat="1">
      <c r="B7" s="106"/>
      <c r="C7" s="107"/>
      <c r="D7" s="105"/>
      <c r="E7" s="105"/>
      <c r="F7" s="105"/>
      <c r="G7" s="113"/>
      <c r="H7" s="113"/>
      <c r="I7" s="105"/>
      <c r="J7" s="105"/>
      <c r="K7" s="105"/>
      <c r="L7" s="105"/>
      <c r="M7" s="113"/>
      <c r="N7" s="113"/>
      <c r="O7" s="105"/>
      <c r="P7" s="105"/>
      <c r="Q7" s="105"/>
      <c r="R7" s="105"/>
      <c r="S7" s="113"/>
      <c r="T7" s="113"/>
      <c r="U7" s="105"/>
      <c r="V7" s="105"/>
      <c r="W7" s="94"/>
      <c r="X7" s="94"/>
      <c r="Y7" s="94"/>
    </row>
    <row r="8" spans="1:30" s="96" customFormat="1" ht="12.75" customHeight="1">
      <c r="B8" s="106"/>
      <c r="C8" s="103">
        <v>2010</v>
      </c>
      <c r="D8" s="105"/>
      <c r="E8" s="111">
        <v>963.6919563499996</v>
      </c>
      <c r="F8" s="111">
        <v>95.215138139999979</v>
      </c>
      <c r="G8" s="104">
        <v>757.00978470000007</v>
      </c>
      <c r="I8" s="104">
        <v>1857.9218796399962</v>
      </c>
      <c r="J8" s="104">
        <v>13874.370099270005</v>
      </c>
      <c r="K8" s="104">
        <v>8566.5949570399953</v>
      </c>
      <c r="L8" s="104">
        <v>161.06434034999995</v>
      </c>
      <c r="M8" s="104">
        <v>136.70439526000001</v>
      </c>
      <c r="O8" s="104">
        <v>1015.9161751399996</v>
      </c>
      <c r="P8" s="104">
        <v>10.141408859999999</v>
      </c>
      <c r="Q8" s="104">
        <v>220.92411322000012</v>
      </c>
      <c r="R8" s="104">
        <v>199.32523313999999</v>
      </c>
      <c r="S8" s="104">
        <v>1105.3038092299989</v>
      </c>
      <c r="U8" s="96">
        <v>1.1100000000000002E-6</v>
      </c>
      <c r="V8" s="96">
        <v>0</v>
      </c>
      <c r="W8" s="96">
        <v>0</v>
      </c>
      <c r="X8"/>
      <c r="Y8" s="96">
        <f t="shared" ref="Y8:Y11" si="0">IF(SUM(E8:W8)=0,"",SUM(E8:W8))</f>
        <v>28964.18329144999</v>
      </c>
      <c r="Z8" s="94"/>
    </row>
    <row r="9" spans="1:30" s="96" customFormat="1">
      <c r="B9" s="106"/>
      <c r="C9" s="103" t="s">
        <v>4</v>
      </c>
      <c r="E9" s="111">
        <v>824.27030454000067</v>
      </c>
      <c r="F9" s="111">
        <v>76.822055900000052</v>
      </c>
      <c r="G9" s="104">
        <v>932.63138717000004</v>
      </c>
      <c r="I9" s="104">
        <v>1661.484868819995</v>
      </c>
      <c r="J9" s="104">
        <v>12827.706155700011</v>
      </c>
      <c r="K9" s="104">
        <v>9027.9932336199981</v>
      </c>
      <c r="L9" s="104">
        <v>175.51096309999977</v>
      </c>
      <c r="M9" s="104">
        <v>134.25981249999987</v>
      </c>
      <c r="O9" s="104">
        <v>1067.9623552100002</v>
      </c>
      <c r="P9" s="104">
        <v>8.7716368799999991</v>
      </c>
      <c r="Q9" s="104">
        <v>210.3638538999999</v>
      </c>
      <c r="R9" s="104">
        <v>210.32018855999996</v>
      </c>
      <c r="S9" s="104">
        <v>1001.6037524099999</v>
      </c>
      <c r="T9" s="105"/>
      <c r="U9" s="105">
        <v>5.1549860000000003E-2</v>
      </c>
      <c r="V9" s="105">
        <v>0</v>
      </c>
      <c r="W9" s="105">
        <v>0</v>
      </c>
      <c r="X9"/>
      <c r="Y9" s="105">
        <f t="shared" si="0"/>
        <v>28159.752118170003</v>
      </c>
      <c r="Z9" s="94"/>
    </row>
    <row r="10" spans="1:30" s="96" customFormat="1">
      <c r="B10" s="106"/>
      <c r="C10" s="103" t="s">
        <v>5</v>
      </c>
      <c r="D10" s="109"/>
      <c r="E10" s="104">
        <v>770.66304958000046</v>
      </c>
      <c r="F10" s="104">
        <v>71.072682620000009</v>
      </c>
      <c r="G10" s="104">
        <v>662.3120621299995</v>
      </c>
      <c r="H10" s="110"/>
      <c r="I10" s="104">
        <v>2146.3185156000059</v>
      </c>
      <c r="J10" s="104">
        <v>10121.755064699992</v>
      </c>
      <c r="K10" s="104">
        <v>8303.5840138699987</v>
      </c>
      <c r="L10" s="104">
        <v>123.58124601000004</v>
      </c>
      <c r="M10" s="104">
        <v>406.64428898999984</v>
      </c>
      <c r="N10" s="108"/>
      <c r="O10" s="104">
        <v>1103.3974878800004</v>
      </c>
      <c r="P10" s="104">
        <v>24.535795159999996</v>
      </c>
      <c r="Q10" s="104">
        <v>2575.1638260900004</v>
      </c>
      <c r="R10" s="104">
        <v>159.17782638999995</v>
      </c>
      <c r="S10" s="104">
        <v>1263.44919772</v>
      </c>
      <c r="T10" s="112"/>
      <c r="U10" s="112">
        <v>59.995598260000008</v>
      </c>
      <c r="V10" s="112">
        <v>0</v>
      </c>
      <c r="W10" s="112">
        <v>0</v>
      </c>
      <c r="X10"/>
      <c r="Y10" s="112">
        <f t="shared" si="0"/>
        <v>27791.650655000001</v>
      </c>
      <c r="Z10" s="94"/>
    </row>
    <row r="11" spans="1:30" s="109" customFormat="1">
      <c r="C11" s="103" t="s">
        <v>7</v>
      </c>
      <c r="E11" s="220">
        <v>851.54925967999998</v>
      </c>
      <c r="F11" s="220">
        <v>75.194269030000015</v>
      </c>
      <c r="G11" s="220">
        <v>590.57262947000027</v>
      </c>
      <c r="H11" s="220"/>
      <c r="I11" s="220">
        <v>1924.2182651199976</v>
      </c>
      <c r="J11" s="220">
        <v>9006.9819635600088</v>
      </c>
      <c r="K11" s="220">
        <v>9576.6010741900009</v>
      </c>
      <c r="L11" s="220">
        <v>202.93233136000032</v>
      </c>
      <c r="M11" s="220">
        <v>436.54839748000012</v>
      </c>
      <c r="N11" s="220"/>
      <c r="O11" s="220">
        <v>1119.7342208900002</v>
      </c>
      <c r="P11" s="220">
        <v>27.893452260000014</v>
      </c>
      <c r="Q11" s="220">
        <v>2324.8041208099999</v>
      </c>
      <c r="R11" s="220">
        <v>157.8109668000001</v>
      </c>
      <c r="S11" s="220">
        <v>1385.1053374000005</v>
      </c>
      <c r="T11" s="220"/>
      <c r="U11" s="220">
        <v>20.964761760000002</v>
      </c>
      <c r="V11" s="220">
        <v>0</v>
      </c>
      <c r="W11" s="220">
        <v>0</v>
      </c>
      <c r="X11" s="269"/>
      <c r="Y11" s="109">
        <f t="shared" si="0"/>
        <v>27700.911049810009</v>
      </c>
      <c r="Z11" s="246"/>
    </row>
    <row r="12" spans="1:30" s="96" customFormat="1">
      <c r="B12" s="106"/>
      <c r="C12" s="103" t="s">
        <v>16</v>
      </c>
      <c r="D12" s="109"/>
      <c r="E12" s="220">
        <v>811.94350232000056</v>
      </c>
      <c r="F12" s="220">
        <v>101.21584196000008</v>
      </c>
      <c r="G12" s="220">
        <v>559.94747530999985</v>
      </c>
      <c r="H12" s="220"/>
      <c r="I12" s="220">
        <v>1916.4566592999986</v>
      </c>
      <c r="J12" s="220">
        <v>8670.1574574900023</v>
      </c>
      <c r="K12" s="220">
        <v>9837.45979859</v>
      </c>
      <c r="L12" s="220">
        <v>212.85327131</v>
      </c>
      <c r="M12" s="220">
        <v>419.36015703999988</v>
      </c>
      <c r="N12" s="220"/>
      <c r="O12" s="220">
        <v>1143.4960063899996</v>
      </c>
      <c r="P12" s="220">
        <v>21.180744000000001</v>
      </c>
      <c r="Q12" s="220">
        <v>2664.7032001999983</v>
      </c>
      <c r="R12" s="220">
        <v>160.04580707</v>
      </c>
      <c r="S12" s="220">
        <v>1528.90788617</v>
      </c>
      <c r="T12" s="220"/>
      <c r="U12" s="220">
        <v>19.325672509999997</v>
      </c>
      <c r="V12" s="220">
        <v>0</v>
      </c>
      <c r="W12" s="220">
        <v>0</v>
      </c>
      <c r="X12" s="269"/>
      <c r="Y12" s="220">
        <f t="shared" ref="Y12" si="1">IF(SUM(E12:W12)=0,"",SUM(E12:W12))</f>
        <v>28067.05347966</v>
      </c>
      <c r="Z12" s="94"/>
    </row>
    <row r="13" spans="1:30" s="96" customFormat="1">
      <c r="B13" s="106"/>
      <c r="C13" s="103" t="s">
        <v>23</v>
      </c>
      <c r="D13" s="109"/>
      <c r="E13" s="220">
        <v>792.47179922999976</v>
      </c>
      <c r="F13" s="220">
        <v>73.176280870000014</v>
      </c>
      <c r="G13" s="220">
        <v>548.91290602000004</v>
      </c>
      <c r="H13" s="220"/>
      <c r="I13" s="220">
        <v>2078.4553175800002</v>
      </c>
      <c r="J13" s="220">
        <v>13662.430316570002</v>
      </c>
      <c r="K13" s="220">
        <v>10042.411026469998</v>
      </c>
      <c r="L13" s="220">
        <v>286.39629489000009</v>
      </c>
      <c r="M13" s="220">
        <v>425.96174045999999</v>
      </c>
      <c r="N13" s="220"/>
      <c r="O13" s="220">
        <v>908.5825880899996</v>
      </c>
      <c r="P13" s="220">
        <v>47.564308339999997</v>
      </c>
      <c r="Q13" s="220">
        <v>3102.5837533600002</v>
      </c>
      <c r="R13" s="220">
        <v>172.67040040999996</v>
      </c>
      <c r="S13" s="220">
        <v>1712.6135065500005</v>
      </c>
      <c r="T13" s="220"/>
      <c r="U13" s="220">
        <v>196.57369433999997</v>
      </c>
      <c r="V13" s="220">
        <v>0</v>
      </c>
      <c r="W13" s="220">
        <v>3.5219283999999988</v>
      </c>
      <c r="X13" s="269"/>
      <c r="Y13" s="220">
        <f>IF(SUM(E13:W13)=0,"",SUM(E13:W13))</f>
        <v>34054.325861579993</v>
      </c>
      <c r="Z13" s="94"/>
    </row>
    <row r="14" spans="1:30" s="96" customFormat="1">
      <c r="B14" s="106"/>
      <c r="C14" s="103" t="s">
        <v>97</v>
      </c>
      <c r="D14" s="109"/>
      <c r="E14" s="220">
        <v>847.00706430999992</v>
      </c>
      <c r="F14" s="220">
        <v>68.11667645</v>
      </c>
      <c r="G14" s="220">
        <v>512.19842604999985</v>
      </c>
      <c r="H14" s="220"/>
      <c r="I14" s="220">
        <v>2059.8255957400006</v>
      </c>
      <c r="J14" s="220">
        <v>15282.222398100002</v>
      </c>
      <c r="K14" s="220">
        <v>10049.73645459</v>
      </c>
      <c r="L14" s="220">
        <v>212.04369855000002</v>
      </c>
      <c r="M14" s="220">
        <v>446.48134078999999</v>
      </c>
      <c r="N14" s="220"/>
      <c r="O14" s="220">
        <v>996.8047228099997</v>
      </c>
      <c r="P14" s="220">
        <v>48.853937730000006</v>
      </c>
      <c r="Q14" s="220">
        <v>3260.3161679599989</v>
      </c>
      <c r="R14" s="220">
        <v>171.71455992000003</v>
      </c>
      <c r="S14" s="220">
        <v>1757.5134560199999</v>
      </c>
      <c r="T14" s="220"/>
      <c r="U14" s="220">
        <v>718.95361422000008</v>
      </c>
      <c r="V14" s="220">
        <v>0</v>
      </c>
      <c r="W14" s="220">
        <v>19.86939722</v>
      </c>
      <c r="X14" s="221"/>
      <c r="Y14" s="112">
        <f>IF(SUM(E14:W14)=0,"",SUM(E14:W14))</f>
        <v>36451.657510460005</v>
      </c>
      <c r="Z14" s="94"/>
    </row>
    <row r="15" spans="1:30" s="96" customFormat="1">
      <c r="B15" s="106"/>
      <c r="C15" s="103" t="s">
        <v>114</v>
      </c>
      <c r="D15" s="109"/>
      <c r="E15" s="253">
        <v>888.26392482999995</v>
      </c>
      <c r="F15" s="253">
        <v>62.403677739999999</v>
      </c>
      <c r="G15" s="253">
        <v>655.3927460000001</v>
      </c>
      <c r="H15" s="254"/>
      <c r="I15" s="253">
        <v>2149.8646218499994</v>
      </c>
      <c r="J15" s="253">
        <v>17428.016228600005</v>
      </c>
      <c r="K15" s="253">
        <v>10107.465489799999</v>
      </c>
      <c r="L15" s="253">
        <v>160.16017233000002</v>
      </c>
      <c r="M15" s="253">
        <v>453.96260355999999</v>
      </c>
      <c r="N15" s="109"/>
      <c r="O15" s="253">
        <v>959.20384853000007</v>
      </c>
      <c r="P15" s="253">
        <v>66.883898119999998</v>
      </c>
      <c r="Q15" s="253">
        <v>3362.8863712299994</v>
      </c>
      <c r="R15" s="253">
        <v>189.51382582999997</v>
      </c>
      <c r="S15" s="253">
        <v>1899.3716222400003</v>
      </c>
      <c r="T15" s="112"/>
      <c r="U15" s="112">
        <v>162.76616401999999</v>
      </c>
      <c r="V15" s="112">
        <v>0</v>
      </c>
      <c r="W15" s="112">
        <v>12.639000579999998</v>
      </c>
      <c r="X15" s="221"/>
      <c r="Y15" s="112">
        <f>IF(SUM(E15:W15)=0,"",SUM(E15:W15))</f>
        <v>38558.794195260016</v>
      </c>
      <c r="Z15" s="94"/>
    </row>
    <row r="16" spans="1:30" s="96" customFormat="1">
      <c r="A16" s="112"/>
      <c r="B16" s="220"/>
      <c r="C16" s="103" t="s">
        <v>126</v>
      </c>
      <c r="D16" s="109"/>
      <c r="E16" s="253"/>
      <c r="F16" s="253"/>
      <c r="G16" s="253"/>
      <c r="H16" s="254"/>
      <c r="I16" s="253"/>
      <c r="J16" s="253"/>
      <c r="K16" s="253"/>
      <c r="L16" s="253"/>
      <c r="M16" s="253"/>
      <c r="N16" s="109"/>
      <c r="O16" s="253"/>
      <c r="P16" s="253"/>
      <c r="Q16" s="253"/>
      <c r="R16" s="253"/>
      <c r="S16" s="253"/>
      <c r="T16" s="112"/>
      <c r="U16" s="112"/>
      <c r="V16" s="112"/>
      <c r="W16" s="112"/>
      <c r="X16" s="221"/>
      <c r="Y16" s="112" t="str">
        <f t="shared" ref="Y16:Y27" si="2">IF(SUM(E16:W16)=0,"",SUM(E16:W16))</f>
        <v/>
      </c>
      <c r="Z16" s="361"/>
    </row>
    <row r="17" spans="1:26" s="96" customFormat="1">
      <c r="A17" s="112"/>
      <c r="B17" s="220"/>
      <c r="C17" s="109"/>
      <c r="D17" s="109" t="str">
        <f>IF(Indice_index!$Z$1=1,"janeiro","January")</f>
        <v>January</v>
      </c>
      <c r="E17" s="220">
        <v>57.763693170000018</v>
      </c>
      <c r="F17" s="220">
        <v>0.37139672000000001</v>
      </c>
      <c r="G17" s="220">
        <v>34.169970520000007</v>
      </c>
      <c r="H17" s="220"/>
      <c r="I17" s="220">
        <v>88.501301779999977</v>
      </c>
      <c r="J17" s="220">
        <v>1149.8715190200003</v>
      </c>
      <c r="K17" s="220">
        <v>746.64757911000004</v>
      </c>
      <c r="L17" s="220">
        <v>4.0946666500000006</v>
      </c>
      <c r="M17" s="220">
        <v>40.028674469999999</v>
      </c>
      <c r="N17" s="220"/>
      <c r="O17" s="220">
        <v>64.498609290000005</v>
      </c>
      <c r="P17" s="220">
        <v>2.43277944</v>
      </c>
      <c r="Q17" s="220">
        <v>348.10684940999994</v>
      </c>
      <c r="R17" s="220">
        <v>1.5955528000000003</v>
      </c>
      <c r="S17" s="220">
        <v>62.902073030000004</v>
      </c>
      <c r="T17" s="220"/>
      <c r="U17" s="220">
        <v>1.4320525199999998</v>
      </c>
      <c r="V17" s="220">
        <v>0</v>
      </c>
      <c r="W17" s="220">
        <v>1.26727196</v>
      </c>
      <c r="X17" s="221"/>
      <c r="Y17" s="112">
        <f t="shared" si="2"/>
        <v>2603.6839898900002</v>
      </c>
      <c r="Z17" s="361"/>
    </row>
    <row r="18" spans="1:26" s="96" customFormat="1">
      <c r="B18" s="106"/>
      <c r="C18" s="109"/>
      <c r="D18" s="109" t="str">
        <f>IF(Indice_index!$Z$1=1,"fevereiro","February")</f>
        <v>February</v>
      </c>
      <c r="E18" s="220">
        <v>118.26117231000002</v>
      </c>
      <c r="F18" s="220">
        <v>1.6018458699999996</v>
      </c>
      <c r="G18" s="220">
        <v>77.16689396000001</v>
      </c>
      <c r="H18" s="220"/>
      <c r="I18" s="220">
        <v>238.50223978000002</v>
      </c>
      <c r="J18" s="220">
        <v>2520.6299228000003</v>
      </c>
      <c r="K18" s="220">
        <v>1492.5906925899997</v>
      </c>
      <c r="L18" s="220">
        <v>11.295112140000001</v>
      </c>
      <c r="M18" s="220">
        <v>65.83390519000001</v>
      </c>
      <c r="N18" s="220"/>
      <c r="O18" s="220">
        <v>113.93941343999997</v>
      </c>
      <c r="P18" s="220">
        <v>6.3138958199999982</v>
      </c>
      <c r="Q18" s="220">
        <v>952.23951947</v>
      </c>
      <c r="R18" s="220">
        <v>21.197916770000006</v>
      </c>
      <c r="S18" s="220">
        <v>161.27322837</v>
      </c>
      <c r="T18" s="220"/>
      <c r="U18" s="220">
        <v>1.9792588199999999</v>
      </c>
      <c r="V18" s="220">
        <v>0</v>
      </c>
      <c r="W18" s="220">
        <v>1.7854041600000001</v>
      </c>
      <c r="X18" s="269"/>
      <c r="Y18" s="112">
        <f t="shared" si="2"/>
        <v>5784.6104214900006</v>
      </c>
      <c r="Z18" s="94"/>
    </row>
    <row r="19" spans="1:26" s="96" customFormat="1">
      <c r="B19" s="106"/>
      <c r="C19" s="109"/>
      <c r="D19" s="109" t="str">
        <f>IF(Indice_index!$Z$1=1,"março","March")</f>
        <v>March</v>
      </c>
      <c r="E19" s="220">
        <v>192.48249460999992</v>
      </c>
      <c r="F19" s="220">
        <v>7.5894089100000004</v>
      </c>
      <c r="G19" s="220">
        <v>129.48133630999999</v>
      </c>
      <c r="H19" s="220"/>
      <c r="I19" s="220">
        <v>377.52620920999993</v>
      </c>
      <c r="J19" s="220">
        <v>4412.8013714500012</v>
      </c>
      <c r="K19" s="220">
        <v>2228.88324491</v>
      </c>
      <c r="L19" s="220">
        <v>19.825587279999997</v>
      </c>
      <c r="M19" s="220">
        <v>105.01366126999999</v>
      </c>
      <c r="N19" s="220"/>
      <c r="O19" s="220">
        <v>169.30642236000003</v>
      </c>
      <c r="P19" s="220">
        <v>9.1043540399999969</v>
      </c>
      <c r="Q19" s="220">
        <v>1129.7451828700002</v>
      </c>
      <c r="R19" s="220">
        <v>29.895884240000001</v>
      </c>
      <c r="S19" s="220">
        <v>263.52789783000003</v>
      </c>
      <c r="T19" s="220"/>
      <c r="U19" s="220">
        <v>2.6254536900000001</v>
      </c>
      <c r="V19" s="220">
        <v>0</v>
      </c>
      <c r="W19" s="220">
        <v>2.3413318199999997</v>
      </c>
      <c r="X19" s="221"/>
      <c r="Y19" s="112">
        <f t="shared" si="2"/>
        <v>9080.1498408000007</v>
      </c>
      <c r="Z19" s="94"/>
    </row>
    <row r="20" spans="1:26" s="96" customFormat="1">
      <c r="B20" s="106"/>
      <c r="C20" s="109"/>
      <c r="D20" s="109" t="str">
        <f>IF(Indice_index!$Z$1=1,"abril","April")</f>
        <v>April</v>
      </c>
      <c r="E20" s="220">
        <v>254.92083069000003</v>
      </c>
      <c r="F20" s="220">
        <v>12.017370080000005</v>
      </c>
      <c r="G20" s="220">
        <v>180.32519746</v>
      </c>
      <c r="H20" s="220"/>
      <c r="I20" s="220">
        <v>548.10786066999981</v>
      </c>
      <c r="J20" s="220">
        <v>5911.5306415699988</v>
      </c>
      <c r="K20" s="220">
        <v>2971.7540642900003</v>
      </c>
      <c r="L20" s="220">
        <v>26.849660610000001</v>
      </c>
      <c r="M20" s="220">
        <v>145.08242660000002</v>
      </c>
      <c r="N20" s="220"/>
      <c r="O20" s="220">
        <v>207.54032810999999</v>
      </c>
      <c r="P20" s="220">
        <v>14.198057050000001</v>
      </c>
      <c r="Q20" s="220">
        <v>1420.7451973100001</v>
      </c>
      <c r="R20" s="220">
        <v>43.213342990000008</v>
      </c>
      <c r="S20" s="220">
        <v>376.01131474000005</v>
      </c>
      <c r="T20" s="220"/>
      <c r="U20" s="220">
        <v>2.9303428399999993</v>
      </c>
      <c r="V20" s="220">
        <v>0</v>
      </c>
      <c r="W20" s="220">
        <v>3.0402409499999998</v>
      </c>
      <c r="X20" s="221"/>
      <c r="Y20" s="112">
        <f t="shared" si="2"/>
        <v>12118.26687596</v>
      </c>
      <c r="Z20" s="94"/>
    </row>
    <row r="21" spans="1:26" s="96" customFormat="1">
      <c r="B21" s="106"/>
      <c r="C21" s="109"/>
      <c r="D21" s="109" t="str">
        <f>IF(Indice_index!$Z$1=1,"maio","May")</f>
        <v>May</v>
      </c>
      <c r="E21" s="220">
        <v>346.80623598000005</v>
      </c>
      <c r="F21" s="220">
        <v>18.795347449999998</v>
      </c>
      <c r="G21" s="220">
        <v>229.23387984999997</v>
      </c>
      <c r="H21" s="220"/>
      <c r="I21" s="220">
        <v>719.74686224000015</v>
      </c>
      <c r="J21" s="220">
        <v>7414.9526594800009</v>
      </c>
      <c r="K21" s="220">
        <v>3710.5010395999989</v>
      </c>
      <c r="L21" s="220">
        <v>37.968344129999991</v>
      </c>
      <c r="M21" s="220">
        <v>190.85963362999996</v>
      </c>
      <c r="N21" s="220"/>
      <c r="O21" s="220">
        <v>247.84252165000007</v>
      </c>
      <c r="P21" s="220">
        <v>18.527625960000002</v>
      </c>
      <c r="Q21" s="220">
        <v>1588.1753977499998</v>
      </c>
      <c r="R21" s="220">
        <v>67.973608330000005</v>
      </c>
      <c r="S21" s="220">
        <v>495.46966814000007</v>
      </c>
      <c r="T21" s="220"/>
      <c r="U21" s="220">
        <v>5.9893254700000007</v>
      </c>
      <c r="V21" s="220">
        <v>0</v>
      </c>
      <c r="W21" s="220">
        <v>3.7152042800000005</v>
      </c>
      <c r="X21" s="221"/>
      <c r="Y21" s="112">
        <f t="shared" si="2"/>
        <v>15096.557353940001</v>
      </c>
      <c r="Z21" s="94"/>
    </row>
    <row r="22" spans="1:26" s="96" customFormat="1">
      <c r="B22" s="106"/>
      <c r="C22" s="109"/>
      <c r="D22" s="109" t="str">
        <f>IF(Indice_index!$Z$1=1,"junho","June")</f>
        <v>June</v>
      </c>
      <c r="E22" s="220">
        <v>408.95433754999999</v>
      </c>
      <c r="F22" s="220">
        <v>20.369948920000002</v>
      </c>
      <c r="G22" s="220">
        <v>293.06276542999996</v>
      </c>
      <c r="H22" s="220"/>
      <c r="I22" s="220">
        <v>948.99905476000015</v>
      </c>
      <c r="J22" s="220">
        <v>8999.9561975600009</v>
      </c>
      <c r="K22" s="220">
        <v>4461.3173319999987</v>
      </c>
      <c r="L22" s="220">
        <v>53.254865830000007</v>
      </c>
      <c r="M22" s="220">
        <v>232.87803215999998</v>
      </c>
      <c r="N22" s="220"/>
      <c r="O22" s="220">
        <v>293.37398896000002</v>
      </c>
      <c r="P22" s="220">
        <v>24.578757039999996</v>
      </c>
      <c r="Q22" s="220">
        <v>1903.5405175599999</v>
      </c>
      <c r="R22" s="220">
        <v>79.787552490000024</v>
      </c>
      <c r="S22" s="220">
        <v>768.25535847999993</v>
      </c>
      <c r="T22" s="220"/>
      <c r="U22" s="220">
        <v>16.222019619999998</v>
      </c>
      <c r="V22" s="220">
        <v>0</v>
      </c>
      <c r="W22" s="220">
        <v>5.1784299200000001</v>
      </c>
      <c r="X22" s="221"/>
      <c r="Y22" s="112">
        <f t="shared" si="2"/>
        <v>18509.729158280003</v>
      </c>
      <c r="Z22" s="94"/>
    </row>
    <row r="23" spans="1:26" s="96" customFormat="1">
      <c r="B23" s="106"/>
      <c r="C23" s="109"/>
      <c r="D23" s="109" t="str">
        <f>IF(Indice_index!$Z$1=1,"julho","July")</f>
        <v>July</v>
      </c>
      <c r="E23" s="220">
        <v>482.04163849999992</v>
      </c>
      <c r="F23" s="220">
        <v>21.790201769999999</v>
      </c>
      <c r="G23" s="220">
        <v>351.21217714000005</v>
      </c>
      <c r="H23" s="220"/>
      <c r="I23" s="220">
        <v>1148.2404054400004</v>
      </c>
      <c r="J23" s="220">
        <v>10773.194987469999</v>
      </c>
      <c r="K23" s="220">
        <v>5873.889174599999</v>
      </c>
      <c r="L23" s="220">
        <v>64.254558529999997</v>
      </c>
      <c r="M23" s="220">
        <v>277.61835364000001</v>
      </c>
      <c r="N23" s="220"/>
      <c r="O23" s="220">
        <v>332.44235988999992</v>
      </c>
      <c r="P23" s="220">
        <v>28.655651120000002</v>
      </c>
      <c r="Q23" s="220">
        <v>2158.5407907500003</v>
      </c>
      <c r="R23" s="220">
        <v>92.052356050000014</v>
      </c>
      <c r="S23" s="220">
        <v>877.56485855000005</v>
      </c>
      <c r="T23" s="220"/>
      <c r="U23" s="220">
        <v>43.095569250000004</v>
      </c>
      <c r="V23" s="220">
        <v>0</v>
      </c>
      <c r="W23" s="220">
        <v>7.1834432000000001</v>
      </c>
      <c r="X23" s="221"/>
      <c r="Y23" s="112">
        <f t="shared" si="2"/>
        <v>22531.776525899993</v>
      </c>
      <c r="Z23" s="94"/>
    </row>
    <row r="24" spans="1:26" s="96" customFormat="1">
      <c r="B24" s="106"/>
      <c r="C24" s="109"/>
      <c r="D24" s="109" t="str">
        <f>IF(Indice_index!$Z$1=1,"agosto","August")</f>
        <v>August</v>
      </c>
      <c r="E24" s="220">
        <v>545.8180394200001</v>
      </c>
      <c r="F24" s="220">
        <v>27.388683589999999</v>
      </c>
      <c r="G24" s="220">
        <v>409.03176855999993</v>
      </c>
      <c r="H24" s="220"/>
      <c r="I24" s="220">
        <v>1303.2080235300004</v>
      </c>
      <c r="J24" s="220">
        <v>12243.146452039999</v>
      </c>
      <c r="K24" s="220">
        <v>6611.4008098900003</v>
      </c>
      <c r="L24" s="220">
        <v>70.819125850000006</v>
      </c>
      <c r="M24" s="220">
        <v>307.57162663999998</v>
      </c>
      <c r="N24" s="220"/>
      <c r="O24" s="220">
        <v>362.67963350000002</v>
      </c>
      <c r="P24" s="220">
        <v>32.207215189999999</v>
      </c>
      <c r="Q24" s="220">
        <v>2403.5454775299995</v>
      </c>
      <c r="R24" s="220">
        <v>102.74318541000001</v>
      </c>
      <c r="S24" s="220">
        <v>970.27832091999994</v>
      </c>
      <c r="T24" s="220"/>
      <c r="U24" s="220">
        <v>43.440575700000011</v>
      </c>
      <c r="V24" s="220">
        <v>0</v>
      </c>
      <c r="W24" s="220">
        <v>7.8704891000000003</v>
      </c>
      <c r="X24" s="221"/>
      <c r="Y24" s="112">
        <f t="shared" si="2"/>
        <v>25441.149426869997</v>
      </c>
      <c r="Z24" s="94"/>
    </row>
    <row r="25" spans="1:26" s="96" customFormat="1">
      <c r="B25" s="106"/>
      <c r="C25" s="109"/>
      <c r="D25" s="109" t="str">
        <f>IF(Indice_index!$Z$1=1,"setembro","September")</f>
        <v>September</v>
      </c>
      <c r="E25" s="220">
        <v>669.87227014999996</v>
      </c>
      <c r="F25" s="220">
        <v>28.400544719999999</v>
      </c>
      <c r="G25" s="220">
        <v>466.32166578999988</v>
      </c>
      <c r="H25" s="220"/>
      <c r="I25" s="220">
        <v>1467.0114731100007</v>
      </c>
      <c r="J25" s="220">
        <v>13647.950317939996</v>
      </c>
      <c r="K25" s="220">
        <v>7352.6111987700006</v>
      </c>
      <c r="L25" s="220">
        <v>81.123337890000002</v>
      </c>
      <c r="M25" s="220">
        <v>340.58875611000002</v>
      </c>
      <c r="N25" s="220"/>
      <c r="O25" s="220">
        <v>398.88039987999997</v>
      </c>
      <c r="P25" s="220">
        <v>37.164400799999996</v>
      </c>
      <c r="Q25" s="220">
        <v>2647.3879705100003</v>
      </c>
      <c r="R25" s="220">
        <v>126.00327399000001</v>
      </c>
      <c r="S25" s="220">
        <v>1050.2264871399998</v>
      </c>
      <c r="T25" s="220"/>
      <c r="U25" s="220">
        <v>63.503229340000004</v>
      </c>
      <c r="V25" s="220">
        <v>0</v>
      </c>
      <c r="W25" s="220">
        <v>9.6082581900000008</v>
      </c>
      <c r="X25" s="221"/>
      <c r="Y25" s="112">
        <f t="shared" si="2"/>
        <v>28386.653584329997</v>
      </c>
      <c r="Z25" s="94"/>
    </row>
    <row r="26" spans="1:26" s="96" customFormat="1">
      <c r="B26" s="106"/>
      <c r="C26" s="109"/>
      <c r="D26" s="109" t="str">
        <f>IF(Indice_index!$Z$1=1,"outubro","October")</f>
        <v>October</v>
      </c>
      <c r="E26" s="220">
        <v>759.60033234000014</v>
      </c>
      <c r="F26" s="220">
        <v>34.529866000000005</v>
      </c>
      <c r="G26" s="220">
        <v>528.31770842000003</v>
      </c>
      <c r="H26" s="220"/>
      <c r="I26" s="220">
        <v>1651.3280972899997</v>
      </c>
      <c r="J26" s="220">
        <v>15178.098152280003</v>
      </c>
      <c r="K26" s="220">
        <v>8102.44248358</v>
      </c>
      <c r="L26" s="220">
        <v>91.971836099999976</v>
      </c>
      <c r="M26" s="220">
        <v>373.60997889999999</v>
      </c>
      <c r="N26" s="220"/>
      <c r="O26" s="220">
        <v>640.63912564999998</v>
      </c>
      <c r="P26" s="220">
        <v>40.142481789999998</v>
      </c>
      <c r="Q26" s="220">
        <v>2912.92354776</v>
      </c>
      <c r="R26" s="220">
        <v>143.17759622</v>
      </c>
      <c r="S26" s="220">
        <v>1147.4431072800003</v>
      </c>
      <c r="T26" s="220"/>
      <c r="U26" s="220">
        <v>64.381446980000007</v>
      </c>
      <c r="V26" s="220">
        <v>0</v>
      </c>
      <c r="W26" s="220">
        <v>10.382386970000001</v>
      </c>
      <c r="X26" s="221"/>
      <c r="Y26" s="112">
        <f t="shared" si="2"/>
        <v>31678.988147560005</v>
      </c>
      <c r="Z26" s="94"/>
    </row>
    <row r="27" spans="1:26" s="96" customFormat="1">
      <c r="B27" s="106"/>
      <c r="C27" s="109"/>
      <c r="D27" s="109" t="str">
        <f>IF(Indice_index!$Z$1=1,"novembro","November")</f>
        <v>November</v>
      </c>
      <c r="E27" s="220">
        <v>838.83334218999994</v>
      </c>
      <c r="F27" s="220">
        <v>45.697901190000003</v>
      </c>
      <c r="G27" s="220">
        <v>616.04943789999993</v>
      </c>
      <c r="H27" s="220"/>
      <c r="I27" s="220">
        <v>1895.1770054399999</v>
      </c>
      <c r="J27" s="220">
        <v>16754.079271500003</v>
      </c>
      <c r="K27" s="220">
        <v>9539.7070199799982</v>
      </c>
      <c r="L27" s="220">
        <v>107.92828315000003</v>
      </c>
      <c r="M27" s="220">
        <v>419.26833692999998</v>
      </c>
      <c r="N27" s="220"/>
      <c r="O27" s="220">
        <v>723.13812383000015</v>
      </c>
      <c r="P27" s="220">
        <v>44.95911211</v>
      </c>
      <c r="Q27" s="220">
        <v>3179.3848603200004</v>
      </c>
      <c r="R27" s="220">
        <v>162.71680960999996</v>
      </c>
      <c r="S27" s="220">
        <v>1312.9813207300006</v>
      </c>
      <c r="T27" s="220"/>
      <c r="U27" s="220">
        <v>75.981381610000014</v>
      </c>
      <c r="V27" s="220">
        <v>0</v>
      </c>
      <c r="W27" s="220">
        <v>11.34762317</v>
      </c>
      <c r="X27" s="221"/>
      <c r="Y27" s="112">
        <f t="shared" si="2"/>
        <v>35727.249829660002</v>
      </c>
      <c r="Z27" s="94"/>
    </row>
    <row r="28" spans="1:26" s="112" customFormat="1">
      <c r="B28" s="220"/>
      <c r="C28" s="109"/>
      <c r="D28" s="109" t="str">
        <f>IF(Indice_index!$Z$1=1,"dezembro","December")</f>
        <v>December</v>
      </c>
      <c r="E28" s="220">
        <v>998.39032890244744</v>
      </c>
      <c r="F28" s="220">
        <v>61.492074720000005</v>
      </c>
      <c r="G28" s="220">
        <v>701.02446112999996</v>
      </c>
      <c r="H28" s="220"/>
      <c r="I28" s="220">
        <v>2185.6311280500008</v>
      </c>
      <c r="J28" s="220">
        <v>19087.668375729994</v>
      </c>
      <c r="K28" s="220">
        <v>10300.319011469999</v>
      </c>
      <c r="L28" s="220">
        <v>131.84768283</v>
      </c>
      <c r="M28" s="220">
        <v>488.37009010000003</v>
      </c>
      <c r="N28" s="220"/>
      <c r="O28" s="220">
        <v>910.89218042999937</v>
      </c>
      <c r="P28" s="220">
        <v>209.97343194000001</v>
      </c>
      <c r="Q28" s="220">
        <v>3764.2069835499997</v>
      </c>
      <c r="R28" s="220">
        <v>205.63942843999999</v>
      </c>
      <c r="S28" s="220">
        <v>1890.6107920775528</v>
      </c>
      <c r="T28" s="220"/>
      <c r="U28" s="220">
        <v>85.841491100000013</v>
      </c>
      <c r="V28" s="220">
        <v>0</v>
      </c>
      <c r="W28" s="220">
        <v>16.56394959</v>
      </c>
      <c r="X28" s="221"/>
      <c r="Y28" s="112">
        <f>IF(SUM(E28:W28)=0,"",SUM(E28:W28))</f>
        <v>41038.471410059996</v>
      </c>
      <c r="Z28" s="361"/>
    </row>
    <row r="29" spans="1:26" s="96" customFormat="1">
      <c r="A29" s="112"/>
      <c r="B29" s="220"/>
      <c r="C29" s="103" t="s">
        <v>127</v>
      </c>
      <c r="D29" s="109"/>
      <c r="E29" s="253"/>
      <c r="F29" s="253"/>
      <c r="G29" s="253"/>
      <c r="H29" s="254"/>
      <c r="I29" s="253"/>
      <c r="J29" s="253"/>
      <c r="K29" s="253"/>
      <c r="L29" s="253"/>
      <c r="M29" s="253"/>
      <c r="N29" s="109"/>
      <c r="O29" s="253"/>
      <c r="P29" s="253"/>
      <c r="Q29" s="253"/>
      <c r="R29" s="253"/>
      <c r="S29" s="253"/>
      <c r="T29" s="112"/>
      <c r="U29" s="112"/>
      <c r="V29" s="112"/>
      <c r="W29" s="112"/>
      <c r="X29" s="221"/>
      <c r="Y29" s="112" t="str">
        <f t="shared" ref="Y29:Y40" si="3">IF(SUM(E29:W29)=0,"",SUM(E29:W29))</f>
        <v/>
      </c>
      <c r="Z29" s="361"/>
    </row>
    <row r="30" spans="1:26" s="96" customFormat="1">
      <c r="A30" s="112"/>
      <c r="B30" s="220"/>
      <c r="C30" s="109"/>
      <c r="D30" s="109" t="str">
        <f>IF(Indice_index!$Z$1=1,"janeiro","January")</f>
        <v>January</v>
      </c>
      <c r="E30" s="220">
        <v>54.316564149999991</v>
      </c>
      <c r="F30" s="220">
        <v>0.43182395999999984</v>
      </c>
      <c r="G30" s="220">
        <v>43.022022300000003</v>
      </c>
      <c r="H30" s="220"/>
      <c r="I30" s="220">
        <v>104.29545271999997</v>
      </c>
      <c r="J30" s="220">
        <v>1384.33992896</v>
      </c>
      <c r="K30" s="220">
        <v>611.81737363000013</v>
      </c>
      <c r="L30" s="220">
        <v>5.1225943300000001</v>
      </c>
      <c r="M30" s="220">
        <v>22.205789879999994</v>
      </c>
      <c r="N30" s="220"/>
      <c r="O30" s="220">
        <v>57.502368770000011</v>
      </c>
      <c r="P30" s="220">
        <v>3.5668734699999995</v>
      </c>
      <c r="Q30" s="220">
        <v>93.629460489999985</v>
      </c>
      <c r="R30" s="220">
        <v>12.500997759999997</v>
      </c>
      <c r="S30" s="220">
        <v>77.485967720000005</v>
      </c>
      <c r="T30" s="220"/>
      <c r="U30" s="220">
        <v>1.1255133599999998</v>
      </c>
      <c r="V30" s="220">
        <v>0</v>
      </c>
      <c r="W30" s="220">
        <v>0.8461306500000001</v>
      </c>
      <c r="X30" s="221"/>
      <c r="Y30" s="112">
        <f t="shared" si="3"/>
        <v>2472.2088621499993</v>
      </c>
      <c r="Z30" s="361"/>
    </row>
    <row r="31" spans="1:26" s="96" customFormat="1">
      <c r="B31" s="106"/>
      <c r="C31" s="109"/>
      <c r="D31" s="109" t="str">
        <f>IF(Indice_index!$Z$1=1,"fevereiro","February")</f>
        <v>February</v>
      </c>
      <c r="E31" s="220">
        <v>122.37294499999997</v>
      </c>
      <c r="F31" s="220">
        <v>2.9506349600000008</v>
      </c>
      <c r="G31" s="220">
        <v>94.628574270000001</v>
      </c>
      <c r="H31" s="220"/>
      <c r="I31" s="220">
        <v>249.09889607000002</v>
      </c>
      <c r="J31" s="220">
        <v>2892.7314205299999</v>
      </c>
      <c r="K31" s="220">
        <v>1356.2246231200002</v>
      </c>
      <c r="L31" s="220">
        <v>13.157239540000003</v>
      </c>
      <c r="M31" s="220">
        <v>50.528968359999993</v>
      </c>
      <c r="N31" s="220"/>
      <c r="O31" s="220">
        <v>109.37985184000001</v>
      </c>
      <c r="P31" s="220">
        <v>7.7297518199999997</v>
      </c>
      <c r="Q31" s="220">
        <v>615.27147876000004</v>
      </c>
      <c r="R31" s="220">
        <v>35.84093489</v>
      </c>
      <c r="S31" s="220">
        <v>179.76875412000001</v>
      </c>
      <c r="T31" s="220"/>
      <c r="U31" s="220">
        <v>1.5532753300000002</v>
      </c>
      <c r="V31" s="220">
        <v>0</v>
      </c>
      <c r="W31" s="220">
        <v>1.5945235399999997</v>
      </c>
      <c r="X31" s="269"/>
      <c r="Y31" s="112">
        <f t="shared" si="3"/>
        <v>5732.8318721500018</v>
      </c>
      <c r="Z31" s="94"/>
    </row>
    <row r="32" spans="1:26" s="96" customFormat="1">
      <c r="B32" s="106"/>
      <c r="C32" s="109"/>
      <c r="D32" s="109" t="str">
        <f>IF(Indice_index!$Z$1=1,"março","March")</f>
        <v>March</v>
      </c>
      <c r="E32" s="220">
        <v>183.38018456</v>
      </c>
      <c r="F32" s="220">
        <v>6.4610291599999998</v>
      </c>
      <c r="G32" s="220">
        <v>152.38882350000003</v>
      </c>
      <c r="H32" s="220"/>
      <c r="I32" s="220">
        <v>408.20272893000003</v>
      </c>
      <c r="J32" s="220">
        <v>4422.7309483700001</v>
      </c>
      <c r="K32" s="220">
        <v>2086.0379713900002</v>
      </c>
      <c r="L32" s="220">
        <v>26.182309419999999</v>
      </c>
      <c r="M32" s="220">
        <v>82.506241529999997</v>
      </c>
      <c r="N32" s="220"/>
      <c r="O32" s="220">
        <v>156.41106091000003</v>
      </c>
      <c r="P32" s="220">
        <v>11.3781932</v>
      </c>
      <c r="Q32" s="220">
        <v>813.05526726999983</v>
      </c>
      <c r="R32" s="220">
        <v>47.530063380000001</v>
      </c>
      <c r="S32" s="220">
        <v>304.34090408000009</v>
      </c>
      <c r="T32" s="220"/>
      <c r="U32" s="220">
        <v>2.5515908700000001</v>
      </c>
      <c r="V32" s="220">
        <v>0</v>
      </c>
      <c r="W32" s="220">
        <v>2.8365679199999998</v>
      </c>
      <c r="X32" s="221"/>
      <c r="Y32" s="112">
        <f t="shared" si="3"/>
        <v>8705.9938844899989</v>
      </c>
      <c r="Z32" s="94"/>
    </row>
    <row r="33" spans="2:26" s="96" customFormat="1">
      <c r="B33" s="106"/>
      <c r="C33" s="109"/>
      <c r="D33" s="109" t="str">
        <f>IF(Indice_index!$Z$1=1,"abril","April")</f>
        <v>April</v>
      </c>
      <c r="E33" s="220">
        <v>256.26036690335627</v>
      </c>
      <c r="F33" s="220">
        <v>8.3201054199999991</v>
      </c>
      <c r="G33" s="220">
        <v>212.50846442</v>
      </c>
      <c r="H33" s="220"/>
      <c r="I33" s="220">
        <v>580.86983258000009</v>
      </c>
      <c r="J33" s="220">
        <v>5945.0569788699977</v>
      </c>
      <c r="K33" s="220">
        <v>2812.7206764000007</v>
      </c>
      <c r="L33" s="220">
        <v>40.737375576643714</v>
      </c>
      <c r="M33" s="220">
        <v>119.78055476999998</v>
      </c>
      <c r="N33" s="220"/>
      <c r="O33" s="220">
        <v>181.15898801999995</v>
      </c>
      <c r="P33" s="220">
        <v>14.90137768</v>
      </c>
      <c r="Q33" s="220">
        <v>1111.0185356700001</v>
      </c>
      <c r="R33" s="220">
        <v>63.026130810000019</v>
      </c>
      <c r="S33" s="220">
        <v>445.13582014999992</v>
      </c>
      <c r="T33" s="220"/>
      <c r="U33" s="220">
        <v>3.0659432200000003</v>
      </c>
      <c r="V33" s="220">
        <v>0</v>
      </c>
      <c r="W33" s="220">
        <v>3.77033883</v>
      </c>
      <c r="X33" s="221"/>
      <c r="Y33" s="112">
        <f t="shared" si="3"/>
        <v>11798.33148932</v>
      </c>
      <c r="Z33" s="94"/>
    </row>
    <row r="34" spans="2:26" s="96" customFormat="1">
      <c r="B34" s="106"/>
      <c r="C34" s="109"/>
      <c r="D34" s="109" t="str">
        <f>IF(Indice_index!$Z$1=1,"maio","May")</f>
        <v>May</v>
      </c>
      <c r="E34" s="220">
        <v>337.49844521999995</v>
      </c>
      <c r="F34" s="220">
        <v>14.808004890000001</v>
      </c>
      <c r="G34" s="220">
        <v>270.13290363999994</v>
      </c>
      <c r="H34" s="220"/>
      <c r="I34" s="220">
        <v>772.96014945000002</v>
      </c>
      <c r="J34" s="220">
        <v>7461.8428692300013</v>
      </c>
      <c r="K34" s="220">
        <v>3541.2206338800006</v>
      </c>
      <c r="L34" s="220">
        <v>59.479668079999989</v>
      </c>
      <c r="M34" s="220">
        <v>164.07312381000003</v>
      </c>
      <c r="N34" s="220"/>
      <c r="O34" s="220">
        <v>239.52599848000006</v>
      </c>
      <c r="P34" s="220">
        <v>19.807668580000001</v>
      </c>
      <c r="Q34" s="220">
        <v>1270.9555712300003</v>
      </c>
      <c r="R34" s="220">
        <v>84.633436960000026</v>
      </c>
      <c r="S34" s="220">
        <v>577.87124478999976</v>
      </c>
      <c r="T34" s="220"/>
      <c r="U34" s="220">
        <v>3.8478553600000005</v>
      </c>
      <c r="V34" s="220">
        <v>0</v>
      </c>
      <c r="W34" s="220">
        <v>4.2519523000000001</v>
      </c>
      <c r="X34" s="221"/>
      <c r="Y34" s="112">
        <f t="shared" si="3"/>
        <v>14822.909525900001</v>
      </c>
      <c r="Z34" s="94"/>
    </row>
    <row r="35" spans="2:26" s="96" customFormat="1">
      <c r="B35" s="106"/>
      <c r="C35" s="109"/>
      <c r="D35" s="109" t="str">
        <f>IF(Indice_index!$Z$1=1,"junho","June")</f>
        <v>June</v>
      </c>
      <c r="E35" s="220"/>
      <c r="F35" s="220"/>
      <c r="G35" s="220"/>
      <c r="H35" s="220"/>
      <c r="I35" s="220"/>
      <c r="J35" s="220"/>
      <c r="K35" s="220"/>
      <c r="L35" s="220"/>
      <c r="M35" s="220"/>
      <c r="N35" s="220"/>
      <c r="O35" s="220"/>
      <c r="P35" s="220"/>
      <c r="Q35" s="220"/>
      <c r="R35" s="220"/>
      <c r="S35" s="220"/>
      <c r="T35" s="220"/>
      <c r="U35" s="220"/>
      <c r="V35" s="220"/>
      <c r="W35" s="220"/>
      <c r="X35" s="221"/>
      <c r="Y35" s="112" t="str">
        <f t="shared" si="3"/>
        <v/>
      </c>
      <c r="Z35" s="94"/>
    </row>
    <row r="36" spans="2:26" s="96" customFormat="1">
      <c r="B36" s="106"/>
      <c r="C36" s="109"/>
      <c r="D36" s="109" t="str">
        <f>IF(Indice_index!$Z$1=1,"julho","July")</f>
        <v>July</v>
      </c>
      <c r="E36" s="220"/>
      <c r="F36" s="220"/>
      <c r="G36" s="220"/>
      <c r="H36" s="220"/>
      <c r="I36" s="220"/>
      <c r="J36" s="220"/>
      <c r="K36" s="220"/>
      <c r="L36" s="220"/>
      <c r="M36" s="220"/>
      <c r="N36" s="220"/>
      <c r="O36" s="220"/>
      <c r="P36" s="220"/>
      <c r="Q36" s="220"/>
      <c r="R36" s="220"/>
      <c r="S36" s="220"/>
      <c r="T36" s="220"/>
      <c r="U36" s="220"/>
      <c r="V36" s="220"/>
      <c r="W36" s="220"/>
      <c r="X36" s="221"/>
      <c r="Y36" s="112" t="str">
        <f t="shared" si="3"/>
        <v/>
      </c>
      <c r="Z36" s="94"/>
    </row>
    <row r="37" spans="2:26" s="96" customFormat="1">
      <c r="B37" s="106"/>
      <c r="C37" s="109"/>
      <c r="D37" s="109" t="str">
        <f>IF(Indice_index!$Z$1=1,"agosto","August")</f>
        <v>August</v>
      </c>
      <c r="E37" s="220"/>
      <c r="F37" s="220"/>
      <c r="G37" s="220"/>
      <c r="H37" s="220"/>
      <c r="I37" s="220"/>
      <c r="J37" s="220"/>
      <c r="K37" s="220"/>
      <c r="L37" s="220"/>
      <c r="M37" s="220"/>
      <c r="N37" s="220"/>
      <c r="O37" s="220"/>
      <c r="P37" s="220"/>
      <c r="Q37" s="220"/>
      <c r="R37" s="220"/>
      <c r="S37" s="220"/>
      <c r="T37" s="220"/>
      <c r="U37" s="220"/>
      <c r="V37" s="220"/>
      <c r="W37" s="220"/>
      <c r="X37" s="221"/>
      <c r="Y37" s="112" t="str">
        <f t="shared" si="3"/>
        <v/>
      </c>
      <c r="Z37" s="94"/>
    </row>
    <row r="38" spans="2:26" s="96" customFormat="1">
      <c r="B38" s="106"/>
      <c r="C38" s="109"/>
      <c r="D38" s="109" t="str">
        <f>IF(Indice_index!$Z$1=1,"setembro","September")</f>
        <v>September</v>
      </c>
      <c r="E38" s="220"/>
      <c r="F38" s="220"/>
      <c r="G38" s="220"/>
      <c r="H38" s="220"/>
      <c r="I38" s="220"/>
      <c r="J38" s="220"/>
      <c r="K38" s="220"/>
      <c r="L38" s="220"/>
      <c r="M38" s="220"/>
      <c r="N38" s="220"/>
      <c r="O38" s="220"/>
      <c r="P38" s="220"/>
      <c r="Q38" s="220"/>
      <c r="R38" s="220"/>
      <c r="S38" s="220"/>
      <c r="T38" s="220"/>
      <c r="U38" s="220"/>
      <c r="V38" s="220"/>
      <c r="W38" s="220"/>
      <c r="X38" s="221"/>
      <c r="Y38" s="112" t="str">
        <f t="shared" si="3"/>
        <v/>
      </c>
      <c r="Z38" s="94"/>
    </row>
    <row r="39" spans="2:26" s="96" customFormat="1">
      <c r="B39" s="106"/>
      <c r="C39" s="109"/>
      <c r="D39" s="109" t="str">
        <f>IF(Indice_index!$Z$1=1,"outubro","October")</f>
        <v>October</v>
      </c>
      <c r="E39" s="220"/>
      <c r="F39" s="220"/>
      <c r="G39" s="220"/>
      <c r="H39" s="220"/>
      <c r="I39" s="220"/>
      <c r="J39" s="220"/>
      <c r="K39" s="220"/>
      <c r="L39" s="220"/>
      <c r="M39" s="220"/>
      <c r="N39" s="220"/>
      <c r="O39" s="220"/>
      <c r="P39" s="220"/>
      <c r="Q39" s="220"/>
      <c r="R39" s="220"/>
      <c r="S39" s="220"/>
      <c r="T39" s="220"/>
      <c r="U39" s="220"/>
      <c r="V39" s="220"/>
      <c r="W39" s="220"/>
      <c r="X39" s="221"/>
      <c r="Y39" s="112" t="str">
        <f t="shared" si="3"/>
        <v/>
      </c>
      <c r="Z39" s="94"/>
    </row>
    <row r="40" spans="2:26" s="96" customFormat="1">
      <c r="B40" s="106"/>
      <c r="C40" s="109"/>
      <c r="D40" s="109" t="str">
        <f>IF(Indice_index!$Z$1=1,"novembro","November")</f>
        <v>November</v>
      </c>
      <c r="E40" s="220"/>
      <c r="F40" s="220"/>
      <c r="G40" s="220"/>
      <c r="H40" s="220"/>
      <c r="I40" s="220"/>
      <c r="J40" s="220"/>
      <c r="K40" s="220"/>
      <c r="L40" s="220"/>
      <c r="M40" s="220"/>
      <c r="N40" s="220"/>
      <c r="O40" s="220"/>
      <c r="P40" s="220"/>
      <c r="Q40" s="220"/>
      <c r="R40" s="220"/>
      <c r="S40" s="220"/>
      <c r="T40" s="220"/>
      <c r="U40" s="220"/>
      <c r="V40" s="220"/>
      <c r="W40" s="220"/>
      <c r="X40" s="221"/>
      <c r="Y40" s="112" t="str">
        <f t="shared" si="3"/>
        <v/>
      </c>
      <c r="Z40" s="94"/>
    </row>
    <row r="41" spans="2:26" s="96" customFormat="1">
      <c r="B41" s="106"/>
      <c r="C41" s="324"/>
      <c r="D41" s="324" t="str">
        <f>IF(Indice_index!$Z$1=1,"dezembro","December")</f>
        <v>December</v>
      </c>
      <c r="E41" s="325"/>
      <c r="F41" s="325"/>
      <c r="G41" s="325"/>
      <c r="H41" s="325"/>
      <c r="I41" s="325"/>
      <c r="J41" s="325"/>
      <c r="K41" s="325"/>
      <c r="L41" s="325"/>
      <c r="M41" s="325"/>
      <c r="N41" s="325"/>
      <c r="O41" s="325"/>
      <c r="P41" s="325"/>
      <c r="Q41" s="325"/>
      <c r="R41" s="325"/>
      <c r="S41" s="325"/>
      <c r="T41" s="325"/>
      <c r="U41" s="325"/>
      <c r="V41" s="325"/>
      <c r="W41" s="325"/>
      <c r="X41" s="326"/>
      <c r="Y41" s="327" t="str">
        <f>IF(SUM(E41:W41)=0,"",SUM(E41:W41))</f>
        <v/>
      </c>
      <c r="Z41" s="94"/>
    </row>
  </sheetData>
  <mergeCells count="4">
    <mergeCell ref="E5:G5"/>
    <mergeCell ref="I5:M5"/>
    <mergeCell ref="O5:S5"/>
    <mergeCell ref="U5:W5"/>
  </mergeCells>
  <printOptions horizontalCentered="1"/>
  <pageMargins left="0.25" right="0.25" top="0.75" bottom="0.75" header="0.3" footer="0.3"/>
  <pageSetup paperSize="9" scale="61" orientation="landscape" r:id="rId1"/>
  <headerFooter>
    <oddHeader>&amp;L&amp;G</oddHeader>
  </headerFooter>
  <ignoredErrors>
    <ignoredError sqref="C9:C10 C11:C12 C13 C14:C16 C29" numberStoredAsText="1"/>
    <ignoredError sqref="Y12" formula="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GQ70"/>
  <sheetViews>
    <sheetView showGridLines="0" showZeros="0" zoomScale="80" zoomScaleNormal="80" workbookViewId="0">
      <pane xSplit="3" ySplit="7" topLeftCell="D8" activePane="bottomRight" state="frozen"/>
      <selection pane="topRight" activeCell="D1" sqref="D1"/>
      <selection pane="bottomLeft" activeCell="A8" sqref="A8"/>
      <selection pane="bottomRight" activeCell="B2" sqref="B2"/>
    </sheetView>
  </sheetViews>
  <sheetFormatPr defaultRowHeight="12"/>
  <cols>
    <col min="1" max="1" width="2.5703125" style="123" customWidth="1"/>
    <col min="2" max="2" width="4.7109375" style="123" customWidth="1"/>
    <col min="3" max="3" width="33.7109375" style="123" customWidth="1"/>
    <col min="4" max="21" width="13.7109375" style="123" customWidth="1"/>
    <col min="22" max="22" width="2.7109375" style="123" customWidth="1"/>
    <col min="23" max="36" width="13.7109375" style="123" customWidth="1"/>
    <col min="37" max="37" width="11.85546875" style="123" customWidth="1"/>
    <col min="38" max="40" width="13.7109375" style="123" customWidth="1"/>
    <col min="41" max="41" width="2.7109375" style="123" customWidth="1"/>
    <col min="42" max="59" width="13.7109375" style="123" customWidth="1"/>
    <col min="60" max="60" width="12.5703125" style="124" bestFit="1" customWidth="1"/>
    <col min="61" max="61" width="14.85546875" style="124" bestFit="1" customWidth="1"/>
    <col min="62" max="62" width="22.28515625" style="124" customWidth="1"/>
    <col min="63" max="66" width="9.140625" style="137"/>
    <col min="67" max="69" width="9.140625" style="138" customWidth="1"/>
    <col min="70" max="70" width="9.140625" style="137" customWidth="1"/>
    <col min="71" max="75" width="9.140625" style="137"/>
    <col min="76" max="16384" width="9.140625" style="123"/>
  </cols>
  <sheetData>
    <row r="1" spans="2:85" s="2" customFormat="1" ht="37.5" customHeight="1">
      <c r="B1" s="1"/>
      <c r="C1" s="1"/>
      <c r="H1" s="3"/>
      <c r="I1" s="3"/>
      <c r="T1" s="247"/>
      <c r="BH1" s="141"/>
      <c r="BI1" s="141"/>
      <c r="BJ1" s="141"/>
      <c r="BK1" s="136"/>
      <c r="BL1" s="136"/>
      <c r="BM1" s="136"/>
      <c r="BN1" s="136"/>
      <c r="BO1" s="136"/>
      <c r="BP1" s="136"/>
      <c r="BQ1" s="136"/>
      <c r="BR1" s="136"/>
      <c r="BS1" s="136"/>
      <c r="BT1" s="136"/>
      <c r="BU1" s="136"/>
      <c r="BV1" s="136"/>
      <c r="BW1" s="136"/>
      <c r="BX1"/>
      <c r="BY1"/>
      <c r="BZ1"/>
      <c r="CA1"/>
      <c r="CB1"/>
      <c r="CC1"/>
      <c r="CD1"/>
      <c r="CE1"/>
      <c r="CF1"/>
      <c r="CG1"/>
    </row>
    <row r="2" spans="2:85" ht="22.5" customHeight="1" thickBot="1">
      <c r="B2" s="89" t="s">
        <v>8</v>
      </c>
      <c r="C2" s="401" t="str">
        <f>IF(Indice_index!$Z$1=1,"6 - Despesa do subsetor dos Serviços e Fundos Autónomos - Classificação Económica/Orgânica","6 - Autonomous Services and Funds - Economic/Organic Classification")</f>
        <v>6 - Autonomous Services and Funds - Economic/Organic Classification</v>
      </c>
      <c r="D2" s="401"/>
      <c r="E2" s="401"/>
      <c r="F2" s="401"/>
      <c r="G2" s="401"/>
      <c r="H2" s="401"/>
      <c r="I2" s="401"/>
      <c r="J2" s="401"/>
      <c r="K2" s="333"/>
      <c r="L2" s="333"/>
      <c r="M2" s="333"/>
      <c r="N2" s="333"/>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141"/>
      <c r="BI2" s="141"/>
      <c r="BJ2" s="141"/>
      <c r="BK2" s="136"/>
      <c r="BL2" s="136"/>
      <c r="BM2" s="136"/>
      <c r="BN2" s="136"/>
      <c r="BO2" s="136"/>
      <c r="BP2" s="136"/>
      <c r="BQ2" s="136"/>
      <c r="BR2" s="136"/>
      <c r="BS2" s="136"/>
      <c r="BT2" s="136"/>
      <c r="BU2" s="136"/>
      <c r="BV2" s="136"/>
      <c r="BW2" s="136"/>
      <c r="BX2"/>
      <c r="BY2"/>
      <c r="BZ2"/>
      <c r="CA2"/>
      <c r="CB2"/>
      <c r="CC2"/>
      <c r="CD2"/>
      <c r="CE2"/>
      <c r="CF2"/>
      <c r="CG2"/>
    </row>
    <row r="3" spans="2:85" ht="12.75">
      <c r="D3" s="2"/>
      <c r="E3" s="2"/>
      <c r="F3" s="2"/>
      <c r="I3" s="125"/>
      <c r="BH3" s="141"/>
      <c r="BI3" s="141"/>
      <c r="BJ3" s="141"/>
      <c r="BK3" s="136"/>
      <c r="BL3" s="136"/>
      <c r="BM3" s="136"/>
      <c r="BN3" s="136"/>
      <c r="BO3" s="136"/>
      <c r="BP3" s="136"/>
      <c r="BQ3" s="136"/>
      <c r="BR3" s="136"/>
      <c r="BS3" s="136"/>
      <c r="BT3" s="136"/>
      <c r="BU3" s="136"/>
      <c r="BV3" s="136"/>
      <c r="BW3" s="136"/>
      <c r="BX3"/>
      <c r="BY3"/>
      <c r="BZ3"/>
      <c r="CA3"/>
      <c r="CB3"/>
      <c r="CC3"/>
      <c r="CD3"/>
      <c r="CE3"/>
      <c r="CF3"/>
      <c r="CG3"/>
    </row>
    <row r="4" spans="2:85" ht="12.75">
      <c r="F4" s="125"/>
      <c r="I4" s="125"/>
      <c r="BH4" s="141"/>
      <c r="BI4" s="141"/>
      <c r="BJ4" s="141"/>
      <c r="BK4" s="136"/>
      <c r="BL4" s="136"/>
      <c r="BM4" s="136"/>
      <c r="BN4" s="136"/>
      <c r="BO4" s="136"/>
      <c r="BP4" s="136"/>
      <c r="BQ4" s="136"/>
      <c r="BR4" s="136"/>
      <c r="BS4" s="136"/>
      <c r="BT4" s="136"/>
      <c r="BU4" s="136"/>
      <c r="BV4" s="136"/>
      <c r="BW4" s="136"/>
      <c r="BX4"/>
      <c r="BY4"/>
      <c r="BZ4"/>
      <c r="CA4"/>
      <c r="CB4"/>
      <c r="CC4"/>
      <c r="CD4"/>
      <c r="CE4"/>
      <c r="CF4"/>
      <c r="CG4"/>
    </row>
    <row r="5" spans="2:85" ht="13.9" customHeight="1">
      <c r="C5" s="245" t="str">
        <f>+'4 - Estado - orgânica'!C5</f>
        <v>(Period: January to May)</v>
      </c>
      <c r="D5" s="142"/>
      <c r="E5" s="142"/>
      <c r="F5" s="142"/>
      <c r="G5" s="142"/>
      <c r="H5" s="142"/>
      <c r="I5" s="142"/>
      <c r="J5" s="142"/>
      <c r="K5" s="142"/>
      <c r="L5" s="142"/>
      <c r="M5" s="142"/>
      <c r="N5" s="142"/>
      <c r="O5" s="142"/>
      <c r="P5" s="142"/>
      <c r="Q5" s="142"/>
      <c r="R5" s="142"/>
      <c r="S5" s="142"/>
      <c r="T5" s="142"/>
      <c r="U5" s="189" t="str">
        <f>IF(Indice_index!$Z$1=1,"€ Milhões","€ Million")</f>
        <v>€ Million</v>
      </c>
      <c r="V5" s="142"/>
      <c r="W5" s="142"/>
      <c r="X5" s="142"/>
      <c r="Y5" s="142"/>
      <c r="Z5" s="142"/>
      <c r="AA5" s="142"/>
      <c r="AB5" s="142"/>
      <c r="AC5" s="142"/>
      <c r="AD5" s="142"/>
      <c r="AE5" s="142"/>
      <c r="AF5" s="142"/>
      <c r="AG5" s="142"/>
      <c r="AH5" s="142"/>
      <c r="AI5" s="142"/>
      <c r="AJ5" s="142"/>
      <c r="AK5" s="142"/>
      <c r="AL5" s="142"/>
      <c r="AM5" s="142"/>
      <c r="AN5" s="189" t="str">
        <f>IF(Indice_index!$Z$1=1,"€ Milhões","€ Million")</f>
        <v>€ Million</v>
      </c>
      <c r="AO5" s="142"/>
      <c r="AP5" s="142"/>
      <c r="AQ5" s="142"/>
      <c r="AR5" s="142"/>
      <c r="AS5" s="142"/>
      <c r="AT5" s="142"/>
      <c r="AU5" s="142"/>
      <c r="AV5" s="142"/>
      <c r="AW5" s="142"/>
      <c r="AX5" s="142"/>
      <c r="AY5" s="142"/>
      <c r="AZ5" s="142"/>
      <c r="BA5" s="142"/>
      <c r="BB5" s="142"/>
      <c r="BC5" s="142"/>
      <c r="BD5" s="142"/>
      <c r="BE5" s="142"/>
      <c r="BF5" s="142"/>
      <c r="BG5" s="142"/>
      <c r="BH5" s="141"/>
      <c r="BI5" s="141"/>
      <c r="BJ5" s="141"/>
      <c r="BK5" s="136"/>
      <c r="BL5" s="136"/>
      <c r="BM5" s="136"/>
      <c r="BN5" s="136"/>
      <c r="BO5" s="136"/>
      <c r="BP5" s="136"/>
      <c r="BQ5" s="136"/>
      <c r="BR5" s="136"/>
      <c r="BS5" s="136"/>
      <c r="BT5" s="136"/>
      <c r="BU5" s="136"/>
      <c r="BV5" s="136"/>
      <c r="BW5" s="136"/>
      <c r="BX5"/>
      <c r="BY5"/>
      <c r="BZ5"/>
      <c r="CA5"/>
      <c r="CB5"/>
      <c r="CC5"/>
      <c r="CD5"/>
      <c r="CE5"/>
      <c r="CF5"/>
      <c r="CG5"/>
    </row>
    <row r="6" spans="2:85" ht="12.75">
      <c r="C6" s="143"/>
      <c r="D6" s="402">
        <f>'4 - Estado - orgânica'!D6:U6</f>
        <v>2019</v>
      </c>
      <c r="E6" s="402"/>
      <c r="F6" s="402"/>
      <c r="G6" s="402"/>
      <c r="H6" s="402"/>
      <c r="I6" s="402"/>
      <c r="J6" s="402"/>
      <c r="K6" s="402"/>
      <c r="L6" s="402"/>
      <c r="M6" s="402"/>
      <c r="N6" s="402"/>
      <c r="O6" s="402"/>
      <c r="P6" s="402"/>
      <c r="Q6" s="402"/>
      <c r="R6" s="402"/>
      <c r="S6" s="402"/>
      <c r="T6" s="402"/>
      <c r="U6" s="402"/>
      <c r="V6" s="144"/>
      <c r="W6" s="402">
        <f>'4 - Estado - orgânica'!W6:AN6</f>
        <v>2018</v>
      </c>
      <c r="X6" s="402"/>
      <c r="Y6" s="402"/>
      <c r="Z6" s="402"/>
      <c r="AA6" s="402"/>
      <c r="AB6" s="402"/>
      <c r="AC6" s="402"/>
      <c r="AD6" s="402"/>
      <c r="AE6" s="402"/>
      <c r="AF6" s="402"/>
      <c r="AG6" s="402"/>
      <c r="AH6" s="402"/>
      <c r="AI6" s="402"/>
      <c r="AJ6" s="402"/>
      <c r="AK6" s="402"/>
      <c r="AL6" s="402"/>
      <c r="AM6" s="402"/>
      <c r="AN6" s="402"/>
      <c r="AO6" s="144"/>
      <c r="AP6" s="400" t="str">
        <f>IF(Indice_index!$Z$1=1,"VH (%)","YOY Change Rate (%)")</f>
        <v>YOY Change Rate (%)</v>
      </c>
      <c r="AQ6" s="400"/>
      <c r="AR6" s="400"/>
      <c r="AS6" s="400"/>
      <c r="AT6" s="400"/>
      <c r="AU6" s="400"/>
      <c r="AV6" s="400"/>
      <c r="AW6" s="400"/>
      <c r="AX6" s="400"/>
      <c r="AY6" s="400"/>
      <c r="AZ6" s="400"/>
      <c r="BA6" s="400"/>
      <c r="BB6" s="400"/>
      <c r="BC6" s="400"/>
      <c r="BD6" s="400"/>
      <c r="BE6" s="400"/>
      <c r="BF6" s="400"/>
      <c r="BG6" s="400"/>
      <c r="BH6" s="141"/>
      <c r="BI6" s="141"/>
      <c r="BJ6" s="141"/>
      <c r="BK6" s="136"/>
      <c r="BL6" s="136"/>
      <c r="BM6" s="136"/>
      <c r="BN6" s="136"/>
      <c r="BO6" s="136"/>
      <c r="BP6" s="136"/>
      <c r="BQ6" s="136"/>
      <c r="BR6" s="136"/>
      <c r="BS6" s="136"/>
      <c r="BT6" s="136"/>
      <c r="BU6" s="136"/>
      <c r="BV6" s="136"/>
      <c r="BW6" s="136"/>
      <c r="BX6"/>
      <c r="BY6"/>
      <c r="BZ6"/>
      <c r="CA6"/>
      <c r="CB6"/>
      <c r="CC6"/>
      <c r="CD6"/>
      <c r="CE6"/>
      <c r="CF6"/>
      <c r="CG6"/>
    </row>
    <row r="7" spans="2:85" ht="78.599999999999994" customHeight="1">
      <c r="C7" s="145"/>
      <c r="D7" s="146" t="s">
        <v>120</v>
      </c>
      <c r="E7" s="147" t="s">
        <v>121</v>
      </c>
      <c r="F7" s="146" t="s">
        <v>122</v>
      </c>
      <c r="G7" s="146" t="s">
        <v>98</v>
      </c>
      <c r="H7" s="146" t="s">
        <v>123</v>
      </c>
      <c r="I7" s="146" t="s">
        <v>124</v>
      </c>
      <c r="J7" s="146" t="s">
        <v>99</v>
      </c>
      <c r="K7" s="146" t="s">
        <v>100</v>
      </c>
      <c r="L7" s="146" t="s">
        <v>101</v>
      </c>
      <c r="M7" s="146" t="s">
        <v>125</v>
      </c>
      <c r="N7" s="146" t="s">
        <v>102</v>
      </c>
      <c r="O7" s="146" t="s">
        <v>103</v>
      </c>
      <c r="P7" s="247" t="s">
        <v>104</v>
      </c>
      <c r="Q7" s="247" t="s">
        <v>105</v>
      </c>
      <c r="R7" s="247" t="s">
        <v>106</v>
      </c>
      <c r="S7" s="248" t="s">
        <v>107</v>
      </c>
      <c r="T7" s="247" t="s">
        <v>108</v>
      </c>
      <c r="U7" s="146" t="s">
        <v>9</v>
      </c>
      <c r="V7" s="148"/>
      <c r="W7" s="146" t="s">
        <v>120</v>
      </c>
      <c r="X7" s="147" t="s">
        <v>121</v>
      </c>
      <c r="Y7" s="146" t="s">
        <v>122</v>
      </c>
      <c r="Z7" s="146" t="s">
        <v>98</v>
      </c>
      <c r="AA7" s="146" t="s">
        <v>123</v>
      </c>
      <c r="AB7" s="146" t="s">
        <v>124</v>
      </c>
      <c r="AC7" s="146" t="s">
        <v>99</v>
      </c>
      <c r="AD7" s="146" t="s">
        <v>100</v>
      </c>
      <c r="AE7" s="146" t="s">
        <v>101</v>
      </c>
      <c r="AF7" s="146" t="s">
        <v>125</v>
      </c>
      <c r="AG7" s="146" t="s">
        <v>102</v>
      </c>
      <c r="AH7" s="146" t="s">
        <v>103</v>
      </c>
      <c r="AI7" s="247" t="s">
        <v>104</v>
      </c>
      <c r="AJ7" s="247" t="s">
        <v>105</v>
      </c>
      <c r="AK7" s="247" t="s">
        <v>106</v>
      </c>
      <c r="AL7" s="248" t="s">
        <v>107</v>
      </c>
      <c r="AM7" s="247" t="s">
        <v>108</v>
      </c>
      <c r="AN7" s="146" t="s">
        <v>9</v>
      </c>
      <c r="AO7" s="148"/>
      <c r="AP7" s="146" t="s">
        <v>120</v>
      </c>
      <c r="AQ7" s="147" t="s">
        <v>121</v>
      </c>
      <c r="AR7" s="146" t="s">
        <v>122</v>
      </c>
      <c r="AS7" s="146" t="s">
        <v>98</v>
      </c>
      <c r="AT7" s="146" t="s">
        <v>123</v>
      </c>
      <c r="AU7" s="146" t="s">
        <v>124</v>
      </c>
      <c r="AV7" s="146" t="s">
        <v>99</v>
      </c>
      <c r="AW7" s="146" t="s">
        <v>100</v>
      </c>
      <c r="AX7" s="146" t="s">
        <v>101</v>
      </c>
      <c r="AY7" s="146" t="s">
        <v>125</v>
      </c>
      <c r="AZ7" s="146" t="s">
        <v>102</v>
      </c>
      <c r="BA7" s="146" t="s">
        <v>103</v>
      </c>
      <c r="BB7" s="247" t="s">
        <v>104</v>
      </c>
      <c r="BC7" s="247" t="s">
        <v>105</v>
      </c>
      <c r="BD7" s="247" t="s">
        <v>106</v>
      </c>
      <c r="BE7" s="248" t="s">
        <v>107</v>
      </c>
      <c r="BF7" s="247" t="s">
        <v>108</v>
      </c>
      <c r="BG7" s="146" t="s">
        <v>9</v>
      </c>
      <c r="BH7" s="150"/>
      <c r="BI7" s="150"/>
      <c r="BJ7" s="150"/>
      <c r="BK7" s="151"/>
      <c r="BL7" s="151"/>
      <c r="BM7" s="151"/>
      <c r="BN7" s="151"/>
    </row>
    <row r="8" spans="2:85" ht="12.75">
      <c r="C8" s="152" t="str">
        <f>IF(Indice_index!$Z$1=1,"Despesa corrente","Current Expenditure")</f>
        <v>Current Expenditure</v>
      </c>
      <c r="D8" s="228">
        <f t="shared" ref="D8:T8" si="0">+D9+D13+D16+D17+D24+D25</f>
        <v>102.59321372999999</v>
      </c>
      <c r="E8" s="228">
        <f t="shared" si="0"/>
        <v>22.132951500000001</v>
      </c>
      <c r="F8" s="228">
        <f t="shared" si="0"/>
        <v>46.111276119999992</v>
      </c>
      <c r="G8" s="228">
        <f t="shared" si="0"/>
        <v>110.66834087000001</v>
      </c>
      <c r="H8" s="228">
        <f t="shared" si="0"/>
        <v>54.574423469999999</v>
      </c>
      <c r="I8" s="228">
        <f t="shared" si="0"/>
        <v>37.173958020000001</v>
      </c>
      <c r="J8" s="228">
        <f t="shared" si="0"/>
        <v>168.73059585999999</v>
      </c>
      <c r="K8" s="228">
        <f t="shared" ref="K8:N8" si="1">+K9+K13+K16+K17+K24+K25</f>
        <v>132.94446114999997</v>
      </c>
      <c r="L8" s="228">
        <f t="shared" si="1"/>
        <v>694.20860084999993</v>
      </c>
      <c r="M8" s="228">
        <f t="shared" si="1"/>
        <v>115.97155431</v>
      </c>
      <c r="N8" s="228">
        <f t="shared" si="1"/>
        <v>3855.2744789599997</v>
      </c>
      <c r="O8" s="228">
        <f t="shared" si="0"/>
        <v>7408.4147551399992</v>
      </c>
      <c r="P8" s="228">
        <f t="shared" si="0"/>
        <v>458.33856490999995</v>
      </c>
      <c r="Q8" s="228">
        <f t="shared" si="0"/>
        <v>95.653823060000008</v>
      </c>
      <c r="R8" s="228">
        <f t="shared" si="0"/>
        <v>260.09092061000001</v>
      </c>
      <c r="S8" s="228">
        <f t="shared" si="0"/>
        <v>127.77849818</v>
      </c>
      <c r="T8" s="228">
        <f t="shared" si="0"/>
        <v>11.115911219999997</v>
      </c>
      <c r="U8" s="228">
        <f>+U9+U13+U16+U17+U24+U25</f>
        <v>13701.77632796</v>
      </c>
      <c r="V8" s="153"/>
      <c r="W8" s="228">
        <f t="shared" ref="W8:AM8" si="2">+W9+W13+W16+W17+W24+W25</f>
        <v>112.44875727</v>
      </c>
      <c r="X8" s="228">
        <f t="shared" si="2"/>
        <v>25.547380780000005</v>
      </c>
      <c r="Y8" s="228">
        <f t="shared" si="2"/>
        <v>42.516869019999994</v>
      </c>
      <c r="Z8" s="228">
        <f t="shared" si="2"/>
        <v>133.04145954000001</v>
      </c>
      <c r="AA8" s="228">
        <f t="shared" si="2"/>
        <v>52.44390691000001</v>
      </c>
      <c r="AB8" s="228">
        <f t="shared" si="2"/>
        <v>41.758464920000002</v>
      </c>
      <c r="AC8" s="228">
        <f t="shared" si="2"/>
        <v>127.06163145999997</v>
      </c>
      <c r="AD8" s="228">
        <f t="shared" ref="AD8:AG8" si="3">+AD9+AD13+AD16+AD17+AD24+AD25</f>
        <v>156.98969577000003</v>
      </c>
      <c r="AE8" s="228">
        <f t="shared" si="3"/>
        <v>661.60490082000001</v>
      </c>
      <c r="AF8" s="228">
        <f t="shared" si="3"/>
        <v>120.17666429000001</v>
      </c>
      <c r="AG8" s="228">
        <f t="shared" si="3"/>
        <v>3941.0592594800005</v>
      </c>
      <c r="AH8" s="228">
        <f t="shared" si="2"/>
        <v>7371.1571761200012</v>
      </c>
      <c r="AI8" s="228">
        <f t="shared" si="2"/>
        <v>428.65147571000006</v>
      </c>
      <c r="AJ8" s="228">
        <f t="shared" si="2"/>
        <v>79.408296349999986</v>
      </c>
      <c r="AK8" s="228">
        <f t="shared" si="2"/>
        <v>567.31779244999996</v>
      </c>
      <c r="AL8" s="228">
        <f t="shared" si="2"/>
        <v>159.70172649</v>
      </c>
      <c r="AM8" s="228">
        <f t="shared" si="2"/>
        <v>11.100027809999998</v>
      </c>
      <c r="AN8" s="228">
        <f>+AN9+AN13+AN16+AN17+AN24+AN25</f>
        <v>14031.98548519</v>
      </c>
      <c r="AO8" s="153"/>
      <c r="AP8" s="154">
        <f t="shared" ref="AP8:AP25" si="4">IF(W8=0,"-",IF((D8/W8)&gt;3,"-",((D8-W8)/W8)*100))</f>
        <v>-8.7644752856947363</v>
      </c>
      <c r="AQ8" s="154">
        <f t="shared" ref="AQ8:AQ25" si="5">IF(X8=0,"-",IF((E8/X8)&gt;3,"-",((E8-X8)/X8)*100))</f>
        <v>-13.365085483334639</v>
      </c>
      <c r="AR8" s="154">
        <f t="shared" ref="AR8:AR25" si="6">IF(Y8=0,"-",IF((F8/Y8)&gt;3,"-",((F8-Y8)/Y8)*100))</f>
        <v>8.4540728958879452</v>
      </c>
      <c r="AS8" s="154">
        <f t="shared" ref="AS8:AS25" si="7">IF(Z8=0,"-",IF((G8/Z8)&gt;3,"-",((G8-Z8)/Z8)*100))</f>
        <v>-16.816651551596468</v>
      </c>
      <c r="AT8" s="154">
        <f t="shared" ref="AT8:AT25" si="8">IF(AA8=0,"-",IF((H8/AA8)&gt;3,"-",((H8-AA8)/AA8)*100))</f>
        <v>4.0624672827221087</v>
      </c>
      <c r="AU8" s="154">
        <f t="shared" ref="AU8:AU25" si="9">IF(AB8=0,"-",IF((I8/AB8)&gt;3,"-",((I8-AB8)/AB8)*100))</f>
        <v>-10.978628905020585</v>
      </c>
      <c r="AV8" s="154">
        <f t="shared" ref="AV8:AV25" si="10">IF(AC8=0,"-",IF((J8/AC8)&gt;3,"-",((J8-AC8)/AC8)*100))</f>
        <v>32.794293541805928</v>
      </c>
      <c r="AW8" s="154">
        <f t="shared" ref="AW8:AW25" si="11">IF(AD8=0,"-",IF((K8/AD8)&gt;3,"-",((K8-AD8)/AD8)*100))</f>
        <v>-15.316441312955897</v>
      </c>
      <c r="AX8" s="154">
        <f t="shared" ref="AX8:AX25" si="12">IF(AE8=0,"-",IF((L8/AE8)&gt;3,"-",((L8-AE8)/AE8)*100))</f>
        <v>4.9279713601865023</v>
      </c>
      <c r="AY8" s="154">
        <f t="shared" ref="AY8:AY25" si="13">IF(AF8=0,"-",IF((M8/AF8)&gt;3,"-",((M8-AF8)/AF8)*100))</f>
        <v>-3.4991069229984557</v>
      </c>
      <c r="AZ8" s="154">
        <f t="shared" ref="AZ8:AZ25" si="14">IF(AG8=0,"-",IF((N8/AG8)&gt;3,"-",((N8-AG8)/AG8)*100))</f>
        <v>-2.1766934946144305</v>
      </c>
      <c r="BA8" s="154">
        <f t="shared" ref="BA8:BA25" si="15">IF(AH8=0,"-",IF((O8/AH8)&gt;3,"-",((O8-AH8)/AH8)*100))</f>
        <v>0.50545088280982142</v>
      </c>
      <c r="BB8" s="154">
        <f t="shared" ref="BB8:BB25" si="16">IF(AI8=0,"-",IF((P8/AI8)&gt;3,"-",((P8-AI8)/AI8)*100))</f>
        <v>6.9256939220441165</v>
      </c>
      <c r="BC8" s="154">
        <f t="shared" ref="BC8:BC25" si="17">IF(AJ8=0,"-",IF((Q8/AJ8)&gt;3,"-",((Q8-AJ8)/AJ8)*100))</f>
        <v>20.45822345614398</v>
      </c>
      <c r="BD8" s="154">
        <f t="shared" ref="BD8:BD25" si="18">IF(AK8=0,"-",IF((R8/AK8)&gt;3,"-",((R8-AK8)/AK8)*100))</f>
        <v>-54.154281062333695</v>
      </c>
      <c r="BE8" s="154">
        <f t="shared" ref="BE8:BE25" si="19">IF(AL8=0,"-",IF((S8/AL8)&gt;3,"-",((S8-AL8)/AL8)*100))</f>
        <v>-19.989281901720034</v>
      </c>
      <c r="BF8" s="154">
        <f t="shared" ref="BF8:BF25" si="20">IF(AM8=0,"-",IF((T8/AM8)&gt;3,"-",((T8-AM8)/AM8)*100))</f>
        <v>0.14309342527673302</v>
      </c>
      <c r="BG8" s="155">
        <f t="shared" ref="BG8:BG25" si="21">IF(AN8=0,"-",IF((U8/AN8)&gt;3,"-",((U8-AN8)/AN8)*100))</f>
        <v>-2.3532603962462582</v>
      </c>
      <c r="BH8" s="150"/>
      <c r="BI8" s="150"/>
      <c r="BJ8" s="150"/>
      <c r="BK8" s="151"/>
      <c r="BL8" s="151"/>
      <c r="BM8" s="151"/>
      <c r="BN8" s="151"/>
    </row>
    <row r="9" spans="2:85" ht="12.75">
      <c r="C9" s="156" t="str">
        <f>IF(Indice_index!$Z$1=1,"Despesas com o pessoal","Employees")</f>
        <v>Employees</v>
      </c>
      <c r="D9" s="229">
        <f t="shared" ref="D9:T9" si="22">SUM(D10:D12)</f>
        <v>80.388949279999977</v>
      </c>
      <c r="E9" s="229">
        <f t="shared" si="22"/>
        <v>13.137814050000003</v>
      </c>
      <c r="F9" s="229">
        <f t="shared" si="22"/>
        <v>20.518553960000002</v>
      </c>
      <c r="G9" s="229">
        <f t="shared" si="22"/>
        <v>28.697639009999996</v>
      </c>
      <c r="H9" s="229">
        <f t="shared" si="22"/>
        <v>37.375924099999999</v>
      </c>
      <c r="I9" s="229">
        <f t="shared" si="22"/>
        <v>4.67864287</v>
      </c>
      <c r="J9" s="229">
        <f t="shared" si="22"/>
        <v>10.41782096</v>
      </c>
      <c r="K9" s="229">
        <f t="shared" ref="K9:N9" si="23">SUM(K10:K12)</f>
        <v>48.308837389999987</v>
      </c>
      <c r="L9" s="229">
        <f t="shared" si="23"/>
        <v>497.0171278599999</v>
      </c>
      <c r="M9" s="229">
        <f t="shared" si="23"/>
        <v>13.0771224</v>
      </c>
      <c r="N9" s="229">
        <f t="shared" si="23"/>
        <v>115.44846931000001</v>
      </c>
      <c r="O9" s="229">
        <f t="shared" si="22"/>
        <v>1561.87690759</v>
      </c>
      <c r="P9" s="229">
        <f t="shared" si="22"/>
        <v>140.7193566</v>
      </c>
      <c r="Q9" s="229">
        <f t="shared" si="22"/>
        <v>20.920042350000003</v>
      </c>
      <c r="R9" s="229">
        <f t="shared" si="22"/>
        <v>56.852273699999998</v>
      </c>
      <c r="S9" s="229">
        <f t="shared" si="22"/>
        <v>30.723497560000006</v>
      </c>
      <c r="T9" s="229">
        <f t="shared" si="22"/>
        <v>5.0979172299999993</v>
      </c>
      <c r="U9" s="229">
        <f>SUM(U10:U12)</f>
        <v>2685.2568962199998</v>
      </c>
      <c r="V9" s="148"/>
      <c r="W9" s="229">
        <f t="shared" ref="W9:AM9" si="24">SUM(W10:W12)</f>
        <v>79.906196910000006</v>
      </c>
      <c r="X9" s="229">
        <f t="shared" si="24"/>
        <v>11.480512750000001</v>
      </c>
      <c r="Y9" s="229">
        <f t="shared" si="24"/>
        <v>20.641808830000002</v>
      </c>
      <c r="Z9" s="229">
        <f t="shared" si="24"/>
        <v>29.166767920000005</v>
      </c>
      <c r="AA9" s="229">
        <f t="shared" si="24"/>
        <v>30.970826490000007</v>
      </c>
      <c r="AB9" s="229">
        <f t="shared" si="24"/>
        <v>4.6682012099999994</v>
      </c>
      <c r="AC9" s="229">
        <f t="shared" si="24"/>
        <v>10.358254250000002</v>
      </c>
      <c r="AD9" s="229">
        <f t="shared" ref="AD9:AG9" si="25">SUM(AD10:AD12)</f>
        <v>47.009475989999999</v>
      </c>
      <c r="AE9" s="229">
        <f t="shared" si="25"/>
        <v>465.54903523999991</v>
      </c>
      <c r="AF9" s="229">
        <f t="shared" si="25"/>
        <v>16.04143346</v>
      </c>
      <c r="AG9" s="229">
        <f t="shared" si="25"/>
        <v>108.74665921</v>
      </c>
      <c r="AH9" s="229">
        <f t="shared" si="24"/>
        <v>1474.56331854</v>
      </c>
      <c r="AI9" s="229">
        <f t="shared" si="24"/>
        <v>135.53195446000001</v>
      </c>
      <c r="AJ9" s="229">
        <f t="shared" si="24"/>
        <v>21.329273049999998</v>
      </c>
      <c r="AK9" s="229">
        <f t="shared" si="24"/>
        <v>55.46722887</v>
      </c>
      <c r="AL9" s="229">
        <f t="shared" si="24"/>
        <v>29.277427499999998</v>
      </c>
      <c r="AM9" s="229">
        <f t="shared" si="24"/>
        <v>5.0740961900000006</v>
      </c>
      <c r="AN9" s="229">
        <f>SUM(AN10:AN12)</f>
        <v>2545.7824708699995</v>
      </c>
      <c r="AO9" s="148"/>
      <c r="AP9" s="157">
        <f t="shared" si="4"/>
        <v>0.60414885036226362</v>
      </c>
      <c r="AQ9" s="157">
        <f t="shared" si="5"/>
        <v>14.435777705137795</v>
      </c>
      <c r="AR9" s="157">
        <f t="shared" si="6"/>
        <v>-0.59711273859326897</v>
      </c>
      <c r="AS9" s="157">
        <f t="shared" si="7"/>
        <v>-1.6084363933870156</v>
      </c>
      <c r="AT9" s="157">
        <f t="shared" si="8"/>
        <v>20.681067752803099</v>
      </c>
      <c r="AU9" s="157">
        <f t="shared" si="9"/>
        <v>0.22367630550356193</v>
      </c>
      <c r="AV9" s="157">
        <f t="shared" si="10"/>
        <v>0.5750651467161908</v>
      </c>
      <c r="AW9" s="157">
        <f t="shared" si="11"/>
        <v>2.7640414461892582</v>
      </c>
      <c r="AX9" s="157">
        <f t="shared" si="12"/>
        <v>6.7593508391178503</v>
      </c>
      <c r="AY9" s="157">
        <f t="shared" si="13"/>
        <v>-18.479090833070725</v>
      </c>
      <c r="AZ9" s="157">
        <f t="shared" si="14"/>
        <v>6.1627733198296957</v>
      </c>
      <c r="BA9" s="157">
        <f t="shared" si="15"/>
        <v>5.9213183965847778</v>
      </c>
      <c r="BB9" s="157">
        <f t="shared" si="16"/>
        <v>3.8274384521850635</v>
      </c>
      <c r="BC9" s="157">
        <f t="shared" si="17"/>
        <v>-1.9186340717786201</v>
      </c>
      <c r="BD9" s="157">
        <f t="shared" si="18"/>
        <v>2.4970507058251714</v>
      </c>
      <c r="BE9" s="157">
        <f t="shared" si="19"/>
        <v>4.9391978171579707</v>
      </c>
      <c r="BF9" s="157">
        <f t="shared" si="20"/>
        <v>0.46946370561411721</v>
      </c>
      <c r="BG9" s="158">
        <f t="shared" si="21"/>
        <v>5.4786466222440477</v>
      </c>
      <c r="BH9" s="150"/>
      <c r="BI9" s="150"/>
      <c r="BJ9" s="150"/>
      <c r="BK9" s="151"/>
      <c r="BL9" s="151"/>
      <c r="BM9" s="151"/>
      <c r="BN9" s="151"/>
    </row>
    <row r="10" spans="2:85" ht="12.75">
      <c r="C10" s="159" t="str">
        <f>IF(Indice_index!$Z$1=1,"Remunerações Certas e Permanentes","Certain and permanent wages")</f>
        <v>Certain and permanent wages</v>
      </c>
      <c r="D10" s="236">
        <v>55.331506589999989</v>
      </c>
      <c r="E10" s="236">
        <v>10.466577160000002</v>
      </c>
      <c r="F10" s="236">
        <v>15.396399370000001</v>
      </c>
      <c r="G10" s="236">
        <v>19.668220739999995</v>
      </c>
      <c r="H10" s="236">
        <v>8.0329222099999988</v>
      </c>
      <c r="I10" s="236">
        <v>3.75477083</v>
      </c>
      <c r="J10" s="236">
        <v>9.1484217799999996</v>
      </c>
      <c r="K10" s="236">
        <v>44.243710319999991</v>
      </c>
      <c r="L10" s="236">
        <v>400.79091784999991</v>
      </c>
      <c r="M10" s="236">
        <v>9.6375323600000016</v>
      </c>
      <c r="N10" s="236">
        <v>87.22056692000001</v>
      </c>
      <c r="O10" s="236">
        <v>1037.36815327</v>
      </c>
      <c r="P10" s="236">
        <v>93.621654559999996</v>
      </c>
      <c r="Q10" s="236">
        <v>18.04112379</v>
      </c>
      <c r="R10" s="236">
        <v>39.868271849999992</v>
      </c>
      <c r="S10" s="236">
        <v>24.149414570000005</v>
      </c>
      <c r="T10" s="236">
        <v>3.7935522699999997</v>
      </c>
      <c r="U10" s="229">
        <f>SUM(D10:T10)</f>
        <v>1880.5337164399998</v>
      </c>
      <c r="V10" s="148"/>
      <c r="W10" s="236">
        <v>54.616610530000003</v>
      </c>
      <c r="X10" s="236">
        <v>9.1711291900000003</v>
      </c>
      <c r="Y10" s="236">
        <v>15.560654350000002</v>
      </c>
      <c r="Z10" s="236">
        <v>21.240940710000004</v>
      </c>
      <c r="AA10" s="236">
        <v>6.8241241400000003</v>
      </c>
      <c r="AB10" s="236">
        <v>3.7721098799999999</v>
      </c>
      <c r="AC10" s="236">
        <v>8.7526252200000005</v>
      </c>
      <c r="AD10" s="236">
        <v>42.892857589999998</v>
      </c>
      <c r="AE10" s="236">
        <v>374.99246734999991</v>
      </c>
      <c r="AF10" s="236">
        <v>12.65815471</v>
      </c>
      <c r="AG10" s="236">
        <v>83.900374020000001</v>
      </c>
      <c r="AH10" s="236">
        <v>1014.0961704199999</v>
      </c>
      <c r="AI10" s="236">
        <v>89.043205810000003</v>
      </c>
      <c r="AJ10" s="236">
        <v>17.026435999999997</v>
      </c>
      <c r="AK10" s="236">
        <v>39.138402120000002</v>
      </c>
      <c r="AL10" s="236">
        <v>22.93139717</v>
      </c>
      <c r="AM10" s="236">
        <v>3.7396534799999994</v>
      </c>
      <c r="AN10" s="229">
        <f>SUM(W10:AM10)</f>
        <v>1820.3573126899998</v>
      </c>
      <c r="AO10" s="148"/>
      <c r="AP10" s="157">
        <f t="shared" si="4"/>
        <v>1.308935236117053</v>
      </c>
      <c r="AQ10" s="157">
        <f t="shared" si="5"/>
        <v>14.125283192090782</v>
      </c>
      <c r="AR10" s="157">
        <f t="shared" si="6"/>
        <v>-1.0555788741621961</v>
      </c>
      <c r="AS10" s="157">
        <f t="shared" si="7"/>
        <v>-7.4041917044643375</v>
      </c>
      <c r="AT10" s="157">
        <f t="shared" si="8"/>
        <v>17.713600239400076</v>
      </c>
      <c r="AU10" s="157">
        <f t="shared" si="9"/>
        <v>-0.45966449948695326</v>
      </c>
      <c r="AV10" s="157">
        <f t="shared" si="10"/>
        <v>4.5220325336859224</v>
      </c>
      <c r="AW10" s="157">
        <f t="shared" si="11"/>
        <v>3.1493651994753762</v>
      </c>
      <c r="AX10" s="157">
        <f t="shared" si="12"/>
        <v>6.8797249934945945</v>
      </c>
      <c r="AY10" s="157">
        <f t="shared" si="13"/>
        <v>-23.863054443580886</v>
      </c>
      <c r="AZ10" s="157">
        <f t="shared" si="14"/>
        <v>3.9573040511220468</v>
      </c>
      <c r="BA10" s="157">
        <f t="shared" si="15"/>
        <v>2.2948496926442115</v>
      </c>
      <c r="BB10" s="157">
        <f t="shared" si="16"/>
        <v>5.141828293749291</v>
      </c>
      <c r="BC10" s="157">
        <f t="shared" si="17"/>
        <v>5.9594843571491047</v>
      </c>
      <c r="BD10" s="157">
        <f t="shared" si="18"/>
        <v>1.8648429431589428</v>
      </c>
      <c r="BE10" s="157">
        <f t="shared" si="19"/>
        <v>5.3115708169473228</v>
      </c>
      <c r="BF10" s="157">
        <f t="shared" si="20"/>
        <v>1.4412776554901636</v>
      </c>
      <c r="BG10" s="158">
        <f t="shared" si="21"/>
        <v>3.3057468075361198</v>
      </c>
      <c r="BH10" s="150"/>
      <c r="BI10" s="150"/>
      <c r="BJ10" s="150"/>
      <c r="BK10" s="151"/>
      <c r="BL10" s="151"/>
      <c r="BM10" s="151"/>
      <c r="BN10" s="151"/>
    </row>
    <row r="11" spans="2:85" ht="12.75">
      <c r="C11" s="159" t="str">
        <f>IF(Indice_index!$Z$1=1,"Abonos Variáveis ou Eventuais","Variable or contingent bonuses")</f>
        <v>Variable or contingent bonuses</v>
      </c>
      <c r="D11" s="236">
        <v>12.568876379999999</v>
      </c>
      <c r="E11" s="236">
        <v>0.23199172999999998</v>
      </c>
      <c r="F11" s="236">
        <v>0.88910221999999994</v>
      </c>
      <c r="G11" s="236">
        <v>2.5450206800000004</v>
      </c>
      <c r="H11" s="236">
        <v>0.32509611999999999</v>
      </c>
      <c r="I11" s="236">
        <v>0.113554</v>
      </c>
      <c r="J11" s="236">
        <v>0.15549664000000002</v>
      </c>
      <c r="K11" s="236">
        <v>0.53572850000000005</v>
      </c>
      <c r="L11" s="236">
        <v>9.2888588200000015</v>
      </c>
      <c r="M11" s="236">
        <v>1.5136961899999997</v>
      </c>
      <c r="N11" s="236">
        <v>4.187960659999999</v>
      </c>
      <c r="O11" s="236">
        <v>225.29719893000001</v>
      </c>
      <c r="P11" s="236">
        <v>18.77794681</v>
      </c>
      <c r="Q11" s="236">
        <v>0.37421477000000003</v>
      </c>
      <c r="R11" s="236">
        <v>3.07562413</v>
      </c>
      <c r="S11" s="236">
        <v>0.48718797000000008</v>
      </c>
      <c r="T11" s="236">
        <v>0.30439417000000002</v>
      </c>
      <c r="U11" s="230">
        <f>SUM(D11:T11)</f>
        <v>280.67194871999999</v>
      </c>
      <c r="V11" s="148"/>
      <c r="W11" s="236">
        <v>12.635000339999999</v>
      </c>
      <c r="X11" s="236">
        <v>0.21611410000000003</v>
      </c>
      <c r="Y11" s="236">
        <v>0.86058166999999997</v>
      </c>
      <c r="Z11" s="236">
        <v>0.96693147999999995</v>
      </c>
      <c r="AA11" s="236">
        <v>0.37711360000000005</v>
      </c>
      <c r="AB11" s="236">
        <v>0.1073176</v>
      </c>
      <c r="AC11" s="236">
        <v>0.13061522999999997</v>
      </c>
      <c r="AD11" s="236">
        <v>0.73499827000000006</v>
      </c>
      <c r="AE11" s="236">
        <v>7.0392633199999972</v>
      </c>
      <c r="AF11" s="236">
        <v>1.2788179</v>
      </c>
      <c r="AG11" s="236">
        <v>2.7741701700000005</v>
      </c>
      <c r="AH11" s="236">
        <v>190.04065572999997</v>
      </c>
      <c r="AI11" s="236">
        <v>19.23073054</v>
      </c>
      <c r="AJ11" s="236">
        <v>0.38156138999999994</v>
      </c>
      <c r="AK11" s="236">
        <v>3.0467833600000001</v>
      </c>
      <c r="AL11" s="236">
        <v>0.44389265</v>
      </c>
      <c r="AM11" s="236">
        <v>0.32279028000000004</v>
      </c>
      <c r="AN11" s="230">
        <f>SUM(W11:AM11)</f>
        <v>240.58733762999998</v>
      </c>
      <c r="AO11" s="148"/>
      <c r="AP11" s="157">
        <f t="shared" si="4"/>
        <v>-0.52333959810562647</v>
      </c>
      <c r="AQ11" s="157">
        <f t="shared" si="5"/>
        <v>7.3468737116180503</v>
      </c>
      <c r="AR11" s="157">
        <f t="shared" si="6"/>
        <v>3.3141014960265163</v>
      </c>
      <c r="AS11" s="157">
        <f t="shared" si="7"/>
        <v>163.20589748510417</v>
      </c>
      <c r="AT11" s="157">
        <f t="shared" si="8"/>
        <v>-13.793583684067626</v>
      </c>
      <c r="AU11" s="157">
        <f t="shared" si="9"/>
        <v>5.8111623815664935</v>
      </c>
      <c r="AV11" s="157">
        <f t="shared" si="10"/>
        <v>19.049394163299375</v>
      </c>
      <c r="AW11" s="157">
        <f t="shared" si="11"/>
        <v>-27.111597147024575</v>
      </c>
      <c r="AX11" s="157">
        <f t="shared" si="12"/>
        <v>31.957825666336987</v>
      </c>
      <c r="AY11" s="157">
        <f t="shared" si="13"/>
        <v>18.366828459313851</v>
      </c>
      <c r="AZ11" s="157">
        <f t="shared" si="14"/>
        <v>50.962644804157705</v>
      </c>
      <c r="BA11" s="157">
        <f t="shared" si="15"/>
        <v>18.552105634749402</v>
      </c>
      <c r="BB11" s="157">
        <f t="shared" si="16"/>
        <v>-2.3544801330256702</v>
      </c>
      <c r="BC11" s="157">
        <f t="shared" si="17"/>
        <v>-1.9254096961959164</v>
      </c>
      <c r="BD11" s="157">
        <f t="shared" si="18"/>
        <v>0.94659733207942831</v>
      </c>
      <c r="BE11" s="157">
        <f t="shared" si="19"/>
        <v>9.753556406036477</v>
      </c>
      <c r="BF11" s="157">
        <f t="shared" si="20"/>
        <v>-5.6990904434916754</v>
      </c>
      <c r="BG11" s="158">
        <f t="shared" si="21"/>
        <v>16.661147458910019</v>
      </c>
      <c r="BH11" s="150"/>
      <c r="BI11" s="160"/>
      <c r="BJ11" s="150"/>
      <c r="BK11" s="151"/>
      <c r="BL11" s="151"/>
      <c r="BM11" s="151"/>
      <c r="BN11" s="151"/>
    </row>
    <row r="12" spans="2:85" ht="12.75">
      <c r="C12" s="159" t="str">
        <f>IF(Indice_index!$Z$1=1,"Segurança social","Social security")</f>
        <v>Social security</v>
      </c>
      <c r="D12" s="236">
        <v>12.488566310000001</v>
      </c>
      <c r="E12" s="236">
        <v>2.43924516</v>
      </c>
      <c r="F12" s="236">
        <v>4.2330523700000002</v>
      </c>
      <c r="G12" s="236">
        <v>6.4843975899999995</v>
      </c>
      <c r="H12" s="236">
        <v>29.017905769999999</v>
      </c>
      <c r="I12" s="236">
        <v>0.81031804000000007</v>
      </c>
      <c r="J12" s="236">
        <v>1.11390254</v>
      </c>
      <c r="K12" s="236">
        <v>3.5293985699999997</v>
      </c>
      <c r="L12" s="236">
        <v>86.93735119000003</v>
      </c>
      <c r="M12" s="236">
        <v>1.9258938499999998</v>
      </c>
      <c r="N12" s="236">
        <v>24.039941729999995</v>
      </c>
      <c r="O12" s="236">
        <v>299.21155539</v>
      </c>
      <c r="P12" s="236">
        <v>28.319755230000009</v>
      </c>
      <c r="Q12" s="236">
        <v>2.5047037900000002</v>
      </c>
      <c r="R12" s="236">
        <v>13.908377720000001</v>
      </c>
      <c r="S12" s="236">
        <v>6.0868950199999992</v>
      </c>
      <c r="T12" s="236">
        <v>0.99997079</v>
      </c>
      <c r="U12" s="231">
        <f>SUM(D12:T12)</f>
        <v>524.05123106000008</v>
      </c>
      <c r="V12" s="148"/>
      <c r="W12" s="236">
        <v>12.654586039999998</v>
      </c>
      <c r="X12" s="236">
        <v>2.0932694600000001</v>
      </c>
      <c r="Y12" s="236">
        <v>4.2205728099999993</v>
      </c>
      <c r="Z12" s="236">
        <v>6.9588957300000001</v>
      </c>
      <c r="AA12" s="236">
        <v>23.769588750000008</v>
      </c>
      <c r="AB12" s="236">
        <v>0.78877372999999984</v>
      </c>
      <c r="AC12" s="236">
        <v>1.4750138000000002</v>
      </c>
      <c r="AD12" s="236">
        <v>3.3816201299999995</v>
      </c>
      <c r="AE12" s="236">
        <v>83.517304570000007</v>
      </c>
      <c r="AF12" s="236">
        <v>2.1044608500000002</v>
      </c>
      <c r="AG12" s="236">
        <v>22.072115019999995</v>
      </c>
      <c r="AH12" s="236">
        <v>270.42649238999996</v>
      </c>
      <c r="AI12" s="236">
        <v>27.258018109999995</v>
      </c>
      <c r="AJ12" s="236">
        <v>3.9212756600000001</v>
      </c>
      <c r="AK12" s="236">
        <v>13.28204339</v>
      </c>
      <c r="AL12" s="236">
        <v>5.9021376800000001</v>
      </c>
      <c r="AM12" s="236">
        <v>1.0116524300000003</v>
      </c>
      <c r="AN12" s="231">
        <f>SUM(W12:AM12)</f>
        <v>484.83782054999995</v>
      </c>
      <c r="AO12" s="148"/>
      <c r="AP12" s="157">
        <f t="shared" si="4"/>
        <v>-1.3119333139402862</v>
      </c>
      <c r="AQ12" s="157">
        <f t="shared" si="5"/>
        <v>16.528005907084694</v>
      </c>
      <c r="AR12" s="157">
        <f t="shared" si="6"/>
        <v>0.29568403536203763</v>
      </c>
      <c r="AS12" s="157">
        <f t="shared" si="7"/>
        <v>-6.8185838444801723</v>
      </c>
      <c r="AT12" s="157">
        <f t="shared" si="8"/>
        <v>22.079965603106995</v>
      </c>
      <c r="AU12" s="157">
        <f t="shared" si="9"/>
        <v>2.7313675875083003</v>
      </c>
      <c r="AV12" s="157">
        <f t="shared" si="10"/>
        <v>-24.481890271128318</v>
      </c>
      <c r="AW12" s="157">
        <f t="shared" si="11"/>
        <v>4.3700485068972013</v>
      </c>
      <c r="AX12" s="157">
        <f t="shared" si="12"/>
        <v>4.0950155630723346</v>
      </c>
      <c r="AY12" s="157">
        <f t="shared" si="13"/>
        <v>-8.4851661650061274</v>
      </c>
      <c r="AZ12" s="157">
        <f t="shared" si="14"/>
        <v>8.91544244045898</v>
      </c>
      <c r="BA12" s="157">
        <f t="shared" si="15"/>
        <v>10.644320660154548</v>
      </c>
      <c r="BB12" s="157">
        <f t="shared" si="16"/>
        <v>3.8951368940887923</v>
      </c>
      <c r="BC12" s="157">
        <f t="shared" si="17"/>
        <v>-36.125281485566354</v>
      </c>
      <c r="BD12" s="157">
        <f t="shared" si="18"/>
        <v>4.7156473714847627</v>
      </c>
      <c r="BE12" s="157">
        <f t="shared" si="19"/>
        <v>3.1303461562082551</v>
      </c>
      <c r="BF12" s="157">
        <f t="shared" si="20"/>
        <v>-1.1547088361167943</v>
      </c>
      <c r="BG12" s="158">
        <f t="shared" si="21"/>
        <v>8.087943812946861</v>
      </c>
      <c r="BH12" s="150"/>
      <c r="BI12" s="161"/>
      <c r="BJ12" s="150"/>
      <c r="BK12" s="151"/>
      <c r="BL12" s="151"/>
      <c r="BM12" s="151"/>
      <c r="BN12" s="151"/>
    </row>
    <row r="13" spans="2:85" ht="11.25" customHeight="1">
      <c r="C13" s="156" t="str">
        <f>IF(Indice_index!$Z$1=1,"Aquisição de bens e serviços correntes","Purchase of current goods and services")</f>
        <v>Purchase of current goods and services</v>
      </c>
      <c r="D13" s="237">
        <f t="shared" ref="D13:T13" si="26">SUM(D14:D15)</f>
        <v>9.6589353799999991</v>
      </c>
      <c r="E13" s="237">
        <f t="shared" si="26"/>
        <v>5.0753422499999994</v>
      </c>
      <c r="F13" s="237">
        <f t="shared" si="26"/>
        <v>3.7005994100000001</v>
      </c>
      <c r="G13" s="237">
        <f t="shared" si="26"/>
        <v>22.336332720000005</v>
      </c>
      <c r="H13" s="237">
        <f t="shared" si="26"/>
        <v>9.1340364399999991</v>
      </c>
      <c r="I13" s="237">
        <f t="shared" si="26"/>
        <v>7.9564717800000011</v>
      </c>
      <c r="J13" s="237">
        <f t="shared" si="26"/>
        <v>69.672992950000008</v>
      </c>
      <c r="K13" s="237">
        <f t="shared" ref="K13:N13" si="27">SUM(K14:K15)</f>
        <v>64.554610999999994</v>
      </c>
      <c r="L13" s="237">
        <f t="shared" si="27"/>
        <v>104.17206311000001</v>
      </c>
      <c r="M13" s="237">
        <f t="shared" si="27"/>
        <v>10.852690579999999</v>
      </c>
      <c r="N13" s="237">
        <f t="shared" si="27"/>
        <v>85.375779820000005</v>
      </c>
      <c r="O13" s="237">
        <f t="shared" si="26"/>
        <v>4604.3149135799995</v>
      </c>
      <c r="P13" s="237">
        <f t="shared" si="26"/>
        <v>153.98985779999998</v>
      </c>
      <c r="Q13" s="237">
        <f t="shared" si="26"/>
        <v>13.184158099999998</v>
      </c>
      <c r="R13" s="237">
        <f t="shared" si="26"/>
        <v>57.849687860000003</v>
      </c>
      <c r="S13" s="237">
        <f t="shared" si="26"/>
        <v>14.719082169999997</v>
      </c>
      <c r="T13" s="237">
        <f t="shared" si="26"/>
        <v>1.2857143599999996</v>
      </c>
      <c r="U13" s="227">
        <f>SUM(U14:U15)</f>
        <v>5237.8332693100001</v>
      </c>
      <c r="V13" s="148"/>
      <c r="W13" s="237">
        <f t="shared" ref="W13:AM13" si="28">SUM(W14:W15)</f>
        <v>9.276112549999997</v>
      </c>
      <c r="X13" s="237">
        <f t="shared" si="28"/>
        <v>4.7290763199999999</v>
      </c>
      <c r="Y13" s="237">
        <f t="shared" si="28"/>
        <v>4.3687943599999999</v>
      </c>
      <c r="Z13" s="237">
        <f t="shared" si="28"/>
        <v>28.992070350000002</v>
      </c>
      <c r="AA13" s="237">
        <f t="shared" si="28"/>
        <v>15.231505520000001</v>
      </c>
      <c r="AB13" s="237">
        <f t="shared" si="28"/>
        <v>9.9548742299999979</v>
      </c>
      <c r="AC13" s="237">
        <f t="shared" si="28"/>
        <v>36.924487369999994</v>
      </c>
      <c r="AD13" s="237">
        <f t="shared" si="28"/>
        <v>93.726142469999999</v>
      </c>
      <c r="AE13" s="237">
        <f t="shared" si="28"/>
        <v>90.928887130000021</v>
      </c>
      <c r="AF13" s="237">
        <f t="shared" si="28"/>
        <v>9.2775893299999996</v>
      </c>
      <c r="AG13" s="237">
        <f t="shared" si="28"/>
        <v>84.656094720000013</v>
      </c>
      <c r="AH13" s="237">
        <f t="shared" si="28"/>
        <v>4611.4952968100006</v>
      </c>
      <c r="AI13" s="237">
        <f t="shared" si="28"/>
        <v>154.96737625</v>
      </c>
      <c r="AJ13" s="237">
        <f t="shared" si="28"/>
        <v>19.228701340000004</v>
      </c>
      <c r="AK13" s="237">
        <f t="shared" si="28"/>
        <v>53.824252579999985</v>
      </c>
      <c r="AL13" s="237">
        <f t="shared" si="28"/>
        <v>16.624271709999999</v>
      </c>
      <c r="AM13" s="237">
        <f t="shared" si="28"/>
        <v>1.61072748</v>
      </c>
      <c r="AN13" s="227">
        <f>SUM(AN14:AN15)</f>
        <v>5245.8162605200005</v>
      </c>
      <c r="AO13" s="148"/>
      <c r="AP13" s="157">
        <f t="shared" si="4"/>
        <v>4.1269748284803009</v>
      </c>
      <c r="AQ13" s="157">
        <f t="shared" si="5"/>
        <v>7.3220626306153491</v>
      </c>
      <c r="AR13" s="157">
        <f t="shared" si="6"/>
        <v>-15.294721951618701</v>
      </c>
      <c r="AS13" s="157">
        <f t="shared" si="7"/>
        <v>-22.957096715240265</v>
      </c>
      <c r="AT13" s="157">
        <f t="shared" si="8"/>
        <v>-40.031952665438162</v>
      </c>
      <c r="AU13" s="157">
        <f t="shared" si="9"/>
        <v>-20.074612735715068</v>
      </c>
      <c r="AV13" s="157">
        <f t="shared" si="10"/>
        <v>88.690481337886268</v>
      </c>
      <c r="AW13" s="157">
        <f t="shared" si="11"/>
        <v>-31.124220736319401</v>
      </c>
      <c r="AX13" s="157">
        <f t="shared" si="12"/>
        <v>14.564322074091116</v>
      </c>
      <c r="AY13" s="157">
        <f t="shared" si="13"/>
        <v>16.977484063740075</v>
      </c>
      <c r="AZ13" s="157">
        <f t="shared" si="14"/>
        <v>0.85012792331178344</v>
      </c>
      <c r="BA13" s="157">
        <f t="shared" si="15"/>
        <v>-0.15570618135441067</v>
      </c>
      <c r="BB13" s="157">
        <f t="shared" si="16"/>
        <v>-0.6307898305144205</v>
      </c>
      <c r="BC13" s="157">
        <f t="shared" si="17"/>
        <v>-31.435005064153778</v>
      </c>
      <c r="BD13" s="157">
        <f t="shared" si="18"/>
        <v>7.4788503082638043</v>
      </c>
      <c r="BE13" s="157">
        <f t="shared" si="19"/>
        <v>-11.460288746688214</v>
      </c>
      <c r="BF13" s="157">
        <f t="shared" si="20"/>
        <v>-20.178032847617423</v>
      </c>
      <c r="BG13" s="158">
        <f t="shared" si="21"/>
        <v>-0.15217824669309016</v>
      </c>
      <c r="BH13" s="150"/>
      <c r="BI13" s="161"/>
      <c r="BJ13" s="150"/>
      <c r="BK13" s="151"/>
      <c r="BL13" s="151"/>
      <c r="BM13" s="151"/>
      <c r="BN13" s="151"/>
    </row>
    <row r="14" spans="2:85" ht="13.9" customHeight="1">
      <c r="C14" s="162" t="str">
        <f>IF(Indice_index!$Z$1=1,"Aquisição de bens","Purchase of goods")</f>
        <v>Purchase of goods</v>
      </c>
      <c r="D14" s="236">
        <v>0.85228451999999977</v>
      </c>
      <c r="E14" s="236">
        <v>0.21711325000000001</v>
      </c>
      <c r="F14" s="236">
        <v>9.3049049999999994E-2</v>
      </c>
      <c r="G14" s="236">
        <v>1.8120637200000003</v>
      </c>
      <c r="H14" s="236">
        <v>3.2023494399999999</v>
      </c>
      <c r="I14" s="236">
        <v>0.79126831999999991</v>
      </c>
      <c r="J14" s="236">
        <v>0.46383771000000001</v>
      </c>
      <c r="K14" s="236">
        <v>35.844046219999996</v>
      </c>
      <c r="L14" s="236">
        <v>20.796779479999998</v>
      </c>
      <c r="M14" s="236">
        <v>0.56221559999999993</v>
      </c>
      <c r="N14" s="236">
        <v>12.24476172</v>
      </c>
      <c r="O14" s="236">
        <v>1178.9407465700006</v>
      </c>
      <c r="P14" s="236">
        <v>18.450397599999999</v>
      </c>
      <c r="Q14" s="236">
        <v>1.13573722</v>
      </c>
      <c r="R14" s="236">
        <v>5.2225645500000004</v>
      </c>
      <c r="S14" s="236">
        <v>1.5331092699999997</v>
      </c>
      <c r="T14" s="236">
        <v>0.23426912000000005</v>
      </c>
      <c r="U14" s="227">
        <f>SUM(D14:T14)</f>
        <v>1282.3965933600007</v>
      </c>
      <c r="V14" s="148"/>
      <c r="W14" s="236">
        <v>0.88099234999999998</v>
      </c>
      <c r="X14" s="236">
        <v>0.20395324000000001</v>
      </c>
      <c r="Y14" s="236">
        <v>0.12347899000000001</v>
      </c>
      <c r="Z14" s="236">
        <v>1.6931922800000001</v>
      </c>
      <c r="AA14" s="236">
        <v>2.94169686</v>
      </c>
      <c r="AB14" s="236">
        <v>0.85815574999999999</v>
      </c>
      <c r="AC14" s="236">
        <v>0.40645521999999995</v>
      </c>
      <c r="AD14" s="236">
        <v>62.09682196</v>
      </c>
      <c r="AE14" s="236">
        <v>15.755571110000002</v>
      </c>
      <c r="AF14" s="236">
        <v>0.6528116100000001</v>
      </c>
      <c r="AG14" s="236">
        <v>11.579085909999998</v>
      </c>
      <c r="AH14" s="236">
        <v>1450.0757056899997</v>
      </c>
      <c r="AI14" s="236">
        <v>20.190017439999998</v>
      </c>
      <c r="AJ14" s="236">
        <v>1.1751563</v>
      </c>
      <c r="AK14" s="236">
        <v>5.6131395600000005</v>
      </c>
      <c r="AL14" s="236">
        <v>1.5120864099999998</v>
      </c>
      <c r="AM14" s="236">
        <v>0.30012206000000002</v>
      </c>
      <c r="AN14" s="227">
        <f>SUM(W14:AM14)</f>
        <v>1576.0584427399997</v>
      </c>
      <c r="AO14" s="148"/>
      <c r="AP14" s="157">
        <f t="shared" si="4"/>
        <v>-3.2585788060475456</v>
      </c>
      <c r="AQ14" s="157">
        <f t="shared" si="5"/>
        <v>6.4524643001503676</v>
      </c>
      <c r="AR14" s="157">
        <f t="shared" si="6"/>
        <v>-24.643819972936299</v>
      </c>
      <c r="AS14" s="157">
        <f t="shared" si="7"/>
        <v>7.0205517355654461</v>
      </c>
      <c r="AT14" s="157">
        <f t="shared" si="8"/>
        <v>8.8606199892398116</v>
      </c>
      <c r="AU14" s="157">
        <f t="shared" si="9"/>
        <v>-7.7943228836956564</v>
      </c>
      <c r="AV14" s="157">
        <f t="shared" si="10"/>
        <v>14.117788916574886</v>
      </c>
      <c r="AW14" s="157">
        <f t="shared" si="11"/>
        <v>-42.277164774891169</v>
      </c>
      <c r="AX14" s="157">
        <f t="shared" si="12"/>
        <v>31.996354399367728</v>
      </c>
      <c r="AY14" s="157">
        <f t="shared" si="13"/>
        <v>-13.877818441372414</v>
      </c>
      <c r="AZ14" s="157">
        <f t="shared" si="14"/>
        <v>5.748949573170596</v>
      </c>
      <c r="BA14" s="157">
        <f t="shared" si="15"/>
        <v>-18.697986460712624</v>
      </c>
      <c r="BB14" s="157">
        <f t="shared" si="16"/>
        <v>-8.6162374310460219</v>
      </c>
      <c r="BC14" s="157">
        <f t="shared" si="17"/>
        <v>-3.3543691166868652</v>
      </c>
      <c r="BD14" s="157">
        <f t="shared" si="18"/>
        <v>-6.9582273133433379</v>
      </c>
      <c r="BE14" s="157">
        <f t="shared" si="19"/>
        <v>1.3903213375219725</v>
      </c>
      <c r="BF14" s="157">
        <f t="shared" si="20"/>
        <v>-21.942052510235325</v>
      </c>
      <c r="BG14" s="158">
        <f t="shared" si="21"/>
        <v>-18.63267512272348</v>
      </c>
      <c r="BH14" s="150"/>
      <c r="BI14" s="150"/>
      <c r="BJ14" s="150"/>
      <c r="BK14" s="151"/>
      <c r="BL14" s="151"/>
      <c r="BM14" s="151"/>
      <c r="BN14" s="151"/>
    </row>
    <row r="15" spans="2:85" ht="13.9" customHeight="1">
      <c r="C15" s="162" t="str">
        <f>IF(Indice_index!$Z$1=1,"Aquisição de serviços","Purchase of services")</f>
        <v>Purchase of services</v>
      </c>
      <c r="D15" s="236">
        <v>8.8066508599999995</v>
      </c>
      <c r="E15" s="236">
        <v>4.8582289999999997</v>
      </c>
      <c r="F15" s="236">
        <v>3.6075503600000003</v>
      </c>
      <c r="G15" s="236">
        <v>20.524269000000004</v>
      </c>
      <c r="H15" s="236">
        <v>5.9316869999999993</v>
      </c>
      <c r="I15" s="236">
        <v>7.1652034600000007</v>
      </c>
      <c r="J15" s="236">
        <v>69.209155240000001</v>
      </c>
      <c r="K15" s="236">
        <v>28.710564779999999</v>
      </c>
      <c r="L15" s="236">
        <v>83.375283630000013</v>
      </c>
      <c r="M15" s="236">
        <v>10.290474979999999</v>
      </c>
      <c r="N15" s="236">
        <v>73.131018100000006</v>
      </c>
      <c r="O15" s="236">
        <v>3425.3741670099994</v>
      </c>
      <c r="P15" s="236">
        <v>135.53946019999998</v>
      </c>
      <c r="Q15" s="236">
        <v>12.048420879999998</v>
      </c>
      <c r="R15" s="236">
        <v>52.627123310000002</v>
      </c>
      <c r="S15" s="236">
        <v>13.185972899999998</v>
      </c>
      <c r="T15" s="236">
        <v>1.0514452399999996</v>
      </c>
      <c r="U15" s="227">
        <f>SUM(D15:T15)</f>
        <v>3955.436675949999</v>
      </c>
      <c r="V15" s="148"/>
      <c r="W15" s="236">
        <v>8.3951201999999974</v>
      </c>
      <c r="X15" s="236">
        <v>4.5251230800000002</v>
      </c>
      <c r="Y15" s="236">
        <v>4.2453153700000001</v>
      </c>
      <c r="Z15" s="236">
        <v>27.298878070000001</v>
      </c>
      <c r="AA15" s="236">
        <v>12.28980866</v>
      </c>
      <c r="AB15" s="236">
        <v>9.0967184799999981</v>
      </c>
      <c r="AC15" s="236">
        <v>36.518032149999996</v>
      </c>
      <c r="AD15" s="236">
        <v>31.629320509999999</v>
      </c>
      <c r="AE15" s="236">
        <v>75.173316020000016</v>
      </c>
      <c r="AF15" s="236">
        <v>8.6247777199999991</v>
      </c>
      <c r="AG15" s="236">
        <v>73.077008810000009</v>
      </c>
      <c r="AH15" s="236">
        <v>3161.4195911200009</v>
      </c>
      <c r="AI15" s="236">
        <v>134.77735881000001</v>
      </c>
      <c r="AJ15" s="236">
        <v>18.053545040000003</v>
      </c>
      <c r="AK15" s="236">
        <v>48.211113019999985</v>
      </c>
      <c r="AL15" s="236">
        <v>15.1121853</v>
      </c>
      <c r="AM15" s="236">
        <v>1.3106054199999999</v>
      </c>
      <c r="AN15" s="227">
        <f>SUM(W15:AM15)</f>
        <v>3669.7578177800006</v>
      </c>
      <c r="AO15" s="148"/>
      <c r="AP15" s="157">
        <f t="shared" si="4"/>
        <v>4.9020222485915363</v>
      </c>
      <c r="AQ15" s="157">
        <f t="shared" si="5"/>
        <v>7.3612565694014114</v>
      </c>
      <c r="AR15" s="157">
        <f t="shared" si="6"/>
        <v>-15.022794643404779</v>
      </c>
      <c r="AS15" s="157">
        <f t="shared" si="7"/>
        <v>-24.816437703514737</v>
      </c>
      <c r="AT15" s="157">
        <f t="shared" si="8"/>
        <v>-51.734911713426143</v>
      </c>
      <c r="AU15" s="157">
        <f t="shared" si="9"/>
        <v>-21.233096574843081</v>
      </c>
      <c r="AV15" s="157">
        <f t="shared" si="10"/>
        <v>89.520494849556144</v>
      </c>
      <c r="AW15" s="157">
        <f t="shared" si="11"/>
        <v>-9.2280064286464842</v>
      </c>
      <c r="AX15" s="157">
        <f t="shared" si="12"/>
        <v>10.910743391734703</v>
      </c>
      <c r="AY15" s="157">
        <f t="shared" si="13"/>
        <v>19.312929724987743</v>
      </c>
      <c r="AZ15" s="157">
        <f t="shared" si="14"/>
        <v>7.3907362766338996E-2</v>
      </c>
      <c r="BA15" s="157">
        <f t="shared" si="15"/>
        <v>8.3492421136191837</v>
      </c>
      <c r="BB15" s="157">
        <f t="shared" si="16"/>
        <v>0.56545208833950256</v>
      </c>
      <c r="BC15" s="157">
        <f t="shared" si="17"/>
        <v>-33.262853066779194</v>
      </c>
      <c r="BD15" s="157">
        <f t="shared" si="18"/>
        <v>9.1597352008199255</v>
      </c>
      <c r="BE15" s="157">
        <f t="shared" si="19"/>
        <v>-12.746087754760408</v>
      </c>
      <c r="BF15" s="157">
        <f t="shared" si="20"/>
        <v>-19.77408120286885</v>
      </c>
      <c r="BG15" s="158">
        <f t="shared" si="21"/>
        <v>7.784678781413926</v>
      </c>
      <c r="BH15" s="150"/>
      <c r="BI15" s="150"/>
      <c r="BJ15" s="150"/>
      <c r="BK15" s="151"/>
      <c r="BL15" s="151"/>
      <c r="BM15" s="151"/>
      <c r="BN15" s="151"/>
    </row>
    <row r="16" spans="2:85" ht="12.75">
      <c r="C16" s="156" t="str">
        <f>IF(Indice_index!$Z$1=1,"Juros e outros encargos","Interests and other charges")</f>
        <v>Interests and other charges</v>
      </c>
      <c r="D16" s="236">
        <v>1.34176E-3</v>
      </c>
      <c r="E16" s="236">
        <v>5.7999999999999995E-7</v>
      </c>
      <c r="F16" s="236">
        <v>0</v>
      </c>
      <c r="G16" s="236">
        <v>9.0128895900000003</v>
      </c>
      <c r="H16" s="236">
        <v>3.9464799999999996E-3</v>
      </c>
      <c r="I16" s="237">
        <v>0.32877444</v>
      </c>
      <c r="J16" s="236">
        <v>3.02053E-3</v>
      </c>
      <c r="K16" s="236">
        <v>1.1071200699999999</v>
      </c>
      <c r="L16" s="236">
        <v>0.15477374999999999</v>
      </c>
      <c r="M16" s="236">
        <v>8.27475323</v>
      </c>
      <c r="N16" s="236">
        <v>3.0950749999999999E-2</v>
      </c>
      <c r="O16" s="236">
        <v>1.1526741599999999</v>
      </c>
      <c r="P16" s="236">
        <v>49.982457480000001</v>
      </c>
      <c r="Q16" s="236">
        <v>6.7084630000000006E-2</v>
      </c>
      <c r="R16" s="236">
        <v>82.442565360000003</v>
      </c>
      <c r="S16" s="236">
        <v>1.538921</v>
      </c>
      <c r="T16" s="236">
        <v>1.5375E-4</v>
      </c>
      <c r="U16" s="227">
        <f>SUM(D16:T16)</f>
        <v>154.10142755999999</v>
      </c>
      <c r="V16" s="148"/>
      <c r="W16" s="236">
        <v>2.0610799999999999E-3</v>
      </c>
      <c r="X16" s="236">
        <v>1.341E-5</v>
      </c>
      <c r="Y16" s="236">
        <v>0</v>
      </c>
      <c r="Z16" s="236">
        <v>11.225388499999999</v>
      </c>
      <c r="AA16" s="236">
        <v>2.7589820000000001E-2</v>
      </c>
      <c r="AB16" s="236">
        <v>0.16825244</v>
      </c>
      <c r="AC16" s="236">
        <v>2.9265030000000001E-2</v>
      </c>
      <c r="AD16" s="236">
        <v>1.29269642</v>
      </c>
      <c r="AE16" s="236">
        <v>8.0335980000000015E-2</v>
      </c>
      <c r="AF16" s="236">
        <v>9.7908173999999999</v>
      </c>
      <c r="AG16" s="236">
        <v>0.45144310999999998</v>
      </c>
      <c r="AH16" s="236">
        <v>0.79538792999999997</v>
      </c>
      <c r="AI16" s="236">
        <v>49.920132580000008</v>
      </c>
      <c r="AJ16" s="236">
        <v>8.3077269999999995E-2</v>
      </c>
      <c r="AK16" s="236">
        <v>384.80102142999993</v>
      </c>
      <c r="AL16" s="236">
        <v>1.5692128399999998</v>
      </c>
      <c r="AM16" s="236">
        <v>6.5389999999999996E-5</v>
      </c>
      <c r="AN16" s="227">
        <f>SUM(W16:AM16)</f>
        <v>460.23676062999988</v>
      </c>
      <c r="AO16" s="148"/>
      <c r="AP16" s="157">
        <f t="shared" si="4"/>
        <v>-34.900149436217902</v>
      </c>
      <c r="AQ16" s="157">
        <f t="shared" si="5"/>
        <v>-95.674869500372864</v>
      </c>
      <c r="AR16" s="157" t="str">
        <f t="shared" si="6"/>
        <v>-</v>
      </c>
      <c r="AS16" s="157">
        <f t="shared" si="7"/>
        <v>-19.709775835375311</v>
      </c>
      <c r="AT16" s="157">
        <f t="shared" si="8"/>
        <v>-85.695883481660999</v>
      </c>
      <c r="AU16" s="157">
        <f t="shared" si="9"/>
        <v>95.405451475176221</v>
      </c>
      <c r="AV16" s="157">
        <f t="shared" si="10"/>
        <v>-89.678705267002968</v>
      </c>
      <c r="AW16" s="157">
        <f t="shared" si="11"/>
        <v>-14.355756473743469</v>
      </c>
      <c r="AX16" s="157">
        <f t="shared" si="12"/>
        <v>92.658071763112815</v>
      </c>
      <c r="AY16" s="157">
        <f t="shared" si="13"/>
        <v>-15.484551575846977</v>
      </c>
      <c r="AZ16" s="157">
        <f t="shared" si="14"/>
        <v>-93.144042003432077</v>
      </c>
      <c r="BA16" s="157">
        <f t="shared" si="15"/>
        <v>44.919745010463004</v>
      </c>
      <c r="BB16" s="157">
        <f t="shared" si="16"/>
        <v>0.12484922771411641</v>
      </c>
      <c r="BC16" s="157">
        <f t="shared" si="17"/>
        <v>-19.250319612091239</v>
      </c>
      <c r="BD16" s="157">
        <f t="shared" si="18"/>
        <v>-78.575273773020029</v>
      </c>
      <c r="BE16" s="157">
        <f t="shared" si="19"/>
        <v>-1.9303844085293014</v>
      </c>
      <c r="BF16" s="157">
        <f t="shared" si="20"/>
        <v>135.12769536626396</v>
      </c>
      <c r="BG16" s="158">
        <f t="shared" si="21"/>
        <v>-66.516923300725338</v>
      </c>
      <c r="BH16" s="150"/>
      <c r="BI16" s="150"/>
      <c r="BJ16" s="150"/>
      <c r="BK16" s="151"/>
      <c r="BL16" s="151"/>
      <c r="BM16" s="151"/>
      <c r="BN16" s="151"/>
    </row>
    <row r="17" spans="3:69" ht="12.75">
      <c r="C17" s="156" t="str">
        <f>IF(Indice_index!$Z$1=1,"Transferências correntes","Current transfers")</f>
        <v>Current transfers</v>
      </c>
      <c r="D17" s="237">
        <f t="shared" ref="D17:T17" si="29">+D18+D23</f>
        <v>4.5739479900000006</v>
      </c>
      <c r="E17" s="237">
        <f t="shared" si="29"/>
        <v>2.6648811999999995</v>
      </c>
      <c r="F17" s="237">
        <f t="shared" si="29"/>
        <v>21.711066489999997</v>
      </c>
      <c r="G17" s="237">
        <f t="shared" si="29"/>
        <v>45.083808139999995</v>
      </c>
      <c r="H17" s="237">
        <f t="shared" si="29"/>
        <v>7.4012479999999992E-2</v>
      </c>
      <c r="I17" s="237">
        <f t="shared" si="29"/>
        <v>22.892166539999998</v>
      </c>
      <c r="J17" s="237">
        <f t="shared" si="29"/>
        <v>88.514863700000006</v>
      </c>
      <c r="K17" s="237">
        <f t="shared" ref="K17:N17" si="30">+K18+K23</f>
        <v>10.36744137</v>
      </c>
      <c r="L17" s="237">
        <f t="shared" si="30"/>
        <v>87.34595170999998</v>
      </c>
      <c r="M17" s="237">
        <f t="shared" si="30"/>
        <v>75.064032159999996</v>
      </c>
      <c r="N17" s="237">
        <f t="shared" si="30"/>
        <v>3549.47506995</v>
      </c>
      <c r="O17" s="237">
        <f t="shared" si="29"/>
        <v>1226.8988736599999</v>
      </c>
      <c r="P17" s="237">
        <f t="shared" si="29"/>
        <v>87.727024249999999</v>
      </c>
      <c r="Q17" s="237">
        <f t="shared" si="29"/>
        <v>57.749285639999997</v>
      </c>
      <c r="R17" s="237">
        <f t="shared" si="29"/>
        <v>57.508782979999999</v>
      </c>
      <c r="S17" s="237">
        <f t="shared" si="29"/>
        <v>72.40232859999999</v>
      </c>
      <c r="T17" s="237">
        <f t="shared" si="29"/>
        <v>4.6904714699999994</v>
      </c>
      <c r="U17" s="227">
        <f>+U18+U23</f>
        <v>5414.7440083299998</v>
      </c>
      <c r="V17" s="148"/>
      <c r="W17" s="237">
        <f t="shared" ref="W17:AM17" si="31">+W18+W23</f>
        <v>4.3601229999999997</v>
      </c>
      <c r="X17" s="237">
        <f t="shared" si="31"/>
        <v>8.3511212900000018</v>
      </c>
      <c r="Y17" s="237">
        <f t="shared" si="31"/>
        <v>17.144099879999999</v>
      </c>
      <c r="Z17" s="237">
        <f t="shared" si="31"/>
        <v>54.289718390000012</v>
      </c>
      <c r="AA17" s="237">
        <f t="shared" si="31"/>
        <v>0.36010108000000002</v>
      </c>
      <c r="AB17" s="237">
        <f t="shared" si="31"/>
        <v>26.938149840000001</v>
      </c>
      <c r="AC17" s="237">
        <f t="shared" si="31"/>
        <v>79.618396019999992</v>
      </c>
      <c r="AD17" s="237">
        <f t="shared" ref="AD17:AG17" si="32">+AD18+AD23</f>
        <v>7.1279634400000011</v>
      </c>
      <c r="AE17" s="237">
        <f t="shared" si="32"/>
        <v>100.85491974000001</v>
      </c>
      <c r="AF17" s="237">
        <f t="shared" si="32"/>
        <v>75.066460400000011</v>
      </c>
      <c r="AG17" s="237">
        <f t="shared" si="32"/>
        <v>3617.2999017800003</v>
      </c>
      <c r="AH17" s="237">
        <f t="shared" si="31"/>
        <v>1277.3901462900001</v>
      </c>
      <c r="AI17" s="237">
        <f t="shared" si="31"/>
        <v>87.130988389999999</v>
      </c>
      <c r="AJ17" s="237">
        <f t="shared" si="31"/>
        <v>34.750553289999999</v>
      </c>
      <c r="AK17" s="237">
        <f t="shared" si="31"/>
        <v>66.348698690000006</v>
      </c>
      <c r="AL17" s="237">
        <f t="shared" si="31"/>
        <v>105.45488352999999</v>
      </c>
      <c r="AM17" s="237">
        <f t="shared" si="31"/>
        <v>4.4125243099999993</v>
      </c>
      <c r="AN17" s="227">
        <f>+AN18+AN23</f>
        <v>5566.8987493600007</v>
      </c>
      <c r="AO17" s="148"/>
      <c r="AP17" s="157">
        <f t="shared" si="4"/>
        <v>4.9041045401701027</v>
      </c>
      <c r="AQ17" s="157">
        <f t="shared" si="5"/>
        <v>-68.089540225082771</v>
      </c>
      <c r="AR17" s="157">
        <f t="shared" si="6"/>
        <v>26.638707438514981</v>
      </c>
      <c r="AS17" s="157">
        <f t="shared" si="7"/>
        <v>-16.957004978120711</v>
      </c>
      <c r="AT17" s="157">
        <f t="shared" si="8"/>
        <v>-79.446748674011204</v>
      </c>
      <c r="AU17" s="157">
        <f t="shared" si="9"/>
        <v>-15.019529269943369</v>
      </c>
      <c r="AV17" s="157">
        <f t="shared" si="10"/>
        <v>11.173884585373008</v>
      </c>
      <c r="AW17" s="157">
        <f t="shared" si="11"/>
        <v>45.447454343284313</v>
      </c>
      <c r="AX17" s="157">
        <f t="shared" si="12"/>
        <v>-13.394456180051126</v>
      </c>
      <c r="AY17" s="157">
        <f t="shared" si="13"/>
        <v>-3.2347868636345414E-3</v>
      </c>
      <c r="AZ17" s="157">
        <f t="shared" si="14"/>
        <v>-1.8750126799446456</v>
      </c>
      <c r="BA17" s="157">
        <f t="shared" si="15"/>
        <v>-3.9526900044316875</v>
      </c>
      <c r="BB17" s="157">
        <f t="shared" si="16"/>
        <v>0.68406874639380022</v>
      </c>
      <c r="BC17" s="157">
        <f t="shared" si="17"/>
        <v>66.182348689735065</v>
      </c>
      <c r="BD17" s="157">
        <f t="shared" si="18"/>
        <v>-13.323419877912915</v>
      </c>
      <c r="BE17" s="157">
        <f t="shared" si="19"/>
        <v>-31.342839538196586</v>
      </c>
      <c r="BF17" s="157">
        <f t="shared" si="20"/>
        <v>6.2990510753696025</v>
      </c>
      <c r="BG17" s="158">
        <f t="shared" si="21"/>
        <v>-2.7332047497270069</v>
      </c>
      <c r="BH17" s="150"/>
      <c r="BI17" s="150"/>
      <c r="BJ17" s="150"/>
      <c r="BK17" s="151"/>
      <c r="BL17" s="151"/>
      <c r="BM17" s="151"/>
      <c r="BN17" s="151"/>
    </row>
    <row r="18" spans="3:69" ht="12.75">
      <c r="C18" s="159" t="str">
        <f>IF(Indice_index!$Z$1=1,"Administrações Públicas","General Government")</f>
        <v>General Government</v>
      </c>
      <c r="D18" s="237">
        <f t="shared" ref="D18:T18" si="33">SUM(D19:D22)</f>
        <v>4.5528366500000006</v>
      </c>
      <c r="E18" s="237">
        <f t="shared" si="33"/>
        <v>1.932E-2</v>
      </c>
      <c r="F18" s="237">
        <f t="shared" si="33"/>
        <v>12.258982619999999</v>
      </c>
      <c r="G18" s="237">
        <f t="shared" si="33"/>
        <v>19.721184000000001</v>
      </c>
      <c r="H18" s="237">
        <f t="shared" si="33"/>
        <v>1.9446000000000001E-4</v>
      </c>
      <c r="I18" s="237">
        <f t="shared" si="33"/>
        <v>0.34649069999999998</v>
      </c>
      <c r="J18" s="237">
        <f t="shared" si="33"/>
        <v>86.63375434000001</v>
      </c>
      <c r="K18" s="237">
        <f t="shared" ref="K18:N18" si="34">SUM(K19:K22)</f>
        <v>3.6351579800000002</v>
      </c>
      <c r="L18" s="237">
        <f t="shared" si="34"/>
        <v>4.0075152799999998</v>
      </c>
      <c r="M18" s="237">
        <f t="shared" si="34"/>
        <v>54.002000000000002</v>
      </c>
      <c r="N18" s="237">
        <f t="shared" si="34"/>
        <v>105.60023375</v>
      </c>
      <c r="O18" s="237">
        <f t="shared" si="33"/>
        <v>1213.2389644</v>
      </c>
      <c r="P18" s="237">
        <f t="shared" si="33"/>
        <v>81.36321430000001</v>
      </c>
      <c r="Q18" s="237">
        <f t="shared" si="33"/>
        <v>14.45666696</v>
      </c>
      <c r="R18" s="237">
        <f t="shared" si="33"/>
        <v>38.961323699999994</v>
      </c>
      <c r="S18" s="237">
        <f t="shared" si="33"/>
        <v>6.1303980599999992</v>
      </c>
      <c r="T18" s="237">
        <f t="shared" si="33"/>
        <v>0.17806443999999999</v>
      </c>
      <c r="U18" s="227">
        <f>SUM(U19:U22)</f>
        <v>1645.1063016400001</v>
      </c>
      <c r="V18" s="148"/>
      <c r="W18" s="237">
        <f t="shared" ref="W18:AM18" si="35">SUM(W19:W22)</f>
        <v>4.3445780000000003</v>
      </c>
      <c r="X18" s="237">
        <f t="shared" si="35"/>
        <v>1.893</v>
      </c>
      <c r="Y18" s="237">
        <f t="shared" si="35"/>
        <v>7.4389106700000003</v>
      </c>
      <c r="Z18" s="237">
        <f t="shared" si="35"/>
        <v>31.90864784</v>
      </c>
      <c r="AA18" s="237">
        <f t="shared" si="35"/>
        <v>1.9446000000000001E-4</v>
      </c>
      <c r="AB18" s="237">
        <f t="shared" si="35"/>
        <v>0.52110148000000001</v>
      </c>
      <c r="AC18" s="237">
        <f t="shared" si="35"/>
        <v>77.823166170000007</v>
      </c>
      <c r="AD18" s="237">
        <f t="shared" si="35"/>
        <v>4.29155234</v>
      </c>
      <c r="AE18" s="237">
        <f t="shared" si="35"/>
        <v>4.3829066699999997</v>
      </c>
      <c r="AF18" s="237">
        <f t="shared" si="35"/>
        <v>53.770129300000001</v>
      </c>
      <c r="AG18" s="237">
        <f t="shared" si="35"/>
        <v>102.37570436999999</v>
      </c>
      <c r="AH18" s="237">
        <f t="shared" si="35"/>
        <v>1252.1736977</v>
      </c>
      <c r="AI18" s="237">
        <f t="shared" si="35"/>
        <v>73.24653828999999</v>
      </c>
      <c r="AJ18" s="237">
        <f t="shared" si="35"/>
        <v>11.797496360000002</v>
      </c>
      <c r="AK18" s="237">
        <f t="shared" si="35"/>
        <v>28.786431869999998</v>
      </c>
      <c r="AL18" s="237">
        <f t="shared" si="35"/>
        <v>14.175048639999998</v>
      </c>
      <c r="AM18" s="237">
        <f t="shared" si="35"/>
        <v>8.5197899999999993E-3</v>
      </c>
      <c r="AN18" s="227">
        <f>SUM(AN19:AN22)</f>
        <v>1668.9376239500004</v>
      </c>
      <c r="AO18" s="148"/>
      <c r="AP18" s="157">
        <f t="shared" si="4"/>
        <v>4.7935300045251878</v>
      </c>
      <c r="AQ18" s="157">
        <f t="shared" si="5"/>
        <v>-98.979397781299525</v>
      </c>
      <c r="AR18" s="157">
        <f t="shared" si="6"/>
        <v>64.795400345894976</v>
      </c>
      <c r="AS18" s="157">
        <f t="shared" si="7"/>
        <v>-38.194861471760817</v>
      </c>
      <c r="AT18" s="157">
        <f t="shared" si="8"/>
        <v>0</v>
      </c>
      <c r="AU18" s="157">
        <f t="shared" si="9"/>
        <v>-33.508018438174467</v>
      </c>
      <c r="AV18" s="157">
        <f t="shared" si="10"/>
        <v>11.321292365249963</v>
      </c>
      <c r="AW18" s="157">
        <f t="shared" si="11"/>
        <v>-15.295033311885456</v>
      </c>
      <c r="AX18" s="157">
        <f t="shared" si="12"/>
        <v>-8.5648958160452899</v>
      </c>
      <c r="AY18" s="157">
        <f t="shared" si="13"/>
        <v>0.4312258553560922</v>
      </c>
      <c r="AZ18" s="157">
        <f t="shared" si="14"/>
        <v>3.1497017772362383</v>
      </c>
      <c r="BA18" s="157">
        <f t="shared" si="15"/>
        <v>-3.109371596889122</v>
      </c>
      <c r="BB18" s="157">
        <f t="shared" si="16"/>
        <v>11.081310051628956</v>
      </c>
      <c r="BC18" s="157">
        <f t="shared" si="17"/>
        <v>22.540126471376144</v>
      </c>
      <c r="BD18" s="157">
        <f t="shared" si="18"/>
        <v>35.346137638558247</v>
      </c>
      <c r="BE18" s="157">
        <f t="shared" si="19"/>
        <v>-56.752190305006245</v>
      </c>
      <c r="BF18" s="157" t="str">
        <f t="shared" si="20"/>
        <v>-</v>
      </c>
      <c r="BG18" s="158">
        <f t="shared" si="21"/>
        <v>-1.4279336727754375</v>
      </c>
      <c r="BH18" s="150"/>
      <c r="BI18" s="150"/>
      <c r="BJ18" s="150"/>
      <c r="BK18" s="151"/>
      <c r="BL18" s="151"/>
      <c r="BM18" s="151"/>
      <c r="BN18" s="151"/>
    </row>
    <row r="19" spans="3:69" ht="12.75">
      <c r="C19" s="163" t="str">
        <f>IF(Indice_index!$Z$1=1,"Administração Central","Central Government")</f>
        <v>Central Government</v>
      </c>
      <c r="D19" s="236">
        <v>4.5528366500000006</v>
      </c>
      <c r="E19" s="236">
        <v>0</v>
      </c>
      <c r="F19" s="236">
        <v>12.258982619999999</v>
      </c>
      <c r="G19" s="236">
        <v>19.721184000000001</v>
      </c>
      <c r="H19" s="236">
        <v>1.9446000000000001E-4</v>
      </c>
      <c r="I19" s="236">
        <v>0.11464576</v>
      </c>
      <c r="J19" s="236">
        <v>86.63375434000001</v>
      </c>
      <c r="K19" s="236">
        <v>3.6350603100000001</v>
      </c>
      <c r="L19" s="236">
        <v>3.9971012500000001</v>
      </c>
      <c r="M19" s="236">
        <v>0.252</v>
      </c>
      <c r="N19" s="236">
        <v>42.096101820000001</v>
      </c>
      <c r="O19" s="236">
        <v>1212.40560837</v>
      </c>
      <c r="P19" s="236">
        <v>80.503952580000004</v>
      </c>
      <c r="Q19" s="236">
        <v>12.88824516</v>
      </c>
      <c r="R19" s="236">
        <v>12.178236849999998</v>
      </c>
      <c r="S19" s="236">
        <v>4.4909295399999989</v>
      </c>
      <c r="T19" s="236">
        <v>0.17806443999999999</v>
      </c>
      <c r="U19" s="227">
        <f t="shared" ref="U19:U37" si="36">SUM(D19:T19)</f>
        <v>1495.9068981500002</v>
      </c>
      <c r="V19" s="148"/>
      <c r="W19" s="236">
        <v>4.3445780000000003</v>
      </c>
      <c r="X19" s="236">
        <v>1.893</v>
      </c>
      <c r="Y19" s="236">
        <v>7.4389106700000003</v>
      </c>
      <c r="Z19" s="236">
        <v>31.90864784</v>
      </c>
      <c r="AA19" s="236">
        <v>1.9446000000000001E-4</v>
      </c>
      <c r="AB19" s="236">
        <v>0.16885965</v>
      </c>
      <c r="AC19" s="236">
        <v>77.823166170000007</v>
      </c>
      <c r="AD19" s="236">
        <v>4.2898243599999999</v>
      </c>
      <c r="AE19" s="236">
        <v>4.3301254599999996</v>
      </c>
      <c r="AF19" s="236">
        <v>2.0129299999999999E-2</v>
      </c>
      <c r="AG19" s="236">
        <v>40.784969340000004</v>
      </c>
      <c r="AH19" s="236">
        <v>1251.2864734000002</v>
      </c>
      <c r="AI19" s="236">
        <v>73.24577656999999</v>
      </c>
      <c r="AJ19" s="236">
        <v>10.218745330000001</v>
      </c>
      <c r="AK19" s="236">
        <v>26.244920239999999</v>
      </c>
      <c r="AL19" s="236">
        <v>12.076318639999998</v>
      </c>
      <c r="AM19" s="236">
        <v>8.5197899999999993E-3</v>
      </c>
      <c r="AN19" s="227">
        <f t="shared" ref="AN19:AN24" si="37">SUM(W19:AM19)</f>
        <v>1546.0831592200004</v>
      </c>
      <c r="AO19" s="148"/>
      <c r="AP19" s="157">
        <f t="shared" si="4"/>
        <v>4.7935300045251878</v>
      </c>
      <c r="AQ19" s="157">
        <f t="shared" si="5"/>
        <v>-100</v>
      </c>
      <c r="AR19" s="157">
        <f t="shared" si="6"/>
        <v>64.795400345894976</v>
      </c>
      <c r="AS19" s="157">
        <f t="shared" si="7"/>
        <v>-38.194861471760817</v>
      </c>
      <c r="AT19" s="157">
        <f t="shared" si="8"/>
        <v>0</v>
      </c>
      <c r="AU19" s="157">
        <f t="shared" si="9"/>
        <v>-32.105887937112271</v>
      </c>
      <c r="AV19" s="157">
        <f t="shared" si="10"/>
        <v>11.321292365249963</v>
      </c>
      <c r="AW19" s="157">
        <f t="shared" si="11"/>
        <v>-15.263190169398912</v>
      </c>
      <c r="AX19" s="157">
        <f t="shared" si="12"/>
        <v>-7.6908674604545899</v>
      </c>
      <c r="AY19" s="157" t="str">
        <f t="shared" si="13"/>
        <v>-</v>
      </c>
      <c r="AZ19" s="157">
        <f t="shared" si="14"/>
        <v>3.2147443070751556</v>
      </c>
      <c r="BA19" s="157">
        <f t="shared" si="15"/>
        <v>-3.1072712649368768</v>
      </c>
      <c r="BB19" s="157">
        <f t="shared" si="16"/>
        <v>9.909344060354762</v>
      </c>
      <c r="BC19" s="157">
        <f t="shared" si="17"/>
        <v>26.123557675548799</v>
      </c>
      <c r="BD19" s="157">
        <f t="shared" si="18"/>
        <v>-53.597737243494869</v>
      </c>
      <c r="BE19" s="157">
        <f t="shared" si="19"/>
        <v>-62.812098008702435</v>
      </c>
      <c r="BF19" s="157" t="str">
        <f t="shared" si="20"/>
        <v>-</v>
      </c>
      <c r="BG19" s="158">
        <f t="shared" si="21"/>
        <v>-3.2453791874503168</v>
      </c>
      <c r="BH19" s="150"/>
      <c r="BI19" s="150"/>
      <c r="BJ19" s="150"/>
      <c r="BK19" s="151"/>
      <c r="BL19" s="151"/>
      <c r="BM19" s="151"/>
      <c r="BN19" s="151"/>
    </row>
    <row r="20" spans="3:69" ht="12.75">
      <c r="C20" s="163" t="str">
        <f>IF(Indice_index!$Z$1=1,"Administração Regional","Regional Government")</f>
        <v>Regional Government</v>
      </c>
      <c r="D20" s="236">
        <v>0</v>
      </c>
      <c r="E20" s="236">
        <v>0</v>
      </c>
      <c r="F20" s="236">
        <v>0</v>
      </c>
      <c r="G20" s="236">
        <v>0</v>
      </c>
      <c r="H20" s="236">
        <v>0</v>
      </c>
      <c r="I20" s="236">
        <v>0</v>
      </c>
      <c r="J20" s="236">
        <v>0</v>
      </c>
      <c r="K20" s="236">
        <v>0</v>
      </c>
      <c r="L20" s="236">
        <v>0</v>
      </c>
      <c r="M20" s="236">
        <v>0</v>
      </c>
      <c r="N20" s="236">
        <v>0</v>
      </c>
      <c r="O20" s="236">
        <v>0</v>
      </c>
      <c r="P20" s="236">
        <v>0</v>
      </c>
      <c r="Q20" s="236">
        <v>0</v>
      </c>
      <c r="R20" s="236">
        <v>7.0000000000000007E-2</v>
      </c>
      <c r="S20" s="236">
        <v>0</v>
      </c>
      <c r="T20" s="236">
        <v>0</v>
      </c>
      <c r="U20" s="227">
        <f t="shared" si="36"/>
        <v>7.0000000000000007E-2</v>
      </c>
      <c r="V20" s="148"/>
      <c r="W20" s="236">
        <v>0</v>
      </c>
      <c r="X20" s="236">
        <v>0</v>
      </c>
      <c r="Y20" s="236">
        <v>0</v>
      </c>
      <c r="Z20" s="236">
        <v>0</v>
      </c>
      <c r="AA20" s="236">
        <v>0</v>
      </c>
      <c r="AB20" s="236">
        <v>0</v>
      </c>
      <c r="AC20" s="236">
        <v>0</v>
      </c>
      <c r="AD20" s="236">
        <v>0</v>
      </c>
      <c r="AE20" s="236">
        <v>0</v>
      </c>
      <c r="AF20" s="236">
        <v>0</v>
      </c>
      <c r="AG20" s="236">
        <v>0</v>
      </c>
      <c r="AH20" s="236">
        <v>0</v>
      </c>
      <c r="AI20" s="236">
        <v>0</v>
      </c>
      <c r="AJ20" s="236">
        <v>0</v>
      </c>
      <c r="AK20" s="236">
        <v>0</v>
      </c>
      <c r="AL20" s="236">
        <v>1.27395E-3</v>
      </c>
      <c r="AM20" s="236">
        <v>0</v>
      </c>
      <c r="AN20" s="227">
        <f t="shared" si="37"/>
        <v>1.27395E-3</v>
      </c>
      <c r="AO20" s="148"/>
      <c r="AP20" s="157" t="str">
        <f t="shared" si="4"/>
        <v>-</v>
      </c>
      <c r="AQ20" s="157" t="str">
        <f t="shared" si="5"/>
        <v>-</v>
      </c>
      <c r="AR20" s="157" t="str">
        <f t="shared" si="6"/>
        <v>-</v>
      </c>
      <c r="AS20" s="157" t="str">
        <f t="shared" si="7"/>
        <v>-</v>
      </c>
      <c r="AT20" s="157" t="str">
        <f t="shared" si="8"/>
        <v>-</v>
      </c>
      <c r="AU20" s="157" t="str">
        <f t="shared" si="9"/>
        <v>-</v>
      </c>
      <c r="AV20" s="157" t="str">
        <f t="shared" si="10"/>
        <v>-</v>
      </c>
      <c r="AW20" s="157" t="str">
        <f t="shared" si="11"/>
        <v>-</v>
      </c>
      <c r="AX20" s="157" t="str">
        <f t="shared" si="12"/>
        <v>-</v>
      </c>
      <c r="AY20" s="157" t="str">
        <f t="shared" si="13"/>
        <v>-</v>
      </c>
      <c r="AZ20" s="157" t="str">
        <f t="shared" si="14"/>
        <v>-</v>
      </c>
      <c r="BA20" s="157" t="str">
        <f t="shared" si="15"/>
        <v>-</v>
      </c>
      <c r="BB20" s="157" t="str">
        <f t="shared" si="16"/>
        <v>-</v>
      </c>
      <c r="BC20" s="157" t="str">
        <f t="shared" si="17"/>
        <v>-</v>
      </c>
      <c r="BD20" s="157" t="str">
        <f t="shared" si="18"/>
        <v>-</v>
      </c>
      <c r="BE20" s="157">
        <f t="shared" si="19"/>
        <v>-100</v>
      </c>
      <c r="BF20" s="157" t="str">
        <f t="shared" si="20"/>
        <v>-</v>
      </c>
      <c r="BG20" s="158" t="str">
        <f t="shared" si="21"/>
        <v>-</v>
      </c>
      <c r="BH20" s="150"/>
      <c r="BI20" s="150"/>
      <c r="BJ20" s="150"/>
      <c r="BK20" s="151"/>
      <c r="BL20" s="151"/>
      <c r="BM20" s="151"/>
      <c r="BN20" s="151"/>
    </row>
    <row r="21" spans="3:69" ht="12.75">
      <c r="C21" s="163" t="str">
        <f>IF(Indice_index!$Z$1=1,"Administração Local","Local Government")</f>
        <v>Local Government</v>
      </c>
      <c r="D21" s="236">
        <v>0</v>
      </c>
      <c r="E21" s="236">
        <v>1.932E-2</v>
      </c>
      <c r="F21" s="236">
        <v>0</v>
      </c>
      <c r="G21" s="236">
        <v>0</v>
      </c>
      <c r="H21" s="236">
        <v>0</v>
      </c>
      <c r="I21" s="236">
        <v>0.23184494</v>
      </c>
      <c r="J21" s="236">
        <v>0</v>
      </c>
      <c r="K21" s="236">
        <v>0</v>
      </c>
      <c r="L21" s="236">
        <v>1.0414030000000001E-2</v>
      </c>
      <c r="M21" s="236">
        <v>0</v>
      </c>
      <c r="N21" s="236">
        <v>0</v>
      </c>
      <c r="O21" s="236">
        <v>0.45727266999999999</v>
      </c>
      <c r="P21" s="236">
        <v>0.85850000000000004</v>
      </c>
      <c r="Q21" s="236">
        <v>0.79728683999999994</v>
      </c>
      <c r="R21" s="236">
        <v>26.643164389999995</v>
      </c>
      <c r="S21" s="236">
        <v>1.6394685200000001</v>
      </c>
      <c r="T21" s="236">
        <v>0</v>
      </c>
      <c r="U21" s="227">
        <f t="shared" si="36"/>
        <v>30.657271389999998</v>
      </c>
      <c r="V21" s="148"/>
      <c r="W21" s="236">
        <v>0</v>
      </c>
      <c r="X21" s="236">
        <v>0</v>
      </c>
      <c r="Y21" s="236">
        <v>0</v>
      </c>
      <c r="Z21" s="236">
        <v>0</v>
      </c>
      <c r="AA21" s="236">
        <v>0</v>
      </c>
      <c r="AB21" s="236">
        <v>0.35224182999999998</v>
      </c>
      <c r="AC21" s="236">
        <v>0</v>
      </c>
      <c r="AD21" s="236">
        <v>1.7279800000000001E-3</v>
      </c>
      <c r="AE21" s="236">
        <v>5.2781210000000002E-2</v>
      </c>
      <c r="AF21" s="236">
        <v>0</v>
      </c>
      <c r="AG21" s="236">
        <v>0</v>
      </c>
      <c r="AH21" s="236">
        <v>0.50481429999999994</v>
      </c>
      <c r="AI21" s="236">
        <v>0</v>
      </c>
      <c r="AJ21" s="236">
        <v>1.12110357</v>
      </c>
      <c r="AK21" s="236">
        <v>2.54067314</v>
      </c>
      <c r="AL21" s="236">
        <v>2.0974560499999999</v>
      </c>
      <c r="AM21" s="236">
        <v>0</v>
      </c>
      <c r="AN21" s="227">
        <f t="shared" si="37"/>
        <v>6.67079808</v>
      </c>
      <c r="AO21" s="148"/>
      <c r="AP21" s="157" t="str">
        <f t="shared" si="4"/>
        <v>-</v>
      </c>
      <c r="AQ21" s="157" t="str">
        <f t="shared" si="5"/>
        <v>-</v>
      </c>
      <c r="AR21" s="157" t="str">
        <f t="shared" si="6"/>
        <v>-</v>
      </c>
      <c r="AS21" s="157" t="str">
        <f t="shared" si="7"/>
        <v>-</v>
      </c>
      <c r="AT21" s="157" t="str">
        <f t="shared" si="8"/>
        <v>-</v>
      </c>
      <c r="AU21" s="157">
        <f t="shared" si="9"/>
        <v>-34.180179565839744</v>
      </c>
      <c r="AV21" s="157" t="str">
        <f t="shared" si="10"/>
        <v>-</v>
      </c>
      <c r="AW21" s="157">
        <f t="shared" si="11"/>
        <v>-100</v>
      </c>
      <c r="AX21" s="157">
        <f t="shared" si="12"/>
        <v>-80.269436793889355</v>
      </c>
      <c r="AY21" s="157" t="str">
        <f t="shared" si="13"/>
        <v>-</v>
      </c>
      <c r="AZ21" s="157" t="str">
        <f t="shared" si="14"/>
        <v>-</v>
      </c>
      <c r="BA21" s="157">
        <f t="shared" si="15"/>
        <v>-9.417647241767904</v>
      </c>
      <c r="BB21" s="157" t="str">
        <f t="shared" si="16"/>
        <v>-</v>
      </c>
      <c r="BC21" s="157">
        <f t="shared" si="17"/>
        <v>-28.883748001979882</v>
      </c>
      <c r="BD21" s="157" t="str">
        <f t="shared" si="18"/>
        <v>-</v>
      </c>
      <c r="BE21" s="157">
        <f t="shared" si="19"/>
        <v>-21.83538148510906</v>
      </c>
      <c r="BF21" s="157" t="str">
        <f t="shared" si="20"/>
        <v>-</v>
      </c>
      <c r="BG21" s="158" t="str">
        <f t="shared" si="21"/>
        <v>-</v>
      </c>
      <c r="BH21" s="150"/>
      <c r="BI21" s="150"/>
      <c r="BJ21" s="150"/>
      <c r="BK21" s="151"/>
      <c r="BL21" s="151"/>
      <c r="BM21" s="151"/>
      <c r="BN21" s="151"/>
      <c r="BO21" s="139"/>
      <c r="BP21" s="139"/>
      <c r="BQ21" s="139"/>
    </row>
    <row r="22" spans="3:69" ht="12.75">
      <c r="C22" s="163" t="str">
        <f>IF(Indice_index!$Z$1=1,"Segurança Social","Social Security")</f>
        <v>Social Security</v>
      </c>
      <c r="D22" s="236">
        <v>0</v>
      </c>
      <c r="E22" s="236">
        <v>0</v>
      </c>
      <c r="F22" s="236">
        <v>0</v>
      </c>
      <c r="G22" s="236">
        <v>0</v>
      </c>
      <c r="H22" s="236">
        <v>0</v>
      </c>
      <c r="I22" s="236">
        <v>0</v>
      </c>
      <c r="J22" s="236">
        <v>0</v>
      </c>
      <c r="K22" s="236">
        <v>9.7670000000000005E-5</v>
      </c>
      <c r="L22" s="236">
        <v>0</v>
      </c>
      <c r="M22" s="236">
        <v>53.75</v>
      </c>
      <c r="N22" s="236">
        <v>63.50413193</v>
      </c>
      <c r="O22" s="236">
        <v>0.37608335999999998</v>
      </c>
      <c r="P22" s="236">
        <v>7.6172000000000002E-4</v>
      </c>
      <c r="Q22" s="236">
        <v>0.77113495999999992</v>
      </c>
      <c r="R22" s="236">
        <v>6.9922460000000006E-2</v>
      </c>
      <c r="S22" s="236">
        <v>0</v>
      </c>
      <c r="T22" s="236">
        <v>0</v>
      </c>
      <c r="U22" s="227">
        <f t="shared" si="36"/>
        <v>118.4721321</v>
      </c>
      <c r="V22" s="148"/>
      <c r="W22" s="236">
        <v>0</v>
      </c>
      <c r="X22" s="236">
        <v>0</v>
      </c>
      <c r="Y22" s="236">
        <v>0</v>
      </c>
      <c r="Z22" s="236">
        <v>0</v>
      </c>
      <c r="AA22" s="236">
        <v>0</v>
      </c>
      <c r="AB22" s="236">
        <v>0</v>
      </c>
      <c r="AC22" s="236">
        <v>0</v>
      </c>
      <c r="AD22" s="236">
        <v>0</v>
      </c>
      <c r="AE22" s="236">
        <v>0</v>
      </c>
      <c r="AF22" s="236">
        <v>53.75</v>
      </c>
      <c r="AG22" s="236">
        <v>61.590735029999991</v>
      </c>
      <c r="AH22" s="236">
        <v>0.38241000000000003</v>
      </c>
      <c r="AI22" s="236">
        <v>7.6172000000000002E-4</v>
      </c>
      <c r="AJ22" s="236">
        <v>0.45764746000000001</v>
      </c>
      <c r="AK22" s="236">
        <v>8.3849E-4</v>
      </c>
      <c r="AL22" s="236">
        <v>0</v>
      </c>
      <c r="AM22" s="236">
        <v>0</v>
      </c>
      <c r="AN22" s="227">
        <f t="shared" si="37"/>
        <v>116.18239269999999</v>
      </c>
      <c r="AO22" s="148"/>
      <c r="AP22" s="157" t="str">
        <f t="shared" si="4"/>
        <v>-</v>
      </c>
      <c r="AQ22" s="157" t="str">
        <f t="shared" si="5"/>
        <v>-</v>
      </c>
      <c r="AR22" s="157" t="str">
        <f t="shared" si="6"/>
        <v>-</v>
      </c>
      <c r="AS22" s="157" t="str">
        <f t="shared" si="7"/>
        <v>-</v>
      </c>
      <c r="AT22" s="157" t="str">
        <f t="shared" si="8"/>
        <v>-</v>
      </c>
      <c r="AU22" s="157" t="str">
        <f t="shared" si="9"/>
        <v>-</v>
      </c>
      <c r="AV22" s="157" t="str">
        <f t="shared" si="10"/>
        <v>-</v>
      </c>
      <c r="AW22" s="157" t="str">
        <f t="shared" si="11"/>
        <v>-</v>
      </c>
      <c r="AX22" s="157" t="str">
        <f t="shared" si="12"/>
        <v>-</v>
      </c>
      <c r="AY22" s="157">
        <f t="shared" si="13"/>
        <v>0</v>
      </c>
      <c r="AZ22" s="157">
        <f t="shared" si="14"/>
        <v>3.1066310526542997</v>
      </c>
      <c r="BA22" s="157">
        <f t="shared" si="15"/>
        <v>-1.6544128030124865</v>
      </c>
      <c r="BB22" s="157">
        <f t="shared" si="16"/>
        <v>0</v>
      </c>
      <c r="BC22" s="157">
        <f t="shared" si="17"/>
        <v>68.499779284255155</v>
      </c>
      <c r="BD22" s="157" t="str">
        <f t="shared" si="18"/>
        <v>-</v>
      </c>
      <c r="BE22" s="157" t="str">
        <f t="shared" si="19"/>
        <v>-</v>
      </c>
      <c r="BF22" s="157" t="str">
        <f t="shared" si="20"/>
        <v>-</v>
      </c>
      <c r="BG22" s="158">
        <f t="shared" si="21"/>
        <v>1.9708144640405587</v>
      </c>
      <c r="BH22" s="150"/>
      <c r="BI22" s="150"/>
      <c r="BJ22" s="150"/>
      <c r="BK22" s="151"/>
      <c r="BL22" s="151"/>
      <c r="BM22" s="151"/>
      <c r="BN22" s="151"/>
    </row>
    <row r="23" spans="3:69" ht="12.75">
      <c r="C23" s="159" t="str">
        <f>IF(Indice_index!$Z$1=1,"Outras transferências correntes","Other current transfers")</f>
        <v>Other current transfers</v>
      </c>
      <c r="D23" s="236">
        <v>2.1111340000000034E-2</v>
      </c>
      <c r="E23" s="236">
        <v>2.6455611999999995</v>
      </c>
      <c r="F23" s="236">
        <v>9.4520838699999974</v>
      </c>
      <c r="G23" s="236">
        <v>25.362624139999994</v>
      </c>
      <c r="H23" s="236">
        <v>7.3818019999999998E-2</v>
      </c>
      <c r="I23" s="236">
        <v>22.545675839999998</v>
      </c>
      <c r="J23" s="236">
        <v>1.8811093599999964</v>
      </c>
      <c r="K23" s="236">
        <v>6.7322833899999992</v>
      </c>
      <c r="L23" s="236">
        <v>83.338436429999973</v>
      </c>
      <c r="M23" s="236">
        <v>21.062032159999994</v>
      </c>
      <c r="N23" s="236">
        <v>3443.8748362000001</v>
      </c>
      <c r="O23" s="236">
        <v>13.659909259999949</v>
      </c>
      <c r="P23" s="236">
        <v>6.3638099499999896</v>
      </c>
      <c r="Q23" s="236">
        <v>43.292618679999997</v>
      </c>
      <c r="R23" s="236">
        <v>18.547459280000005</v>
      </c>
      <c r="S23" s="236">
        <v>66.271930539999985</v>
      </c>
      <c r="T23" s="236">
        <v>4.5124070299999994</v>
      </c>
      <c r="U23" s="227">
        <f t="shared" si="36"/>
        <v>3769.63770669</v>
      </c>
      <c r="V23" s="148"/>
      <c r="W23" s="236">
        <v>1.5544999999999476E-2</v>
      </c>
      <c r="X23" s="236">
        <v>6.458121290000002</v>
      </c>
      <c r="Y23" s="236">
        <v>9.7051892099999986</v>
      </c>
      <c r="Z23" s="236">
        <v>22.381070550000011</v>
      </c>
      <c r="AA23" s="236">
        <v>0.35990662000000001</v>
      </c>
      <c r="AB23" s="236">
        <v>26.417048360000003</v>
      </c>
      <c r="AC23" s="236">
        <v>1.7952298499999841</v>
      </c>
      <c r="AD23" s="236">
        <v>2.8364111000000012</v>
      </c>
      <c r="AE23" s="236">
        <v>96.472013070000017</v>
      </c>
      <c r="AF23" s="236">
        <v>21.29633110000001</v>
      </c>
      <c r="AG23" s="236">
        <v>3514.9241974100005</v>
      </c>
      <c r="AH23" s="236">
        <v>25.216448590000027</v>
      </c>
      <c r="AI23" s="236">
        <v>13.884450100000009</v>
      </c>
      <c r="AJ23" s="236">
        <v>22.953056929999995</v>
      </c>
      <c r="AK23" s="236">
        <v>37.562266820000005</v>
      </c>
      <c r="AL23" s="236">
        <v>91.279834889999989</v>
      </c>
      <c r="AM23" s="236">
        <v>4.4040045199999991</v>
      </c>
      <c r="AN23" s="227">
        <f t="shared" si="37"/>
        <v>3897.96112541</v>
      </c>
      <c r="AO23" s="148"/>
      <c r="AP23" s="157">
        <f t="shared" si="4"/>
        <v>35.807912512066551</v>
      </c>
      <c r="AQ23" s="157">
        <f t="shared" si="5"/>
        <v>-59.035126762074199</v>
      </c>
      <c r="AR23" s="157">
        <f t="shared" si="6"/>
        <v>-2.6079382330764598</v>
      </c>
      <c r="AS23" s="157">
        <f t="shared" si="7"/>
        <v>13.32176485186041</v>
      </c>
      <c r="AT23" s="157">
        <f t="shared" si="8"/>
        <v>-79.489674293848779</v>
      </c>
      <c r="AU23" s="157">
        <f t="shared" si="9"/>
        <v>-14.654826183616846</v>
      </c>
      <c r="AV23" s="157">
        <f t="shared" si="10"/>
        <v>4.7837612548617674</v>
      </c>
      <c r="AW23" s="157">
        <f t="shared" si="11"/>
        <v>137.352173315074</v>
      </c>
      <c r="AX23" s="157">
        <f t="shared" si="12"/>
        <v>-13.613872274511706</v>
      </c>
      <c r="AY23" s="157">
        <f t="shared" si="13"/>
        <v>-1.1001845289680732</v>
      </c>
      <c r="AZ23" s="157">
        <f t="shared" si="14"/>
        <v>-2.0213625449548429</v>
      </c>
      <c r="BA23" s="157">
        <f t="shared" si="15"/>
        <v>-45.829369226017825</v>
      </c>
      <c r="BB23" s="157">
        <f t="shared" si="16"/>
        <v>-54.165920118075221</v>
      </c>
      <c r="BC23" s="157">
        <f t="shared" si="17"/>
        <v>88.613738083034519</v>
      </c>
      <c r="BD23" s="157">
        <f t="shared" si="18"/>
        <v>-50.622098051536071</v>
      </c>
      <c r="BE23" s="157">
        <f t="shared" si="19"/>
        <v>-27.396964926740573</v>
      </c>
      <c r="BF23" s="157">
        <f t="shared" si="20"/>
        <v>2.46145319578374</v>
      </c>
      <c r="BG23" s="158">
        <f t="shared" si="21"/>
        <v>-3.2920651230584705</v>
      </c>
      <c r="BH23" s="150"/>
      <c r="BI23" s="150"/>
      <c r="BJ23" s="150"/>
      <c r="BK23" s="151"/>
      <c r="BL23" s="151"/>
      <c r="BM23" s="151"/>
      <c r="BN23" s="151"/>
    </row>
    <row r="24" spans="3:69" ht="12.75">
      <c r="C24" s="156" t="str">
        <f>IF(Indice_index!$Z$1=1,"Subsídios","Subsidies")</f>
        <v>Subsidies</v>
      </c>
      <c r="D24" s="236">
        <v>7.7534452800000002</v>
      </c>
      <c r="E24" s="236">
        <v>0</v>
      </c>
      <c r="F24" s="236">
        <v>0</v>
      </c>
      <c r="G24" s="236">
        <v>0</v>
      </c>
      <c r="H24" s="236">
        <v>0.22358240999999998</v>
      </c>
      <c r="I24" s="236">
        <v>0</v>
      </c>
      <c r="J24" s="236">
        <v>0</v>
      </c>
      <c r="K24" s="236">
        <v>6.5089295599999994</v>
      </c>
      <c r="L24" s="236">
        <v>0</v>
      </c>
      <c r="M24" s="236">
        <v>0</v>
      </c>
      <c r="N24" s="236">
        <v>102.35855388000002</v>
      </c>
      <c r="O24" s="236">
        <v>0</v>
      </c>
      <c r="P24" s="236">
        <v>5.7181999999999997E-3</v>
      </c>
      <c r="Q24" s="236">
        <v>0.24599732000000002</v>
      </c>
      <c r="R24" s="236">
        <v>1.47105</v>
      </c>
      <c r="S24" s="236">
        <v>6.6189076</v>
      </c>
      <c r="T24" s="236">
        <v>0</v>
      </c>
      <c r="U24" s="227">
        <f t="shared" si="36"/>
        <v>125.18618425000003</v>
      </c>
      <c r="V24" s="148"/>
      <c r="W24" s="236">
        <v>18.720513309999998</v>
      </c>
      <c r="X24" s="236">
        <v>0</v>
      </c>
      <c r="Y24" s="236">
        <v>0</v>
      </c>
      <c r="Z24" s="236">
        <v>0</v>
      </c>
      <c r="AA24" s="236">
        <v>0</v>
      </c>
      <c r="AB24" s="236">
        <v>0</v>
      </c>
      <c r="AC24" s="236">
        <v>0</v>
      </c>
      <c r="AD24" s="236">
        <v>5.4727789299999987</v>
      </c>
      <c r="AE24" s="236">
        <v>5.0000000000000001E-3</v>
      </c>
      <c r="AF24" s="236">
        <v>0</v>
      </c>
      <c r="AG24" s="236">
        <v>125.22002801999999</v>
      </c>
      <c r="AH24" s="236">
        <v>0</v>
      </c>
      <c r="AI24" s="236">
        <v>6.1280900000000001E-3</v>
      </c>
      <c r="AJ24" s="236">
        <v>0.20162998999999998</v>
      </c>
      <c r="AK24" s="236">
        <v>0.216</v>
      </c>
      <c r="AL24" s="236">
        <v>5.7861248199999995</v>
      </c>
      <c r="AM24" s="236">
        <v>0</v>
      </c>
      <c r="AN24" s="227">
        <f t="shared" si="37"/>
        <v>155.62820315999997</v>
      </c>
      <c r="AO24" s="148"/>
      <c r="AP24" s="157">
        <f t="shared" si="4"/>
        <v>-58.583158743524841</v>
      </c>
      <c r="AQ24" s="157" t="str">
        <f t="shared" si="5"/>
        <v>-</v>
      </c>
      <c r="AR24" s="157" t="str">
        <f t="shared" si="6"/>
        <v>-</v>
      </c>
      <c r="AS24" s="157" t="str">
        <f t="shared" si="7"/>
        <v>-</v>
      </c>
      <c r="AT24" s="157" t="str">
        <f t="shared" si="8"/>
        <v>-</v>
      </c>
      <c r="AU24" s="157" t="str">
        <f t="shared" si="9"/>
        <v>-</v>
      </c>
      <c r="AV24" s="157" t="str">
        <f t="shared" si="10"/>
        <v>-</v>
      </c>
      <c r="AW24" s="157">
        <f t="shared" si="11"/>
        <v>18.932806226104969</v>
      </c>
      <c r="AX24" s="157">
        <f t="shared" si="12"/>
        <v>-100</v>
      </c>
      <c r="AY24" s="157" t="str">
        <f t="shared" si="13"/>
        <v>-</v>
      </c>
      <c r="AZ24" s="157">
        <f t="shared" si="14"/>
        <v>-18.257042824130789</v>
      </c>
      <c r="BA24" s="157" t="str">
        <f t="shared" si="15"/>
        <v>-</v>
      </c>
      <c r="BB24" s="157">
        <f t="shared" si="16"/>
        <v>-6.6887072480985177</v>
      </c>
      <c r="BC24" s="157">
        <f t="shared" si="17"/>
        <v>22.004330804162635</v>
      </c>
      <c r="BD24" s="157" t="str">
        <f t="shared" si="18"/>
        <v>-</v>
      </c>
      <c r="BE24" s="157">
        <f t="shared" si="19"/>
        <v>14.39275518428931</v>
      </c>
      <c r="BF24" s="157" t="str">
        <f t="shared" si="20"/>
        <v>-</v>
      </c>
      <c r="BG24" s="158">
        <f t="shared" si="21"/>
        <v>-19.56073403912707</v>
      </c>
      <c r="BH24" s="150"/>
      <c r="BI24" s="150"/>
      <c r="BJ24" s="150"/>
      <c r="BK24" s="151"/>
      <c r="BL24" s="151"/>
      <c r="BM24" s="151"/>
      <c r="BN24" s="151"/>
    </row>
    <row r="25" spans="3:69" ht="12.75">
      <c r="C25" s="156" t="str">
        <f>IF(Indice_index!$Z$1=1,"Outras despesas correntes","Other current expenditure")</f>
        <v>Other current expenditure</v>
      </c>
      <c r="D25" s="236">
        <v>0.21659404000000002</v>
      </c>
      <c r="E25" s="236">
        <v>1.2549134199999998</v>
      </c>
      <c r="F25" s="236">
        <v>0.18105625999999997</v>
      </c>
      <c r="G25" s="236">
        <v>5.5376714099999997</v>
      </c>
      <c r="H25" s="236">
        <v>7.7629215600000006</v>
      </c>
      <c r="I25" s="236">
        <v>1.3179023899999998</v>
      </c>
      <c r="J25" s="236">
        <v>0.12189772000000001</v>
      </c>
      <c r="K25" s="236">
        <v>2.0975217600000002</v>
      </c>
      <c r="L25" s="236">
        <v>5.5186844200000014</v>
      </c>
      <c r="M25" s="236">
        <v>8.7029559399999989</v>
      </c>
      <c r="N25" s="236">
        <v>2.5856552500000003</v>
      </c>
      <c r="O25" s="236">
        <v>14.17138615</v>
      </c>
      <c r="P25" s="236">
        <v>25.914150580000001</v>
      </c>
      <c r="Q25" s="236">
        <v>3.4872550199999997</v>
      </c>
      <c r="R25" s="236">
        <v>3.9665607099999991</v>
      </c>
      <c r="S25" s="236">
        <v>1.77576125</v>
      </c>
      <c r="T25" s="236">
        <v>4.1654410000000003E-2</v>
      </c>
      <c r="U25" s="227">
        <f t="shared" si="36"/>
        <v>84.654542290000009</v>
      </c>
      <c r="V25" s="148"/>
      <c r="W25" s="236">
        <v>0.18375042000000003</v>
      </c>
      <c r="X25" s="236">
        <v>0.98665701000000006</v>
      </c>
      <c r="Y25" s="236">
        <v>0.36216594999999996</v>
      </c>
      <c r="Z25" s="236">
        <v>9.3675143799999994</v>
      </c>
      <c r="AA25" s="236">
        <v>5.8538840000000008</v>
      </c>
      <c r="AB25" s="236">
        <v>2.8987200000000001E-2</v>
      </c>
      <c r="AC25" s="236">
        <v>0.13122879000000001</v>
      </c>
      <c r="AD25" s="236">
        <v>2.3606385200000002</v>
      </c>
      <c r="AE25" s="236">
        <v>4.1867227300000005</v>
      </c>
      <c r="AF25" s="236">
        <v>10.000363699999999</v>
      </c>
      <c r="AG25" s="236">
        <v>4.6851326400000008</v>
      </c>
      <c r="AH25" s="236">
        <v>6.9130265499999979</v>
      </c>
      <c r="AI25" s="236">
        <v>1.09489594</v>
      </c>
      <c r="AJ25" s="236">
        <v>3.8150614100000002</v>
      </c>
      <c r="AK25" s="236">
        <v>6.66059088</v>
      </c>
      <c r="AL25" s="236">
        <v>0.98980608999999997</v>
      </c>
      <c r="AM25" s="236">
        <v>2.61444E-3</v>
      </c>
      <c r="AN25" s="227">
        <f t="shared" ref="AN25" si="38">SUM(W25:AM25)</f>
        <v>57.62304065</v>
      </c>
      <c r="AO25" s="148"/>
      <c r="AP25" s="157">
        <f t="shared" si="4"/>
        <v>17.874038056620488</v>
      </c>
      <c r="AQ25" s="157">
        <f t="shared" si="5"/>
        <v>27.188415759596108</v>
      </c>
      <c r="AR25" s="157">
        <f t="shared" si="6"/>
        <v>-50.007376452700761</v>
      </c>
      <c r="AS25" s="157">
        <f t="shared" si="7"/>
        <v>-40.884303078059432</v>
      </c>
      <c r="AT25" s="157">
        <f t="shared" si="8"/>
        <v>32.611468898256263</v>
      </c>
      <c r="AU25" s="157" t="str">
        <f t="shared" si="9"/>
        <v>-</v>
      </c>
      <c r="AV25" s="157">
        <f t="shared" si="10"/>
        <v>-7.1105357292405094</v>
      </c>
      <c r="AW25" s="157">
        <f t="shared" si="11"/>
        <v>-11.14599960014208</v>
      </c>
      <c r="AX25" s="157">
        <f t="shared" si="12"/>
        <v>31.813945558319805</v>
      </c>
      <c r="AY25" s="157">
        <f t="shared" si="13"/>
        <v>-12.97360574995888</v>
      </c>
      <c r="AZ25" s="157">
        <f t="shared" si="14"/>
        <v>-44.811482434358574</v>
      </c>
      <c r="BA25" s="157">
        <f t="shared" si="15"/>
        <v>104.99539597457506</v>
      </c>
      <c r="BB25" s="157" t="str">
        <f t="shared" si="16"/>
        <v>-</v>
      </c>
      <c r="BC25" s="157">
        <f t="shared" si="17"/>
        <v>-8.5924276118008951</v>
      </c>
      <c r="BD25" s="157">
        <f t="shared" si="18"/>
        <v>-40.447314938520904</v>
      </c>
      <c r="BE25" s="157">
        <f t="shared" si="19"/>
        <v>79.404963046852956</v>
      </c>
      <c r="BF25" s="157" t="str">
        <f t="shared" si="20"/>
        <v>-</v>
      </c>
      <c r="BG25" s="158">
        <f t="shared" si="21"/>
        <v>46.910925447666408</v>
      </c>
      <c r="BH25" s="150"/>
      <c r="BI25" s="150"/>
      <c r="BJ25" s="150"/>
      <c r="BK25" s="151"/>
      <c r="BL25" s="151"/>
      <c r="BM25" s="151"/>
      <c r="BN25" s="151"/>
    </row>
    <row r="26" spans="3:69" ht="12.75">
      <c r="C26" s="164"/>
      <c r="D26" s="236"/>
      <c r="E26" s="236"/>
      <c r="F26" s="236"/>
      <c r="G26" s="236"/>
      <c r="H26" s="236"/>
      <c r="I26" s="236"/>
      <c r="J26" s="236"/>
      <c r="K26" s="236"/>
      <c r="L26" s="236"/>
      <c r="M26" s="236"/>
      <c r="N26" s="236"/>
      <c r="O26" s="236"/>
      <c r="P26" s="236"/>
      <c r="Q26" s="236"/>
      <c r="R26" s="236"/>
      <c r="S26" s="236"/>
      <c r="T26" s="236"/>
      <c r="U26" s="227"/>
      <c r="V26" s="148"/>
      <c r="W26" s="236"/>
      <c r="X26" s="236"/>
      <c r="Y26" s="236"/>
      <c r="Z26" s="236"/>
      <c r="AA26" s="236"/>
      <c r="AB26" s="236"/>
      <c r="AC26" s="236"/>
      <c r="AD26" s="236"/>
      <c r="AE26" s="236"/>
      <c r="AF26" s="236"/>
      <c r="AG26" s="236"/>
      <c r="AH26" s="236"/>
      <c r="AI26" s="236"/>
      <c r="AJ26" s="236"/>
      <c r="AK26" s="236"/>
      <c r="AL26" s="236"/>
      <c r="AM26" s="236"/>
      <c r="AN26" s="227"/>
      <c r="AO26" s="148"/>
      <c r="AP26" s="157"/>
      <c r="AQ26" s="157"/>
      <c r="AR26" s="157"/>
      <c r="AS26" s="157"/>
      <c r="AT26" s="157"/>
      <c r="AU26" s="157"/>
      <c r="AV26" s="157"/>
      <c r="AW26" s="157"/>
      <c r="AX26" s="157"/>
      <c r="AY26" s="157"/>
      <c r="AZ26" s="157"/>
      <c r="BA26" s="157"/>
      <c r="BB26" s="157"/>
      <c r="BC26" s="157"/>
      <c r="BD26" s="157"/>
      <c r="BE26" s="157"/>
      <c r="BF26" s="157"/>
      <c r="BG26" s="158"/>
      <c r="BH26" s="150"/>
      <c r="BI26" s="150"/>
      <c r="BJ26" s="150"/>
      <c r="BK26" s="151"/>
      <c r="BL26" s="151"/>
      <c r="BM26" s="151"/>
      <c r="BN26" s="151"/>
    </row>
    <row r="27" spans="3:69" ht="12.75">
      <c r="C27" s="165" t="str">
        <f>IF(Indice_index!$Z$1=1,"Despesa de capital","Capital expenditure")</f>
        <v>Capital expenditure</v>
      </c>
      <c r="D27" s="238">
        <f t="shared" ref="D27:T27" si="39">+D28+D29+D36</f>
        <v>1.3674392499999999</v>
      </c>
      <c r="E27" s="238">
        <f t="shared" si="39"/>
        <v>1.0981673600000001</v>
      </c>
      <c r="F27" s="238">
        <f t="shared" si="39"/>
        <v>4.43155052</v>
      </c>
      <c r="G27" s="238">
        <f t="shared" si="39"/>
        <v>2.1363055700000002</v>
      </c>
      <c r="H27" s="238">
        <f t="shared" si="39"/>
        <v>0.71018577999999999</v>
      </c>
      <c r="I27" s="238">
        <f t="shared" si="39"/>
        <v>0.67890069999999991</v>
      </c>
      <c r="J27" s="238">
        <f t="shared" si="39"/>
        <v>11.345973449999999</v>
      </c>
      <c r="K27" s="238">
        <f t="shared" ref="K27:N27" si="40">+K28+K29+K36</f>
        <v>3.7290122400000008</v>
      </c>
      <c r="L27" s="238">
        <f t="shared" si="40"/>
        <v>145.57703210999998</v>
      </c>
      <c r="M27" s="238">
        <f t="shared" si="40"/>
        <v>9.2878709100000023</v>
      </c>
      <c r="N27" s="238">
        <f t="shared" si="40"/>
        <v>21.1157751</v>
      </c>
      <c r="O27" s="238">
        <f t="shared" si="39"/>
        <v>53.42811408999998</v>
      </c>
      <c r="P27" s="238">
        <f t="shared" si="39"/>
        <v>699.59187216000021</v>
      </c>
      <c r="Q27" s="238">
        <f t="shared" si="39"/>
        <v>36.605539370000002</v>
      </c>
      <c r="R27" s="238">
        <f t="shared" si="39"/>
        <v>18.738623350000001</v>
      </c>
      <c r="S27" s="238">
        <f t="shared" si="39"/>
        <v>111.10715408</v>
      </c>
      <c r="T27" s="238">
        <f t="shared" si="39"/>
        <v>0.18368189999999998</v>
      </c>
      <c r="U27" s="232">
        <f t="shared" si="36"/>
        <v>1121.1331979400002</v>
      </c>
      <c r="V27" s="166"/>
      <c r="W27" s="238">
        <f t="shared" ref="W27:AM27" si="41">+W28+W29+W36</f>
        <v>1.3572178299999997</v>
      </c>
      <c r="X27" s="238">
        <f t="shared" si="41"/>
        <v>0.32470565000000001</v>
      </c>
      <c r="Y27" s="238">
        <f t="shared" si="41"/>
        <v>3.0711225300000002</v>
      </c>
      <c r="Z27" s="238">
        <f t="shared" si="41"/>
        <v>2.7632590700000002</v>
      </c>
      <c r="AA27" s="238">
        <f t="shared" si="41"/>
        <v>0.65254683999999996</v>
      </c>
      <c r="AB27" s="238">
        <f t="shared" si="41"/>
        <v>0.39770429000000007</v>
      </c>
      <c r="AC27" s="238">
        <f t="shared" si="41"/>
        <v>6.0560752400000002</v>
      </c>
      <c r="AD27" s="238">
        <f t="shared" si="41"/>
        <v>5.3074243299999999</v>
      </c>
      <c r="AE27" s="238">
        <f t="shared" si="41"/>
        <v>103.40556328000002</v>
      </c>
      <c r="AF27" s="238">
        <f t="shared" si="41"/>
        <v>2.4659968300000004</v>
      </c>
      <c r="AG27" s="238">
        <f t="shared" si="41"/>
        <v>18.606242290000004</v>
      </c>
      <c r="AH27" s="238">
        <f t="shared" si="41"/>
        <v>43.795483359999977</v>
      </c>
      <c r="AI27" s="238">
        <f t="shared" si="41"/>
        <v>740.00043876000018</v>
      </c>
      <c r="AJ27" s="238">
        <f t="shared" si="41"/>
        <v>30.959645320000003</v>
      </c>
      <c r="AK27" s="238">
        <f t="shared" si="41"/>
        <v>16.917336049999999</v>
      </c>
      <c r="AL27" s="238">
        <f t="shared" si="41"/>
        <v>88.04188637999998</v>
      </c>
      <c r="AM27" s="238">
        <f t="shared" si="41"/>
        <v>0.44922070000000003</v>
      </c>
      <c r="AN27" s="232">
        <f>SUM(W27:AM27)</f>
        <v>1064.5718687500002</v>
      </c>
      <c r="AO27" s="166"/>
      <c r="AP27" s="167">
        <f t="shared" ref="AP27:AP36" si="42">IF(W27=0,"-",IF((D27/W27)&gt;3,"-",((D27-W27)/W27)*100))</f>
        <v>0.75311565867066088</v>
      </c>
      <c r="AQ27" s="167" t="str">
        <f t="shared" ref="AQ27:AQ36" si="43">IF(X27=0,"-",IF((E27/X27)&gt;3,"-",((E27-X27)/X27)*100))</f>
        <v>-</v>
      </c>
      <c r="AR27" s="167">
        <f t="shared" ref="AR27:AR36" si="44">IF(Y27=0,"-",IF((F27/Y27)&gt;3,"-",((F27-Y27)/Y27)*100))</f>
        <v>44.297418182139403</v>
      </c>
      <c r="AS27" s="167">
        <f t="shared" ref="AS27:AS36" si="45">IF(Z27=0,"-",IF((G27/Z27)&gt;3,"-",((G27-Z27)/Z27)*100))</f>
        <v>-22.68891494129792</v>
      </c>
      <c r="AT27" s="167">
        <f t="shared" ref="AT27:AT36" si="46">IF(AA27=0,"-",IF((H27/AA27)&gt;3,"-",((H27-AA27)/AA27)*100))</f>
        <v>8.8329199479381479</v>
      </c>
      <c r="AU27" s="167">
        <f t="shared" ref="AU27:AU36" si="47">IF(AB27=0,"-",IF((I27/AB27)&gt;3,"-",((I27-AB27)/AB27)*100))</f>
        <v>70.704897349736868</v>
      </c>
      <c r="AV27" s="167">
        <f t="shared" ref="AV27:AV36" si="48">IF(AC27=0,"-",IF((J27/AC27)&gt;3,"-",((J27-AC27)/AC27)*100))</f>
        <v>87.34862101878376</v>
      </c>
      <c r="AW27" s="167">
        <f t="shared" ref="AW27:AW36" si="49">IF(AD27=0,"-",IF((K27/AD27)&gt;3,"-",((K27-AD27)/AD27)*100))</f>
        <v>-29.739700311469146</v>
      </c>
      <c r="AX27" s="167">
        <f t="shared" ref="AX27:AX36" si="50">IF(AE27=0,"-",IF((L27/AE27)&gt;3,"-",((L27-AE27)/AE27)*100))</f>
        <v>40.782591857082856</v>
      </c>
      <c r="AY27" s="167" t="str">
        <f t="shared" ref="AY27:AY36" si="51">IF(AF27=0,"-",IF((M27/AF27)&gt;3,"-",((M27-AF27)/AF27)*100))</f>
        <v>-</v>
      </c>
      <c r="AZ27" s="167">
        <f t="shared" ref="AZ27:AZ36" si="52">IF(AG27=0,"-",IF((N27/AG27)&gt;3,"-",((N27-AG27)/AG27)*100))</f>
        <v>13.487585353807599</v>
      </c>
      <c r="BA27" s="167">
        <f t="shared" ref="BA27:BA36" si="53">IF(AH27=0,"-",IF((O27/AH27)&gt;3,"-",((O27-AH27)/AH27)*100))</f>
        <v>21.994575675348838</v>
      </c>
      <c r="BB27" s="167">
        <f t="shared" ref="BB27:BB36" si="54">IF(AI27=0,"-",IF((P27/AI27)&gt;3,"-",((P27-AI27)/AI27)*100))</f>
        <v>-5.4606138704068306</v>
      </c>
      <c r="BC27" s="167">
        <f t="shared" ref="BC27:BC36" si="55">IF(AJ27=0,"-",IF((Q27/AJ27)&gt;3,"-",((Q27-AJ27)/AJ27)*100))</f>
        <v>18.236300809146343</v>
      </c>
      <c r="BD27" s="167">
        <f t="shared" ref="BD27:BD36" si="56">IF(AK27=0,"-",IF((R27/AK27)&gt;3,"-",((R27-AK27)/AK27)*100))</f>
        <v>10.765804347783241</v>
      </c>
      <c r="BE27" s="167">
        <f t="shared" ref="BE27:BE36" si="57">IF(AL27=0,"-",IF((S27/AL27)&gt;3,"-",((S27-AL27)/AL27)*100))</f>
        <v>26.198061682194535</v>
      </c>
      <c r="BF27" s="167">
        <f t="shared" ref="BF27:BF36" si="58">IF(AM27=0,"-",IF((T27/AM27)&gt;3,"-",((T27-AM27)/AM27)*100))</f>
        <v>-59.110989319948985</v>
      </c>
      <c r="BG27" s="168">
        <f t="shared" ref="BG27:BG36" si="59">IF(AN27=0,"-",IF((U27/AN27)&gt;3,"-",((U27-AN27)/AN27)*100))</f>
        <v>5.313058784505845</v>
      </c>
      <c r="BH27" s="169"/>
      <c r="BI27" s="150"/>
      <c r="BJ27" s="150"/>
      <c r="BK27" s="151"/>
      <c r="BL27" s="151"/>
      <c r="BM27" s="151"/>
      <c r="BN27" s="151"/>
    </row>
    <row r="28" spans="3:69" ht="12.75">
      <c r="C28" s="156" t="str">
        <f>IF(Indice_index!$Z$1=1,"Investimento","Investment")</f>
        <v>Investment</v>
      </c>
      <c r="D28" s="236">
        <v>1.2125695799999998</v>
      </c>
      <c r="E28" s="236">
        <v>1.0981673600000001</v>
      </c>
      <c r="F28" s="236">
        <v>0.33639252000000003</v>
      </c>
      <c r="G28" s="236">
        <v>2.1363055700000002</v>
      </c>
      <c r="H28" s="236">
        <v>0.71018577999999999</v>
      </c>
      <c r="I28" s="236">
        <v>0.55926688999999996</v>
      </c>
      <c r="J28" s="236">
        <v>5.5160046000000005</v>
      </c>
      <c r="K28" s="236">
        <v>3.7290122400000008</v>
      </c>
      <c r="L28" s="236">
        <v>30.478408639999987</v>
      </c>
      <c r="M28" s="236">
        <v>8.2834709100000019</v>
      </c>
      <c r="N28" s="236">
        <v>12.254565770000001</v>
      </c>
      <c r="O28" s="236">
        <v>52.916537279999979</v>
      </c>
      <c r="P28" s="236">
        <v>698.58462212000018</v>
      </c>
      <c r="Q28" s="236">
        <v>0.83600655999999995</v>
      </c>
      <c r="R28" s="236">
        <v>18.64277929</v>
      </c>
      <c r="S28" s="236">
        <v>5.6438102299999997</v>
      </c>
      <c r="T28" s="236">
        <v>0.17286810999999999</v>
      </c>
      <c r="U28" s="227">
        <f t="shared" si="36"/>
        <v>843.11097345000007</v>
      </c>
      <c r="V28" s="148"/>
      <c r="W28" s="236">
        <v>1.1409878299999998</v>
      </c>
      <c r="X28" s="236">
        <v>0.32470565000000001</v>
      </c>
      <c r="Y28" s="236">
        <v>0.6185495299999999</v>
      </c>
      <c r="Z28" s="236">
        <v>2.04518866</v>
      </c>
      <c r="AA28" s="236">
        <v>0.65254683999999996</v>
      </c>
      <c r="AB28" s="236">
        <v>0.30570429000000005</v>
      </c>
      <c r="AC28" s="236">
        <v>2.8043993899999995</v>
      </c>
      <c r="AD28" s="236">
        <v>4.8074243299999999</v>
      </c>
      <c r="AE28" s="236">
        <v>24.791980930000012</v>
      </c>
      <c r="AF28" s="236">
        <v>2.4000304700000004</v>
      </c>
      <c r="AG28" s="236">
        <v>14.700575640000004</v>
      </c>
      <c r="AH28" s="236">
        <v>43.104509859999979</v>
      </c>
      <c r="AI28" s="236">
        <v>739.9640180900002</v>
      </c>
      <c r="AJ28" s="236">
        <v>1.4841369600000003</v>
      </c>
      <c r="AK28" s="236">
        <v>15.03703269</v>
      </c>
      <c r="AL28" s="236">
        <v>2.3702157799999997</v>
      </c>
      <c r="AM28" s="236">
        <v>0.44922070000000003</v>
      </c>
      <c r="AN28" s="227">
        <f>SUM(W28:AM28)</f>
        <v>857.00122764000014</v>
      </c>
      <c r="AO28" s="148"/>
      <c r="AP28" s="157">
        <f t="shared" si="42"/>
        <v>6.273664636720973</v>
      </c>
      <c r="AQ28" s="157" t="str">
        <f t="shared" si="43"/>
        <v>-</v>
      </c>
      <c r="AR28" s="157">
        <f t="shared" si="44"/>
        <v>-45.615912116205138</v>
      </c>
      <c r="AS28" s="157">
        <f t="shared" si="45"/>
        <v>4.4551836112762437</v>
      </c>
      <c r="AT28" s="157">
        <f t="shared" si="46"/>
        <v>8.8329199479381479</v>
      </c>
      <c r="AU28" s="157">
        <f t="shared" si="47"/>
        <v>82.943749333710642</v>
      </c>
      <c r="AV28" s="157">
        <f t="shared" si="48"/>
        <v>96.691121088854658</v>
      </c>
      <c r="AW28" s="157">
        <f t="shared" si="49"/>
        <v>-22.432221829688149</v>
      </c>
      <c r="AX28" s="157">
        <f t="shared" si="50"/>
        <v>22.936560519530751</v>
      </c>
      <c r="AY28" s="157" t="str">
        <f t="shared" si="51"/>
        <v>-</v>
      </c>
      <c r="AZ28" s="157">
        <f t="shared" si="52"/>
        <v>-16.638871360550354</v>
      </c>
      <c r="BA28" s="157">
        <f t="shared" si="53"/>
        <v>22.763342981671027</v>
      </c>
      <c r="BB28" s="157">
        <f t="shared" si="54"/>
        <v>-5.59208217675351</v>
      </c>
      <c r="BC28" s="157">
        <f t="shared" si="55"/>
        <v>-43.670524855064599</v>
      </c>
      <c r="BD28" s="157">
        <f t="shared" si="56"/>
        <v>23.979109937015107</v>
      </c>
      <c r="BE28" s="157">
        <f t="shared" si="57"/>
        <v>138.11377333754822</v>
      </c>
      <c r="BF28" s="157">
        <f t="shared" si="58"/>
        <v>-61.518222557419989</v>
      </c>
      <c r="BG28" s="158">
        <f t="shared" si="59"/>
        <v>-1.6207974670294094</v>
      </c>
      <c r="BH28" s="169"/>
      <c r="BI28" s="150"/>
      <c r="BJ28" s="150"/>
      <c r="BK28" s="151"/>
      <c r="BL28" s="151"/>
      <c r="BM28" s="151"/>
      <c r="BN28" s="151"/>
    </row>
    <row r="29" spans="3:69" ht="12.75">
      <c r="C29" s="156" t="str">
        <f>IF(Indice_index!$Z$1=1,"Transferências de capital","Capital transfers")</f>
        <v>Capital transfers</v>
      </c>
      <c r="D29" s="237">
        <f t="shared" ref="D29:T29" si="60">+D30+D35</f>
        <v>0.15486967000000001</v>
      </c>
      <c r="E29" s="237">
        <f t="shared" si="60"/>
        <v>0</v>
      </c>
      <c r="F29" s="237">
        <f t="shared" si="60"/>
        <v>4.0951579999999996</v>
      </c>
      <c r="G29" s="237">
        <f t="shared" si="60"/>
        <v>0</v>
      </c>
      <c r="H29" s="237">
        <f t="shared" si="60"/>
        <v>0</v>
      </c>
      <c r="I29" s="237">
        <f t="shared" si="60"/>
        <v>0.11963380999999999</v>
      </c>
      <c r="J29" s="237">
        <f t="shared" si="60"/>
        <v>5.8299688499999993</v>
      </c>
      <c r="K29" s="237">
        <f t="shared" ref="K29:N29" si="61">+K30+K35</f>
        <v>0</v>
      </c>
      <c r="L29" s="237">
        <f t="shared" si="61"/>
        <v>115.09862346999999</v>
      </c>
      <c r="M29" s="237">
        <f t="shared" si="61"/>
        <v>1.0044</v>
      </c>
      <c r="N29" s="237">
        <f t="shared" si="61"/>
        <v>8.8612093299999994</v>
      </c>
      <c r="O29" s="237">
        <f t="shared" si="60"/>
        <v>0.5115768100000001</v>
      </c>
      <c r="P29" s="237">
        <f t="shared" si="60"/>
        <v>1.00725004</v>
      </c>
      <c r="Q29" s="237">
        <f t="shared" si="60"/>
        <v>35.769532810000001</v>
      </c>
      <c r="R29" s="237">
        <f t="shared" si="60"/>
        <v>9.5844059999999995E-2</v>
      </c>
      <c r="S29" s="237">
        <f t="shared" si="60"/>
        <v>105.46334385</v>
      </c>
      <c r="T29" s="237">
        <f t="shared" si="60"/>
        <v>1.081379E-2</v>
      </c>
      <c r="U29" s="227">
        <f>+U30+U35</f>
        <v>278.02222448999999</v>
      </c>
      <c r="V29" s="148"/>
      <c r="W29" s="237">
        <f t="shared" ref="W29:AM29" si="62">+W30+W35</f>
        <v>0.21623000000000001</v>
      </c>
      <c r="X29" s="237">
        <f t="shared" si="62"/>
        <v>0</v>
      </c>
      <c r="Y29" s="237">
        <f t="shared" si="62"/>
        <v>2.4525730000000001</v>
      </c>
      <c r="Z29" s="237">
        <f t="shared" si="62"/>
        <v>0.71807041000000005</v>
      </c>
      <c r="AA29" s="237">
        <f t="shared" si="62"/>
        <v>0</v>
      </c>
      <c r="AB29" s="237">
        <f t="shared" si="62"/>
        <v>9.1999999999999998E-2</v>
      </c>
      <c r="AC29" s="237">
        <f t="shared" si="62"/>
        <v>3.2516758500000003</v>
      </c>
      <c r="AD29" s="237">
        <f t="shared" si="62"/>
        <v>0.5</v>
      </c>
      <c r="AE29" s="237">
        <f t="shared" si="62"/>
        <v>78.613582350000016</v>
      </c>
      <c r="AF29" s="237">
        <f t="shared" si="62"/>
        <v>4.9847919999999997E-2</v>
      </c>
      <c r="AG29" s="237">
        <f t="shared" si="62"/>
        <v>3.9056666500000001</v>
      </c>
      <c r="AH29" s="237">
        <f t="shared" si="62"/>
        <v>0.69097350000000002</v>
      </c>
      <c r="AI29" s="237">
        <f t="shared" si="62"/>
        <v>3.6420669999999995E-2</v>
      </c>
      <c r="AJ29" s="237">
        <f t="shared" si="62"/>
        <v>29.459869700000002</v>
      </c>
      <c r="AK29" s="237">
        <f t="shared" si="62"/>
        <v>1.8803033600000001</v>
      </c>
      <c r="AL29" s="237">
        <f t="shared" si="62"/>
        <v>85.57143606999999</v>
      </c>
      <c r="AM29" s="237">
        <f t="shared" si="62"/>
        <v>0</v>
      </c>
      <c r="AN29" s="227">
        <f>+AN30+AN35</f>
        <v>207.43864948000001</v>
      </c>
      <c r="AO29" s="148"/>
      <c r="AP29" s="157">
        <f t="shared" si="42"/>
        <v>-28.377343569347453</v>
      </c>
      <c r="AQ29" s="157" t="str">
        <f t="shared" si="43"/>
        <v>-</v>
      </c>
      <c r="AR29" s="157">
        <f t="shared" si="44"/>
        <v>66.973949399263518</v>
      </c>
      <c r="AS29" s="157">
        <f t="shared" si="45"/>
        <v>-100</v>
      </c>
      <c r="AT29" s="157" t="str">
        <f t="shared" si="46"/>
        <v>-</v>
      </c>
      <c r="AU29" s="157">
        <f t="shared" si="47"/>
        <v>30.036749999999994</v>
      </c>
      <c r="AV29" s="157">
        <f t="shared" si="48"/>
        <v>79.29120610223184</v>
      </c>
      <c r="AW29" s="157">
        <f t="shared" si="49"/>
        <v>-100</v>
      </c>
      <c r="AX29" s="157">
        <f t="shared" si="50"/>
        <v>46.410607466738817</v>
      </c>
      <c r="AY29" s="157" t="str">
        <f t="shared" si="51"/>
        <v>-</v>
      </c>
      <c r="AZ29" s="157">
        <f t="shared" si="52"/>
        <v>126.88084068823433</v>
      </c>
      <c r="BA29" s="157">
        <f t="shared" si="53"/>
        <v>-25.96289003847469</v>
      </c>
      <c r="BB29" s="157" t="str">
        <f t="shared" si="54"/>
        <v>-</v>
      </c>
      <c r="BC29" s="157">
        <f t="shared" si="55"/>
        <v>21.417824227511765</v>
      </c>
      <c r="BD29" s="157">
        <f t="shared" si="56"/>
        <v>-94.902734205612447</v>
      </c>
      <c r="BE29" s="157">
        <f t="shared" si="57"/>
        <v>23.245966988012022</v>
      </c>
      <c r="BF29" s="157" t="str">
        <f t="shared" si="58"/>
        <v>-</v>
      </c>
      <c r="BG29" s="158">
        <f t="shared" si="59"/>
        <v>34.026241101615554</v>
      </c>
      <c r="BH29" s="169"/>
      <c r="BI29" s="150"/>
      <c r="BJ29" s="150"/>
      <c r="BK29" s="151"/>
      <c r="BL29" s="151"/>
      <c r="BM29" s="151"/>
      <c r="BN29" s="151"/>
    </row>
    <row r="30" spans="3:69" ht="12.75">
      <c r="C30" s="159" t="str">
        <f>IF(Indice_index!$Z$1=1,"Administrações Públicas","General Government")</f>
        <v>General Government</v>
      </c>
      <c r="D30" s="237">
        <f t="shared" ref="D30:T30" si="63">SUM(D31:D34)</f>
        <v>0.15019936</v>
      </c>
      <c r="E30" s="237">
        <f t="shared" si="63"/>
        <v>0</v>
      </c>
      <c r="F30" s="237">
        <f t="shared" si="63"/>
        <v>4.0951579999999996</v>
      </c>
      <c r="G30" s="237">
        <f t="shared" si="63"/>
        <v>0</v>
      </c>
      <c r="H30" s="237">
        <f t="shared" si="63"/>
        <v>0</v>
      </c>
      <c r="I30" s="237">
        <f t="shared" si="63"/>
        <v>2.1299999999999999E-2</v>
      </c>
      <c r="J30" s="237">
        <f t="shared" si="63"/>
        <v>5.8299688499999993</v>
      </c>
      <c r="K30" s="237">
        <f t="shared" ref="K30:N30" si="64">SUM(K31:K34)</f>
        <v>0</v>
      </c>
      <c r="L30" s="237">
        <f t="shared" si="64"/>
        <v>36.956487999999993</v>
      </c>
      <c r="M30" s="237">
        <f t="shared" si="64"/>
        <v>1</v>
      </c>
      <c r="N30" s="237">
        <f t="shared" si="64"/>
        <v>1.4168916499999999</v>
      </c>
      <c r="O30" s="237">
        <f t="shared" si="63"/>
        <v>0.5115768100000001</v>
      </c>
      <c r="P30" s="237">
        <f t="shared" si="63"/>
        <v>0.87464201000000008</v>
      </c>
      <c r="Q30" s="237">
        <f t="shared" si="63"/>
        <v>10.389574089999998</v>
      </c>
      <c r="R30" s="237">
        <f t="shared" si="63"/>
        <v>0</v>
      </c>
      <c r="S30" s="237">
        <f t="shared" si="63"/>
        <v>0.82098626999999991</v>
      </c>
      <c r="T30" s="237">
        <f t="shared" si="63"/>
        <v>0</v>
      </c>
      <c r="U30" s="227">
        <f>SUM(U31:U34)</f>
        <v>62.066785039999985</v>
      </c>
      <c r="V30" s="148"/>
      <c r="W30" s="237">
        <f t="shared" ref="W30:AM30" si="65">SUM(W31:W34)</f>
        <v>0.21623000000000001</v>
      </c>
      <c r="X30" s="237">
        <f t="shared" si="65"/>
        <v>0</v>
      </c>
      <c r="Y30" s="237">
        <f t="shared" si="65"/>
        <v>2.4525730000000001</v>
      </c>
      <c r="Z30" s="237">
        <f t="shared" si="65"/>
        <v>0</v>
      </c>
      <c r="AA30" s="237">
        <f t="shared" si="65"/>
        <v>0</v>
      </c>
      <c r="AB30" s="237">
        <f t="shared" si="65"/>
        <v>0</v>
      </c>
      <c r="AC30" s="237">
        <f t="shared" si="65"/>
        <v>3.2516758500000003</v>
      </c>
      <c r="AD30" s="237">
        <f t="shared" si="65"/>
        <v>0</v>
      </c>
      <c r="AE30" s="237">
        <f t="shared" si="65"/>
        <v>20.996106480000009</v>
      </c>
      <c r="AF30" s="237">
        <f t="shared" si="65"/>
        <v>0</v>
      </c>
      <c r="AG30" s="237">
        <f t="shared" si="65"/>
        <v>1.6416666499999999</v>
      </c>
      <c r="AH30" s="237">
        <f t="shared" si="65"/>
        <v>0.66113750000000004</v>
      </c>
      <c r="AI30" s="237">
        <f t="shared" si="65"/>
        <v>3.6420670000000002E-2</v>
      </c>
      <c r="AJ30" s="237">
        <f t="shared" si="65"/>
        <v>8.899625180000001</v>
      </c>
      <c r="AK30" s="237">
        <f t="shared" si="65"/>
        <v>0.1429945</v>
      </c>
      <c r="AL30" s="237">
        <f t="shared" si="65"/>
        <v>1.92403195</v>
      </c>
      <c r="AM30" s="237">
        <f t="shared" si="65"/>
        <v>0</v>
      </c>
      <c r="AN30" s="227">
        <f>SUM(AN31:AN34)</f>
        <v>40.22246178000001</v>
      </c>
      <c r="AO30" s="148"/>
      <c r="AP30" s="157">
        <f t="shared" si="42"/>
        <v>-30.537224251953937</v>
      </c>
      <c r="AQ30" s="157" t="str">
        <f t="shared" si="43"/>
        <v>-</v>
      </c>
      <c r="AR30" s="157">
        <f t="shared" si="44"/>
        <v>66.973949399263518</v>
      </c>
      <c r="AS30" s="157" t="str">
        <f t="shared" si="45"/>
        <v>-</v>
      </c>
      <c r="AT30" s="157" t="str">
        <f t="shared" si="46"/>
        <v>-</v>
      </c>
      <c r="AU30" s="157" t="str">
        <f t="shared" si="47"/>
        <v>-</v>
      </c>
      <c r="AV30" s="157">
        <f t="shared" si="48"/>
        <v>79.29120610223184</v>
      </c>
      <c r="AW30" s="157" t="str">
        <f t="shared" si="49"/>
        <v>-</v>
      </c>
      <c r="AX30" s="157">
        <f t="shared" si="50"/>
        <v>76.015910546096535</v>
      </c>
      <c r="AY30" s="157" t="str">
        <f t="shared" si="51"/>
        <v>-</v>
      </c>
      <c r="AZ30" s="157">
        <f t="shared" si="52"/>
        <v>-13.691878311592671</v>
      </c>
      <c r="BA30" s="157">
        <f t="shared" si="53"/>
        <v>-22.621722410239915</v>
      </c>
      <c r="BB30" s="157" t="str">
        <f t="shared" si="54"/>
        <v>-</v>
      </c>
      <c r="BC30" s="157">
        <f t="shared" si="55"/>
        <v>16.74170405904664</v>
      </c>
      <c r="BD30" s="157">
        <f t="shared" si="56"/>
        <v>-100</v>
      </c>
      <c r="BE30" s="157">
        <f t="shared" si="57"/>
        <v>-57.329904526793342</v>
      </c>
      <c r="BF30" s="157" t="str">
        <f t="shared" si="58"/>
        <v>-</v>
      </c>
      <c r="BG30" s="158">
        <f t="shared" si="59"/>
        <v>54.308767522682366</v>
      </c>
      <c r="BH30" s="169"/>
      <c r="BI30" s="150"/>
      <c r="BJ30" s="150"/>
      <c r="BK30" s="151"/>
      <c r="BL30" s="151"/>
      <c r="BM30" s="151"/>
      <c r="BN30" s="151"/>
    </row>
    <row r="31" spans="3:69" ht="12.75">
      <c r="C31" s="163" t="str">
        <f>IF(Indice_index!$Z$1=1,"Administração Central","Central Government")</f>
        <v>Central Government</v>
      </c>
      <c r="D31" s="236">
        <v>0.15019936</v>
      </c>
      <c r="E31" s="236">
        <v>0</v>
      </c>
      <c r="F31" s="236">
        <v>4.0951579999999996</v>
      </c>
      <c r="G31" s="236">
        <v>0</v>
      </c>
      <c r="H31" s="236">
        <v>0</v>
      </c>
      <c r="I31" s="236">
        <v>0</v>
      </c>
      <c r="J31" s="236">
        <v>5.8299688499999993</v>
      </c>
      <c r="K31" s="236">
        <v>0</v>
      </c>
      <c r="L31" s="236">
        <v>36.956487999999993</v>
      </c>
      <c r="M31" s="236">
        <v>1</v>
      </c>
      <c r="N31" s="236">
        <v>1.4168916499999999</v>
      </c>
      <c r="O31" s="236">
        <v>0</v>
      </c>
      <c r="P31" s="236">
        <v>0.76247750000000003</v>
      </c>
      <c r="Q31" s="236">
        <v>0.32574270999999994</v>
      </c>
      <c r="R31" s="236">
        <v>0</v>
      </c>
      <c r="S31" s="236">
        <v>0.39212968999999998</v>
      </c>
      <c r="T31" s="236">
        <v>0</v>
      </c>
      <c r="U31" s="227">
        <f t="shared" si="36"/>
        <v>50.92905575999999</v>
      </c>
      <c r="V31" s="148"/>
      <c r="W31" s="236">
        <v>0.21623000000000001</v>
      </c>
      <c r="X31" s="236">
        <v>0</v>
      </c>
      <c r="Y31" s="236">
        <v>2.4525730000000001</v>
      </c>
      <c r="Z31" s="236">
        <v>0</v>
      </c>
      <c r="AA31" s="236">
        <v>0</v>
      </c>
      <c r="AB31" s="236">
        <v>0</v>
      </c>
      <c r="AC31" s="236">
        <v>3.2516758500000003</v>
      </c>
      <c r="AD31" s="236">
        <v>0</v>
      </c>
      <c r="AE31" s="236">
        <v>20.996106480000009</v>
      </c>
      <c r="AF31" s="236">
        <v>0</v>
      </c>
      <c r="AG31" s="236">
        <v>1.6416666499999999</v>
      </c>
      <c r="AH31" s="236">
        <v>0</v>
      </c>
      <c r="AI31" s="236">
        <v>1.3304149999999999E-2</v>
      </c>
      <c r="AJ31" s="236">
        <v>0.47470176000000003</v>
      </c>
      <c r="AK31" s="236">
        <v>0</v>
      </c>
      <c r="AL31" s="236">
        <v>1.43695638</v>
      </c>
      <c r="AM31" s="236">
        <v>0</v>
      </c>
      <c r="AN31" s="227">
        <f t="shared" ref="AN31:AN37" si="66">SUM(W31:AM31)</f>
        <v>30.483214270000012</v>
      </c>
      <c r="AO31" s="148"/>
      <c r="AP31" s="157">
        <f t="shared" si="42"/>
        <v>-30.537224251953937</v>
      </c>
      <c r="AQ31" s="157" t="str">
        <f t="shared" si="43"/>
        <v>-</v>
      </c>
      <c r="AR31" s="157">
        <f t="shared" si="44"/>
        <v>66.973949399263518</v>
      </c>
      <c r="AS31" s="157" t="str">
        <f t="shared" si="45"/>
        <v>-</v>
      </c>
      <c r="AT31" s="157" t="str">
        <f t="shared" si="46"/>
        <v>-</v>
      </c>
      <c r="AU31" s="157" t="str">
        <f t="shared" si="47"/>
        <v>-</v>
      </c>
      <c r="AV31" s="157">
        <f t="shared" si="48"/>
        <v>79.29120610223184</v>
      </c>
      <c r="AW31" s="157" t="str">
        <f t="shared" si="49"/>
        <v>-</v>
      </c>
      <c r="AX31" s="157">
        <f t="shared" si="50"/>
        <v>76.015910546096535</v>
      </c>
      <c r="AY31" s="157" t="str">
        <f t="shared" si="51"/>
        <v>-</v>
      </c>
      <c r="AZ31" s="157">
        <f t="shared" si="52"/>
        <v>-13.691878311592671</v>
      </c>
      <c r="BA31" s="157" t="str">
        <f t="shared" si="53"/>
        <v>-</v>
      </c>
      <c r="BB31" s="157" t="str">
        <f t="shared" si="54"/>
        <v>-</v>
      </c>
      <c r="BC31" s="157">
        <f t="shared" si="55"/>
        <v>-31.379502363757844</v>
      </c>
      <c r="BD31" s="157" t="str">
        <f t="shared" si="56"/>
        <v>-</v>
      </c>
      <c r="BE31" s="157">
        <f t="shared" si="57"/>
        <v>-72.711093011744737</v>
      </c>
      <c r="BF31" s="157" t="str">
        <f t="shared" si="58"/>
        <v>-</v>
      </c>
      <c r="BG31" s="158">
        <f t="shared" si="59"/>
        <v>67.072459317788244</v>
      </c>
      <c r="BH31" s="169"/>
      <c r="BI31" s="150"/>
      <c r="BJ31" s="150"/>
      <c r="BK31" s="151"/>
      <c r="BL31" s="151"/>
      <c r="BM31" s="151"/>
      <c r="BN31" s="151"/>
    </row>
    <row r="32" spans="3:69" ht="12.75">
      <c r="C32" s="163" t="str">
        <f>IF(Indice_index!$Z$1=1,"Administração Regional","Regional Government")</f>
        <v>Regional Government</v>
      </c>
      <c r="D32" s="236">
        <v>0</v>
      </c>
      <c r="E32" s="236">
        <v>0</v>
      </c>
      <c r="F32" s="236">
        <v>0</v>
      </c>
      <c r="G32" s="236">
        <v>0</v>
      </c>
      <c r="H32" s="236">
        <v>0</v>
      </c>
      <c r="I32" s="236">
        <v>0</v>
      </c>
      <c r="J32" s="236">
        <v>0</v>
      </c>
      <c r="K32" s="236">
        <v>0</v>
      </c>
      <c r="L32" s="236">
        <v>0</v>
      </c>
      <c r="M32" s="236">
        <v>0</v>
      </c>
      <c r="N32" s="236">
        <v>0</v>
      </c>
      <c r="O32" s="236">
        <v>0</v>
      </c>
      <c r="P32" s="236">
        <v>0</v>
      </c>
      <c r="Q32" s="236">
        <v>0.7</v>
      </c>
      <c r="R32" s="236">
        <v>0</v>
      </c>
      <c r="S32" s="236">
        <v>4.8489159999999996E-2</v>
      </c>
      <c r="T32" s="236">
        <v>0</v>
      </c>
      <c r="U32" s="227">
        <f t="shared" si="36"/>
        <v>0.74848915999999999</v>
      </c>
      <c r="V32" s="148"/>
      <c r="W32" s="236">
        <v>0</v>
      </c>
      <c r="X32" s="236">
        <v>0</v>
      </c>
      <c r="Y32" s="236">
        <v>0</v>
      </c>
      <c r="Z32" s="236">
        <v>0</v>
      </c>
      <c r="AA32" s="236">
        <v>0</v>
      </c>
      <c r="AB32" s="236">
        <v>0</v>
      </c>
      <c r="AC32" s="236">
        <v>0</v>
      </c>
      <c r="AD32" s="236">
        <v>0</v>
      </c>
      <c r="AE32" s="236">
        <v>0</v>
      </c>
      <c r="AF32" s="236">
        <v>0</v>
      </c>
      <c r="AG32" s="236">
        <v>0</v>
      </c>
      <c r="AH32" s="236">
        <v>0</v>
      </c>
      <c r="AI32" s="236">
        <v>0</v>
      </c>
      <c r="AJ32" s="236">
        <v>0</v>
      </c>
      <c r="AK32" s="236">
        <v>0</v>
      </c>
      <c r="AL32" s="236">
        <v>0</v>
      </c>
      <c r="AM32" s="236">
        <v>0</v>
      </c>
      <c r="AN32" s="227">
        <f t="shared" si="66"/>
        <v>0</v>
      </c>
      <c r="AO32" s="148"/>
      <c r="AP32" s="157" t="str">
        <f t="shared" si="42"/>
        <v>-</v>
      </c>
      <c r="AQ32" s="157" t="str">
        <f t="shared" si="43"/>
        <v>-</v>
      </c>
      <c r="AR32" s="157" t="str">
        <f t="shared" si="44"/>
        <v>-</v>
      </c>
      <c r="AS32" s="157" t="str">
        <f t="shared" si="45"/>
        <v>-</v>
      </c>
      <c r="AT32" s="157" t="str">
        <f t="shared" si="46"/>
        <v>-</v>
      </c>
      <c r="AU32" s="157" t="str">
        <f t="shared" si="47"/>
        <v>-</v>
      </c>
      <c r="AV32" s="157" t="str">
        <f t="shared" si="48"/>
        <v>-</v>
      </c>
      <c r="AW32" s="157" t="str">
        <f t="shared" si="49"/>
        <v>-</v>
      </c>
      <c r="AX32" s="157" t="str">
        <f t="shared" si="50"/>
        <v>-</v>
      </c>
      <c r="AY32" s="157" t="str">
        <f t="shared" si="51"/>
        <v>-</v>
      </c>
      <c r="AZ32" s="157" t="str">
        <f t="shared" si="52"/>
        <v>-</v>
      </c>
      <c r="BA32" s="157" t="str">
        <f t="shared" si="53"/>
        <v>-</v>
      </c>
      <c r="BB32" s="157" t="str">
        <f t="shared" si="54"/>
        <v>-</v>
      </c>
      <c r="BC32" s="157" t="str">
        <f t="shared" si="55"/>
        <v>-</v>
      </c>
      <c r="BD32" s="157" t="str">
        <f t="shared" si="56"/>
        <v>-</v>
      </c>
      <c r="BE32" s="157" t="str">
        <f t="shared" si="57"/>
        <v>-</v>
      </c>
      <c r="BF32" s="157" t="str">
        <f t="shared" si="58"/>
        <v>-</v>
      </c>
      <c r="BG32" s="158" t="str">
        <f t="shared" si="59"/>
        <v>-</v>
      </c>
      <c r="BH32" s="169"/>
      <c r="BI32" s="150"/>
      <c r="BJ32" s="150"/>
      <c r="BK32" s="151"/>
      <c r="BL32" s="151"/>
      <c r="BM32" s="151"/>
      <c r="BN32" s="151"/>
    </row>
    <row r="33" spans="3:199" ht="12.75">
      <c r="C33" s="163" t="str">
        <f>IF(Indice_index!$Z$1=1,"Administração Local","Local Government")</f>
        <v>Local Government</v>
      </c>
      <c r="D33" s="236">
        <v>0</v>
      </c>
      <c r="E33" s="236">
        <v>0</v>
      </c>
      <c r="F33" s="236">
        <v>0</v>
      </c>
      <c r="G33" s="236">
        <v>0</v>
      </c>
      <c r="H33" s="236">
        <v>0</v>
      </c>
      <c r="I33" s="236">
        <v>2.1299999999999999E-2</v>
      </c>
      <c r="J33" s="236">
        <v>0</v>
      </c>
      <c r="K33" s="236">
        <v>0</v>
      </c>
      <c r="L33" s="236">
        <v>0</v>
      </c>
      <c r="M33" s="236">
        <v>0</v>
      </c>
      <c r="N33" s="236">
        <v>0</v>
      </c>
      <c r="O33" s="236">
        <v>0.5115768100000001</v>
      </c>
      <c r="P33" s="236">
        <v>0.11216451</v>
      </c>
      <c r="Q33" s="236">
        <v>9.3638313799999988</v>
      </c>
      <c r="R33" s="236">
        <v>0</v>
      </c>
      <c r="S33" s="236">
        <v>0.38036741999999996</v>
      </c>
      <c r="T33" s="236">
        <v>0</v>
      </c>
      <c r="U33" s="227">
        <f t="shared" si="36"/>
        <v>10.38924012</v>
      </c>
      <c r="V33" s="148"/>
      <c r="W33" s="236">
        <v>0</v>
      </c>
      <c r="X33" s="236">
        <v>0</v>
      </c>
      <c r="Y33" s="236">
        <v>0</v>
      </c>
      <c r="Z33" s="236">
        <v>0</v>
      </c>
      <c r="AA33" s="236">
        <v>0</v>
      </c>
      <c r="AB33" s="236">
        <v>0</v>
      </c>
      <c r="AC33" s="236">
        <v>0</v>
      </c>
      <c r="AD33" s="236">
        <v>0</v>
      </c>
      <c r="AE33" s="236">
        <v>0</v>
      </c>
      <c r="AF33" s="236">
        <v>0</v>
      </c>
      <c r="AG33" s="236">
        <v>0</v>
      </c>
      <c r="AH33" s="236">
        <v>0.66113750000000004</v>
      </c>
      <c r="AI33" s="236">
        <v>2.3116520000000002E-2</v>
      </c>
      <c r="AJ33" s="236">
        <v>8.4249234200000007</v>
      </c>
      <c r="AK33" s="236">
        <v>0.1429945</v>
      </c>
      <c r="AL33" s="236">
        <v>0.48707557000000001</v>
      </c>
      <c r="AM33" s="236">
        <v>0</v>
      </c>
      <c r="AN33" s="227">
        <f t="shared" si="66"/>
        <v>9.7392475100000002</v>
      </c>
      <c r="AO33" s="148"/>
      <c r="AP33" s="157" t="str">
        <f t="shared" si="42"/>
        <v>-</v>
      </c>
      <c r="AQ33" s="157" t="str">
        <f t="shared" si="43"/>
        <v>-</v>
      </c>
      <c r="AR33" s="157" t="str">
        <f t="shared" si="44"/>
        <v>-</v>
      </c>
      <c r="AS33" s="157" t="str">
        <f t="shared" si="45"/>
        <v>-</v>
      </c>
      <c r="AT33" s="157" t="str">
        <f t="shared" si="46"/>
        <v>-</v>
      </c>
      <c r="AU33" s="157" t="str">
        <f t="shared" si="47"/>
        <v>-</v>
      </c>
      <c r="AV33" s="157" t="str">
        <f t="shared" si="48"/>
        <v>-</v>
      </c>
      <c r="AW33" s="157" t="str">
        <f t="shared" si="49"/>
        <v>-</v>
      </c>
      <c r="AX33" s="157" t="str">
        <f t="shared" si="50"/>
        <v>-</v>
      </c>
      <c r="AY33" s="157" t="str">
        <f t="shared" si="51"/>
        <v>-</v>
      </c>
      <c r="AZ33" s="157" t="str">
        <f t="shared" si="52"/>
        <v>-</v>
      </c>
      <c r="BA33" s="157">
        <f t="shared" si="53"/>
        <v>-22.621722410239915</v>
      </c>
      <c r="BB33" s="157" t="str">
        <f t="shared" si="54"/>
        <v>-</v>
      </c>
      <c r="BC33" s="157">
        <f t="shared" si="55"/>
        <v>11.144409428946453</v>
      </c>
      <c r="BD33" s="157">
        <f t="shared" si="56"/>
        <v>-100</v>
      </c>
      <c r="BE33" s="157">
        <f t="shared" si="57"/>
        <v>-21.907924883196266</v>
      </c>
      <c r="BF33" s="157" t="str">
        <f t="shared" si="58"/>
        <v>-</v>
      </c>
      <c r="BG33" s="158">
        <f t="shared" si="59"/>
        <v>6.6739510350528093</v>
      </c>
      <c r="BH33" s="169"/>
      <c r="BI33" s="150"/>
      <c r="BJ33" s="150"/>
      <c r="BK33" s="151"/>
      <c r="BL33" s="151"/>
      <c r="BM33" s="151"/>
      <c r="BN33" s="151"/>
    </row>
    <row r="34" spans="3:199" ht="12.75">
      <c r="C34" s="163" t="str">
        <f>IF(Indice_index!$Z$1=1,"Segurança Social","Social Security")</f>
        <v>Social Security</v>
      </c>
      <c r="D34" s="236">
        <v>0</v>
      </c>
      <c r="E34" s="236">
        <v>0</v>
      </c>
      <c r="F34" s="236">
        <v>0</v>
      </c>
      <c r="G34" s="236">
        <v>0</v>
      </c>
      <c r="H34" s="236">
        <v>0</v>
      </c>
      <c r="I34" s="236">
        <v>0</v>
      </c>
      <c r="J34" s="236">
        <v>0</v>
      </c>
      <c r="K34" s="236">
        <v>0</v>
      </c>
      <c r="L34" s="236">
        <v>0</v>
      </c>
      <c r="M34" s="236">
        <v>0</v>
      </c>
      <c r="N34" s="236">
        <v>0</v>
      </c>
      <c r="O34" s="236">
        <v>0</v>
      </c>
      <c r="P34" s="236">
        <v>0</v>
      </c>
      <c r="Q34" s="236">
        <v>0</v>
      </c>
      <c r="R34" s="236">
        <v>0</v>
      </c>
      <c r="S34" s="236">
        <v>0</v>
      </c>
      <c r="T34" s="236">
        <v>0</v>
      </c>
      <c r="U34" s="227">
        <f t="shared" si="36"/>
        <v>0</v>
      </c>
      <c r="V34" s="148"/>
      <c r="W34" s="236">
        <v>0</v>
      </c>
      <c r="X34" s="236">
        <v>0</v>
      </c>
      <c r="Y34" s="236">
        <v>0</v>
      </c>
      <c r="Z34" s="236">
        <v>0</v>
      </c>
      <c r="AA34" s="236">
        <v>0</v>
      </c>
      <c r="AB34" s="236">
        <v>0</v>
      </c>
      <c r="AC34" s="236">
        <v>0</v>
      </c>
      <c r="AD34" s="236">
        <v>0</v>
      </c>
      <c r="AE34" s="236">
        <v>0</v>
      </c>
      <c r="AF34" s="236">
        <v>0</v>
      </c>
      <c r="AG34" s="236">
        <v>0</v>
      </c>
      <c r="AH34" s="236">
        <v>0</v>
      </c>
      <c r="AI34" s="236">
        <v>0</v>
      </c>
      <c r="AJ34" s="236">
        <v>0</v>
      </c>
      <c r="AK34" s="236">
        <v>0</v>
      </c>
      <c r="AL34" s="236">
        <v>0</v>
      </c>
      <c r="AM34" s="236">
        <v>0</v>
      </c>
      <c r="AN34" s="227">
        <f t="shared" si="66"/>
        <v>0</v>
      </c>
      <c r="AO34" s="148"/>
      <c r="AP34" s="157" t="str">
        <f t="shared" si="42"/>
        <v>-</v>
      </c>
      <c r="AQ34" s="157" t="str">
        <f t="shared" si="43"/>
        <v>-</v>
      </c>
      <c r="AR34" s="157" t="str">
        <f t="shared" si="44"/>
        <v>-</v>
      </c>
      <c r="AS34" s="157" t="str">
        <f t="shared" si="45"/>
        <v>-</v>
      </c>
      <c r="AT34" s="157" t="str">
        <f t="shared" si="46"/>
        <v>-</v>
      </c>
      <c r="AU34" s="157" t="str">
        <f t="shared" si="47"/>
        <v>-</v>
      </c>
      <c r="AV34" s="157" t="str">
        <f t="shared" si="48"/>
        <v>-</v>
      </c>
      <c r="AW34" s="157" t="str">
        <f t="shared" si="49"/>
        <v>-</v>
      </c>
      <c r="AX34" s="157" t="str">
        <f t="shared" si="50"/>
        <v>-</v>
      </c>
      <c r="AY34" s="157" t="str">
        <f t="shared" si="51"/>
        <v>-</v>
      </c>
      <c r="AZ34" s="157" t="str">
        <f t="shared" si="52"/>
        <v>-</v>
      </c>
      <c r="BA34" s="157" t="str">
        <f t="shared" si="53"/>
        <v>-</v>
      </c>
      <c r="BB34" s="157" t="str">
        <f t="shared" si="54"/>
        <v>-</v>
      </c>
      <c r="BC34" s="157" t="str">
        <f t="shared" si="55"/>
        <v>-</v>
      </c>
      <c r="BD34" s="157" t="str">
        <f t="shared" si="56"/>
        <v>-</v>
      </c>
      <c r="BE34" s="157" t="str">
        <f t="shared" si="57"/>
        <v>-</v>
      </c>
      <c r="BF34" s="157" t="str">
        <f t="shared" si="58"/>
        <v>-</v>
      </c>
      <c r="BG34" s="158" t="str">
        <f t="shared" si="59"/>
        <v>-</v>
      </c>
      <c r="BH34" s="169"/>
      <c r="BI34" s="150"/>
      <c r="BJ34" s="150"/>
      <c r="BK34" s="151"/>
      <c r="BL34" s="151"/>
      <c r="BM34" s="151"/>
      <c r="BN34" s="151"/>
    </row>
    <row r="35" spans="3:199" ht="12.75">
      <c r="C35" s="170" t="str">
        <f>IF(Indice_index!$Z$1=1,"Outras transferências de capital","Other capital transfers")</f>
        <v>Other capital transfers</v>
      </c>
      <c r="D35" s="236">
        <v>4.6703100000000108E-3</v>
      </c>
      <c r="E35" s="236">
        <v>0</v>
      </c>
      <c r="F35" s="236">
        <v>0</v>
      </c>
      <c r="G35" s="236">
        <v>0</v>
      </c>
      <c r="H35" s="236">
        <v>0</v>
      </c>
      <c r="I35" s="236">
        <v>9.8333809999999994E-2</v>
      </c>
      <c r="J35" s="236">
        <v>0</v>
      </c>
      <c r="K35" s="236">
        <v>0</v>
      </c>
      <c r="L35" s="236">
        <v>78.142135469999999</v>
      </c>
      <c r="M35" s="236">
        <v>4.3999999999999595E-3</v>
      </c>
      <c r="N35" s="236">
        <v>7.4443176799999993</v>
      </c>
      <c r="O35" s="236">
        <v>0</v>
      </c>
      <c r="P35" s="236">
        <v>0.13260802999999988</v>
      </c>
      <c r="Q35" s="236">
        <v>25.379958720000005</v>
      </c>
      <c r="R35" s="236">
        <v>9.5844059999999995E-2</v>
      </c>
      <c r="S35" s="236">
        <v>104.64235758</v>
      </c>
      <c r="T35" s="236">
        <v>1.081379E-2</v>
      </c>
      <c r="U35" s="227">
        <f t="shared" si="36"/>
        <v>215.95543944999997</v>
      </c>
      <c r="V35" s="148"/>
      <c r="W35" s="236">
        <v>0</v>
      </c>
      <c r="X35" s="236">
        <v>0</v>
      </c>
      <c r="Y35" s="236">
        <v>0</v>
      </c>
      <c r="Z35" s="236">
        <v>0.71807041000000005</v>
      </c>
      <c r="AA35" s="236">
        <v>0</v>
      </c>
      <c r="AB35" s="236">
        <v>9.1999999999999998E-2</v>
      </c>
      <c r="AC35" s="236">
        <v>0</v>
      </c>
      <c r="AD35" s="236">
        <v>0.5</v>
      </c>
      <c r="AE35" s="236">
        <v>57.617475870000007</v>
      </c>
      <c r="AF35" s="236">
        <v>4.9847919999999997E-2</v>
      </c>
      <c r="AG35" s="236">
        <v>2.2640000000000002</v>
      </c>
      <c r="AH35" s="236">
        <v>2.9835999999999974E-2</v>
      </c>
      <c r="AI35" s="236">
        <v>-6.9388939039072284E-18</v>
      </c>
      <c r="AJ35" s="236">
        <v>20.560244520000001</v>
      </c>
      <c r="AK35" s="236">
        <v>1.7373088600000002</v>
      </c>
      <c r="AL35" s="236">
        <v>83.64740411999999</v>
      </c>
      <c r="AM35" s="236">
        <v>0</v>
      </c>
      <c r="AN35" s="227">
        <f t="shared" si="66"/>
        <v>167.21618770000001</v>
      </c>
      <c r="AO35" s="148"/>
      <c r="AP35" s="157" t="str">
        <f t="shared" si="42"/>
        <v>-</v>
      </c>
      <c r="AQ35" s="157" t="str">
        <f t="shared" si="43"/>
        <v>-</v>
      </c>
      <c r="AR35" s="157" t="str">
        <f t="shared" si="44"/>
        <v>-</v>
      </c>
      <c r="AS35" s="157">
        <f t="shared" si="45"/>
        <v>-100</v>
      </c>
      <c r="AT35" s="157" t="str">
        <f t="shared" si="46"/>
        <v>-</v>
      </c>
      <c r="AU35" s="157">
        <f t="shared" si="47"/>
        <v>6.8845760869565158</v>
      </c>
      <c r="AV35" s="157" t="str">
        <f t="shared" si="48"/>
        <v>-</v>
      </c>
      <c r="AW35" s="157">
        <f t="shared" si="49"/>
        <v>-100</v>
      </c>
      <c r="AX35" s="157">
        <f t="shared" si="50"/>
        <v>35.622281764492698</v>
      </c>
      <c r="AY35" s="157">
        <f t="shared" si="51"/>
        <v>-91.173152259913834</v>
      </c>
      <c r="AZ35" s="157" t="str">
        <f t="shared" si="52"/>
        <v>-</v>
      </c>
      <c r="BA35" s="157">
        <f t="shared" si="53"/>
        <v>-100</v>
      </c>
      <c r="BB35" s="157">
        <f t="shared" si="54"/>
        <v>-1.9110831183818721E+18</v>
      </c>
      <c r="BC35" s="157">
        <f t="shared" si="55"/>
        <v>23.44191089416092</v>
      </c>
      <c r="BD35" s="157">
        <f t="shared" si="56"/>
        <v>-94.483188210989738</v>
      </c>
      <c r="BE35" s="157">
        <f t="shared" si="57"/>
        <v>25.099348486512252</v>
      </c>
      <c r="BF35" s="157" t="str">
        <f t="shared" si="58"/>
        <v>-</v>
      </c>
      <c r="BG35" s="158">
        <f t="shared" si="59"/>
        <v>29.147448234762003</v>
      </c>
      <c r="BH35" s="169"/>
      <c r="BI35" s="150"/>
      <c r="BJ35" s="150"/>
      <c r="BK35" s="151"/>
      <c r="BL35" s="151"/>
      <c r="BM35" s="151"/>
      <c r="BN35" s="151"/>
    </row>
    <row r="36" spans="3:199" ht="12.75">
      <c r="C36" s="171" t="str">
        <f>IF(Indice_index!$Z$1=1,"Outras despesas de capital","Other capital expenditure")</f>
        <v>Other capital expenditure</v>
      </c>
      <c r="D36" s="236">
        <v>0</v>
      </c>
      <c r="E36" s="236">
        <v>0</v>
      </c>
      <c r="F36" s="236">
        <v>0</v>
      </c>
      <c r="G36" s="236">
        <v>0</v>
      </c>
      <c r="H36" s="236">
        <v>0</v>
      </c>
      <c r="I36" s="236">
        <v>0</v>
      </c>
      <c r="J36" s="236">
        <v>0</v>
      </c>
      <c r="K36" s="236">
        <v>0</v>
      </c>
      <c r="L36" s="236">
        <v>0</v>
      </c>
      <c r="M36" s="236">
        <v>0</v>
      </c>
      <c r="N36" s="236">
        <v>0</v>
      </c>
      <c r="O36" s="236">
        <v>0</v>
      </c>
      <c r="P36" s="236">
        <v>0</v>
      </c>
      <c r="Q36" s="236">
        <v>0</v>
      </c>
      <c r="R36" s="236">
        <v>0</v>
      </c>
      <c r="S36" s="236">
        <v>0</v>
      </c>
      <c r="T36" s="236">
        <v>0</v>
      </c>
      <c r="U36" s="227">
        <f t="shared" si="36"/>
        <v>0</v>
      </c>
      <c r="V36" s="148"/>
      <c r="W36" s="236">
        <v>0</v>
      </c>
      <c r="X36" s="236">
        <v>0</v>
      </c>
      <c r="Y36" s="236">
        <v>0</v>
      </c>
      <c r="Z36" s="236">
        <v>0</v>
      </c>
      <c r="AA36" s="236">
        <v>0</v>
      </c>
      <c r="AB36" s="236">
        <v>0</v>
      </c>
      <c r="AC36" s="236">
        <v>0</v>
      </c>
      <c r="AD36" s="236">
        <v>0</v>
      </c>
      <c r="AE36" s="236">
        <v>0</v>
      </c>
      <c r="AF36" s="236">
        <v>1.6118440000000001E-2</v>
      </c>
      <c r="AG36" s="236">
        <v>0</v>
      </c>
      <c r="AH36" s="236">
        <v>0</v>
      </c>
      <c r="AI36" s="236">
        <v>0</v>
      </c>
      <c r="AJ36" s="236">
        <v>1.5638659999999999E-2</v>
      </c>
      <c r="AK36" s="236">
        <v>0</v>
      </c>
      <c r="AL36" s="236">
        <v>0.10023453</v>
      </c>
      <c r="AM36" s="236">
        <v>0</v>
      </c>
      <c r="AN36" s="227">
        <f t="shared" si="66"/>
        <v>0.13199163</v>
      </c>
      <c r="AO36" s="148"/>
      <c r="AP36" s="157" t="str">
        <f t="shared" si="42"/>
        <v>-</v>
      </c>
      <c r="AQ36" s="157" t="str">
        <f t="shared" si="43"/>
        <v>-</v>
      </c>
      <c r="AR36" s="157" t="str">
        <f t="shared" si="44"/>
        <v>-</v>
      </c>
      <c r="AS36" s="157" t="str">
        <f t="shared" si="45"/>
        <v>-</v>
      </c>
      <c r="AT36" s="157" t="str">
        <f t="shared" si="46"/>
        <v>-</v>
      </c>
      <c r="AU36" s="157" t="str">
        <f t="shared" si="47"/>
        <v>-</v>
      </c>
      <c r="AV36" s="157" t="str">
        <f t="shared" si="48"/>
        <v>-</v>
      </c>
      <c r="AW36" s="157" t="str">
        <f t="shared" si="49"/>
        <v>-</v>
      </c>
      <c r="AX36" s="157" t="str">
        <f t="shared" si="50"/>
        <v>-</v>
      </c>
      <c r="AY36" s="157">
        <f t="shared" si="51"/>
        <v>-100</v>
      </c>
      <c r="AZ36" s="157" t="str">
        <f t="shared" si="52"/>
        <v>-</v>
      </c>
      <c r="BA36" s="157" t="str">
        <f t="shared" si="53"/>
        <v>-</v>
      </c>
      <c r="BB36" s="157" t="str">
        <f t="shared" si="54"/>
        <v>-</v>
      </c>
      <c r="BC36" s="157">
        <f t="shared" si="55"/>
        <v>-100</v>
      </c>
      <c r="BD36" s="157" t="str">
        <f t="shared" si="56"/>
        <v>-</v>
      </c>
      <c r="BE36" s="157">
        <f t="shared" si="57"/>
        <v>-100</v>
      </c>
      <c r="BF36" s="157" t="str">
        <f t="shared" si="58"/>
        <v>-</v>
      </c>
      <c r="BG36" s="158">
        <f t="shared" si="59"/>
        <v>-100</v>
      </c>
      <c r="BH36" s="169"/>
      <c r="BI36" s="150"/>
      <c r="BJ36" s="150"/>
      <c r="BK36" s="151"/>
      <c r="BL36" s="151"/>
      <c r="BM36" s="151"/>
      <c r="BN36" s="151"/>
    </row>
    <row r="37" spans="3:199" ht="12.75">
      <c r="C37" s="171"/>
      <c r="D37" s="237"/>
      <c r="E37" s="237"/>
      <c r="F37" s="237"/>
      <c r="G37" s="237"/>
      <c r="H37" s="237"/>
      <c r="I37" s="237"/>
      <c r="J37" s="237"/>
      <c r="K37" s="237"/>
      <c r="L37" s="237"/>
      <c r="M37" s="237"/>
      <c r="N37" s="237"/>
      <c r="O37" s="237"/>
      <c r="P37" s="237"/>
      <c r="Q37" s="237"/>
      <c r="R37" s="237"/>
      <c r="S37" s="237"/>
      <c r="T37" s="237"/>
      <c r="U37" s="227">
        <f t="shared" si="36"/>
        <v>0</v>
      </c>
      <c r="V37" s="148"/>
      <c r="W37" s="237"/>
      <c r="X37" s="237"/>
      <c r="Y37" s="237"/>
      <c r="Z37" s="237"/>
      <c r="AA37" s="237"/>
      <c r="AB37" s="237"/>
      <c r="AC37" s="237"/>
      <c r="AD37" s="237"/>
      <c r="AE37" s="237"/>
      <c r="AF37" s="237"/>
      <c r="AG37" s="237"/>
      <c r="AH37" s="237"/>
      <c r="AI37" s="237"/>
      <c r="AJ37" s="237"/>
      <c r="AK37" s="237"/>
      <c r="AL37" s="237"/>
      <c r="AM37" s="237"/>
      <c r="AN37" s="227">
        <f t="shared" si="66"/>
        <v>0</v>
      </c>
      <c r="AO37" s="148"/>
      <c r="AP37" s="157"/>
      <c r="AQ37" s="157"/>
      <c r="AR37" s="157"/>
      <c r="AS37" s="157"/>
      <c r="AT37" s="157"/>
      <c r="AU37" s="157"/>
      <c r="AV37" s="157"/>
      <c r="AW37" s="157"/>
      <c r="AX37" s="157"/>
      <c r="AY37" s="157"/>
      <c r="AZ37" s="157"/>
      <c r="BA37" s="157"/>
      <c r="BB37" s="157"/>
      <c r="BC37" s="157"/>
      <c r="BD37" s="157"/>
      <c r="BE37" s="157"/>
      <c r="BF37" s="157"/>
      <c r="BG37" s="158"/>
      <c r="BH37" s="169"/>
      <c r="BI37" s="150"/>
      <c r="BJ37" s="150"/>
      <c r="BK37" s="151"/>
      <c r="BL37" s="151"/>
      <c r="BM37" s="151"/>
      <c r="BN37" s="151"/>
    </row>
    <row r="38" spans="3:199" s="125" customFormat="1" ht="17.25" customHeight="1">
      <c r="C38" s="172" t="str">
        <f>IF(Indice_index!$Z$1=1,"Despesa efetiva","Effective Expenditure")</f>
        <v>Effective Expenditure</v>
      </c>
      <c r="D38" s="239">
        <f>+D27+D8</f>
        <v>103.96065297999999</v>
      </c>
      <c r="E38" s="239">
        <f>+E27+E8</f>
        <v>23.231118860000002</v>
      </c>
      <c r="F38" s="239">
        <f t="shared" ref="F38:T38" si="67">+F8+F27</f>
        <v>50.542826639999994</v>
      </c>
      <c r="G38" s="239">
        <f t="shared" si="67"/>
        <v>112.80464644000001</v>
      </c>
      <c r="H38" s="239">
        <f t="shared" si="67"/>
        <v>55.284609250000003</v>
      </c>
      <c r="I38" s="239">
        <f t="shared" si="67"/>
        <v>37.85285872</v>
      </c>
      <c r="J38" s="239">
        <f t="shared" si="67"/>
        <v>180.07656931</v>
      </c>
      <c r="K38" s="239">
        <f t="shared" ref="K38:N38" si="68">+K8+K27</f>
        <v>136.67347338999997</v>
      </c>
      <c r="L38" s="239">
        <f t="shared" si="68"/>
        <v>839.78563295999993</v>
      </c>
      <c r="M38" s="239">
        <f t="shared" si="68"/>
        <v>125.25942522</v>
      </c>
      <c r="N38" s="239">
        <f t="shared" si="68"/>
        <v>3876.3902540599997</v>
      </c>
      <c r="O38" s="239">
        <f t="shared" si="67"/>
        <v>7461.8428692299995</v>
      </c>
      <c r="P38" s="239">
        <f t="shared" si="67"/>
        <v>1157.9304370700002</v>
      </c>
      <c r="Q38" s="239">
        <f>+Q8+Q27</f>
        <v>132.25936243000001</v>
      </c>
      <c r="R38" s="239">
        <f t="shared" si="67"/>
        <v>278.82954396000002</v>
      </c>
      <c r="S38" s="239">
        <f t="shared" si="67"/>
        <v>238.88565226</v>
      </c>
      <c r="T38" s="239">
        <f t="shared" si="67"/>
        <v>11.299593119999997</v>
      </c>
      <c r="U38" s="233">
        <f>+U8+U27</f>
        <v>14822.909525900001</v>
      </c>
      <c r="V38" s="173"/>
      <c r="W38" s="239">
        <f>+W27+W8</f>
        <v>113.8059751</v>
      </c>
      <c r="X38" s="239">
        <f>+X27+X8</f>
        <v>25.872086430000003</v>
      </c>
      <c r="Y38" s="239">
        <f t="shared" ref="Y38:AM38" si="69">+Y8+Y27</f>
        <v>45.587991549999998</v>
      </c>
      <c r="Z38" s="239">
        <f t="shared" si="69"/>
        <v>135.80471861000001</v>
      </c>
      <c r="AA38" s="239">
        <f t="shared" si="69"/>
        <v>53.096453750000009</v>
      </c>
      <c r="AB38" s="239">
        <f t="shared" si="69"/>
        <v>42.156169210000002</v>
      </c>
      <c r="AC38" s="239">
        <f t="shared" si="69"/>
        <v>133.11770669999999</v>
      </c>
      <c r="AD38" s="239">
        <f t="shared" si="69"/>
        <v>162.29712010000003</v>
      </c>
      <c r="AE38" s="239">
        <f t="shared" si="69"/>
        <v>765.01046410000004</v>
      </c>
      <c r="AF38" s="239">
        <f t="shared" si="69"/>
        <v>122.64266112</v>
      </c>
      <c r="AG38" s="239">
        <f t="shared" si="69"/>
        <v>3959.6655017700004</v>
      </c>
      <c r="AH38" s="239">
        <f t="shared" si="69"/>
        <v>7414.9526594800009</v>
      </c>
      <c r="AI38" s="239">
        <f t="shared" si="69"/>
        <v>1168.6519144700003</v>
      </c>
      <c r="AJ38" s="239">
        <f t="shared" si="69"/>
        <v>110.36794166999999</v>
      </c>
      <c r="AK38" s="239">
        <f t="shared" si="69"/>
        <v>584.23512849999997</v>
      </c>
      <c r="AL38" s="239">
        <f t="shared" si="69"/>
        <v>247.74361286999999</v>
      </c>
      <c r="AM38" s="239">
        <f t="shared" si="69"/>
        <v>11.549248509999998</v>
      </c>
      <c r="AN38" s="233">
        <f>+AN8+AN27</f>
        <v>15096.557353939999</v>
      </c>
      <c r="AO38" s="173"/>
      <c r="AP38" s="174">
        <f t="shared" ref="AP38:BG38" si="70">IF(W38=0,"-",IF((D38/W38)&gt;3,"-",((D38-W38)/W38)*100))</f>
        <v>-8.6509711914062812</v>
      </c>
      <c r="AQ38" s="174">
        <f t="shared" si="70"/>
        <v>-10.207787366300943</v>
      </c>
      <c r="AR38" s="174">
        <f t="shared" si="70"/>
        <v>10.868728631235337</v>
      </c>
      <c r="AS38" s="174">
        <f t="shared" si="70"/>
        <v>-16.936136244316316</v>
      </c>
      <c r="AT38" s="174">
        <f t="shared" si="70"/>
        <v>4.1210953754138302</v>
      </c>
      <c r="AU38" s="174">
        <f t="shared" si="70"/>
        <v>-10.20802072542018</v>
      </c>
      <c r="AV38" s="174">
        <f t="shared" si="70"/>
        <v>35.276195612225052</v>
      </c>
      <c r="AW38" s="174">
        <f t="shared" si="70"/>
        <v>-15.788109298681299</v>
      </c>
      <c r="AX38" s="174">
        <f t="shared" si="70"/>
        <v>9.7743981774117916</v>
      </c>
      <c r="AY38" s="174">
        <f t="shared" si="70"/>
        <v>2.1336491528340362</v>
      </c>
      <c r="AZ38" s="174">
        <f t="shared" si="70"/>
        <v>-2.1030879419682305</v>
      </c>
      <c r="BA38" s="174">
        <f t="shared" si="70"/>
        <v>0.6323736900740633</v>
      </c>
      <c r="BB38" s="174">
        <f t="shared" si="70"/>
        <v>-0.91742265316550453</v>
      </c>
      <c r="BC38" s="174">
        <f t="shared" si="70"/>
        <v>19.834945210317809</v>
      </c>
      <c r="BD38" s="174">
        <f t="shared" si="70"/>
        <v>-52.274430215128696</v>
      </c>
      <c r="BE38" s="174">
        <f t="shared" si="70"/>
        <v>-3.5754546837290548</v>
      </c>
      <c r="BF38" s="174">
        <f t="shared" si="70"/>
        <v>-2.16165917448079</v>
      </c>
      <c r="BG38" s="175">
        <f t="shared" si="70"/>
        <v>-1.8126505376312194</v>
      </c>
      <c r="BH38" s="169"/>
      <c r="BI38" s="150"/>
      <c r="BJ38" s="150"/>
      <c r="BK38" s="151"/>
      <c r="BL38" s="151"/>
      <c r="BM38" s="151"/>
      <c r="BN38" s="151"/>
      <c r="BO38" s="138"/>
      <c r="BP38" s="138"/>
      <c r="BQ38" s="138"/>
      <c r="BR38" s="137"/>
      <c r="BS38" s="137"/>
      <c r="BT38" s="137"/>
      <c r="BU38" s="137"/>
      <c r="BV38" s="137"/>
      <c r="BW38" s="137"/>
      <c r="BX38" s="123"/>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c r="CU38" s="123"/>
      <c r="CV38" s="123"/>
      <c r="CW38" s="123"/>
      <c r="CX38" s="123"/>
      <c r="CY38" s="123"/>
      <c r="CZ38" s="123"/>
      <c r="DA38" s="123"/>
      <c r="DB38" s="123"/>
      <c r="DC38" s="123"/>
      <c r="DD38" s="123"/>
      <c r="DE38" s="123"/>
      <c r="DF38" s="123"/>
      <c r="DG38" s="123"/>
      <c r="DH38" s="123"/>
      <c r="DI38" s="123"/>
      <c r="DJ38" s="123"/>
      <c r="DK38" s="123"/>
      <c r="DL38" s="123"/>
      <c r="DM38" s="123"/>
      <c r="DN38" s="123"/>
      <c r="DO38" s="123"/>
      <c r="DP38" s="123"/>
      <c r="DQ38" s="123"/>
      <c r="DR38" s="123"/>
      <c r="DS38" s="123"/>
      <c r="DT38" s="123"/>
      <c r="DU38" s="123"/>
      <c r="DV38" s="123"/>
      <c r="DW38" s="123"/>
      <c r="DX38" s="123"/>
      <c r="DY38" s="123"/>
      <c r="DZ38" s="123"/>
      <c r="EA38" s="123"/>
      <c r="EB38" s="123"/>
      <c r="EC38" s="123"/>
      <c r="ED38" s="123"/>
      <c r="EE38" s="123"/>
      <c r="EF38" s="123"/>
      <c r="EG38" s="123"/>
      <c r="EH38" s="123"/>
      <c r="EI38" s="123"/>
      <c r="EJ38" s="123"/>
      <c r="EK38" s="123"/>
      <c r="EL38" s="123"/>
      <c r="EM38" s="123"/>
      <c r="EN38" s="123"/>
      <c r="EO38" s="123"/>
      <c r="EP38" s="123"/>
      <c r="EQ38" s="123"/>
      <c r="ER38" s="123"/>
      <c r="ES38" s="123"/>
      <c r="ET38" s="123"/>
      <c r="EU38" s="123"/>
      <c r="EV38" s="123"/>
      <c r="EW38" s="123"/>
      <c r="EX38" s="123"/>
      <c r="EY38" s="123"/>
      <c r="EZ38" s="123"/>
      <c r="FA38" s="123"/>
      <c r="FB38" s="123"/>
      <c r="FC38" s="123"/>
      <c r="FD38" s="123"/>
      <c r="FE38" s="123"/>
      <c r="FF38" s="123"/>
      <c r="FG38" s="123"/>
      <c r="FH38" s="123"/>
      <c r="FI38" s="123"/>
      <c r="FJ38" s="123"/>
      <c r="FK38" s="123"/>
      <c r="FL38" s="123"/>
      <c r="FM38" s="123"/>
      <c r="FN38" s="123"/>
      <c r="FO38" s="123"/>
      <c r="FP38" s="123"/>
      <c r="FQ38" s="123"/>
      <c r="FR38" s="123"/>
      <c r="FS38" s="123"/>
      <c r="FT38" s="123"/>
      <c r="FU38" s="123"/>
      <c r="FV38" s="123"/>
      <c r="FW38" s="123"/>
      <c r="FX38" s="123"/>
      <c r="FY38" s="123"/>
      <c r="FZ38" s="123"/>
      <c r="GA38" s="123"/>
      <c r="GB38" s="123"/>
      <c r="GC38" s="123"/>
      <c r="GD38" s="123"/>
      <c r="GE38" s="123"/>
      <c r="GF38" s="123"/>
      <c r="GG38" s="123"/>
      <c r="GH38" s="123"/>
      <c r="GI38" s="123"/>
      <c r="GJ38" s="123"/>
      <c r="GK38" s="123"/>
      <c r="GL38" s="123"/>
      <c r="GM38" s="123"/>
      <c r="GN38" s="123"/>
      <c r="GO38" s="123"/>
      <c r="GP38" s="123"/>
      <c r="GQ38" s="123"/>
    </row>
    <row r="39" spans="3:199" ht="12.75">
      <c r="C39" s="176" t="str">
        <f>IF(Indice_index!$Z$1=1,"   Por memória:","   Memo item:")</f>
        <v xml:space="preserve">   Memo item:</v>
      </c>
      <c r="D39" s="237"/>
      <c r="E39" s="237"/>
      <c r="F39" s="237"/>
      <c r="G39" s="237"/>
      <c r="H39" s="237"/>
      <c r="I39" s="237"/>
      <c r="J39" s="237"/>
      <c r="K39" s="237"/>
      <c r="L39" s="237"/>
      <c r="M39" s="237"/>
      <c r="N39" s="237"/>
      <c r="O39" s="237"/>
      <c r="P39" s="237"/>
      <c r="Q39" s="237"/>
      <c r="R39" s="237"/>
      <c r="S39" s="237"/>
      <c r="T39" s="237"/>
      <c r="U39" s="227"/>
      <c r="V39" s="148"/>
      <c r="W39" s="237"/>
      <c r="X39" s="237"/>
      <c r="Y39" s="237"/>
      <c r="Z39" s="237"/>
      <c r="AA39" s="237"/>
      <c r="AB39" s="237"/>
      <c r="AC39" s="237"/>
      <c r="AD39" s="237"/>
      <c r="AE39" s="237"/>
      <c r="AF39" s="237"/>
      <c r="AG39" s="237"/>
      <c r="AH39" s="237"/>
      <c r="AI39" s="237"/>
      <c r="AJ39" s="237"/>
      <c r="AK39" s="237"/>
      <c r="AL39" s="237"/>
      <c r="AM39" s="237"/>
      <c r="AN39" s="227"/>
      <c r="AO39" s="148"/>
      <c r="AP39" s="157"/>
      <c r="AQ39" s="157"/>
      <c r="AR39" s="157"/>
      <c r="AS39" s="157"/>
      <c r="AT39" s="157"/>
      <c r="AU39" s="157"/>
      <c r="AV39" s="157"/>
      <c r="AW39" s="157"/>
      <c r="AX39" s="157"/>
      <c r="AY39" s="157"/>
      <c r="AZ39" s="157"/>
      <c r="BA39" s="157"/>
      <c r="BB39" s="157"/>
      <c r="BC39" s="157"/>
      <c r="BD39" s="157"/>
      <c r="BE39" s="157"/>
      <c r="BF39" s="157"/>
      <c r="BG39" s="177"/>
      <c r="BH39" s="169"/>
      <c r="BI39" s="150"/>
      <c r="BJ39" s="150"/>
      <c r="BK39" s="151"/>
      <c r="BL39" s="151"/>
      <c r="BM39" s="151"/>
      <c r="BN39" s="151"/>
    </row>
    <row r="40" spans="3:199" ht="12.75">
      <c r="C40" s="178" t="str">
        <f>IF(Indice_index!$Z$1=1,"Ativos financeiros","Financial assets")</f>
        <v>Financial assets</v>
      </c>
      <c r="D40" s="236">
        <v>0</v>
      </c>
      <c r="E40" s="236">
        <v>8.5039379999999998</v>
      </c>
      <c r="F40" s="236">
        <v>0</v>
      </c>
      <c r="G40" s="236">
        <v>1822.2030522</v>
      </c>
      <c r="H40" s="236">
        <v>0</v>
      </c>
      <c r="I40" s="236">
        <v>7.6116995999999997</v>
      </c>
      <c r="J40" s="236">
        <v>0</v>
      </c>
      <c r="K40" s="236">
        <v>0</v>
      </c>
      <c r="L40" s="236">
        <v>0.36595558</v>
      </c>
      <c r="M40" s="236">
        <v>0</v>
      </c>
      <c r="N40" s="236">
        <v>100.31168905000001</v>
      </c>
      <c r="O40" s="236">
        <v>0.15195389000000001</v>
      </c>
      <c r="P40" s="236">
        <v>19.629513520000003</v>
      </c>
      <c r="Q40" s="236">
        <v>283.56352329999999</v>
      </c>
      <c r="R40" s="236">
        <v>0.15968157999999999</v>
      </c>
      <c r="S40" s="236">
        <v>0</v>
      </c>
      <c r="T40" s="236">
        <v>0.26904050000000002</v>
      </c>
      <c r="U40" s="227">
        <f>SUM(D40:T40)</f>
        <v>2242.7700472199999</v>
      </c>
      <c r="V40" s="179"/>
      <c r="W40" s="236">
        <v>0</v>
      </c>
      <c r="X40" s="236">
        <v>0.99139299999999997</v>
      </c>
      <c r="Y40" s="236">
        <v>0</v>
      </c>
      <c r="Z40" s="236">
        <v>2051.7415309399998</v>
      </c>
      <c r="AA40" s="236">
        <v>8.2467000000000011E-4</v>
      </c>
      <c r="AB40" s="236">
        <v>19.97783806</v>
      </c>
      <c r="AC40" s="236">
        <v>0</v>
      </c>
      <c r="AD40" s="236">
        <v>0</v>
      </c>
      <c r="AE40" s="236">
        <v>0</v>
      </c>
      <c r="AF40" s="236">
        <v>0</v>
      </c>
      <c r="AG40" s="236">
        <v>92.878655659999993</v>
      </c>
      <c r="AH40" s="236">
        <v>0.87307545999999991</v>
      </c>
      <c r="AI40" s="236">
        <v>18.307087589999995</v>
      </c>
      <c r="AJ40" s="236">
        <v>217.21672021999998</v>
      </c>
      <c r="AK40" s="236">
        <v>0.33606102000000004</v>
      </c>
      <c r="AL40" s="236">
        <v>0</v>
      </c>
      <c r="AM40" s="236">
        <v>0</v>
      </c>
      <c r="AN40" s="227">
        <f>SUM(W40:AM40)</f>
        <v>2402.3231866199994</v>
      </c>
      <c r="AO40" s="179"/>
      <c r="AP40" s="157"/>
      <c r="AQ40" s="157"/>
      <c r="AR40" s="157"/>
      <c r="AS40" s="157"/>
      <c r="AT40" s="157"/>
      <c r="AU40" s="157"/>
      <c r="AV40" s="157"/>
      <c r="AW40" s="157"/>
      <c r="AX40" s="157"/>
      <c r="AY40" s="157"/>
      <c r="AZ40" s="157"/>
      <c r="BA40" s="157"/>
      <c r="BB40" s="157"/>
      <c r="BC40" s="157"/>
      <c r="BD40" s="157"/>
      <c r="BE40" s="157"/>
      <c r="BF40" s="157"/>
      <c r="BG40" s="177"/>
      <c r="BH40" s="169"/>
      <c r="BI40" s="150"/>
      <c r="BJ40" s="150"/>
      <c r="BK40" s="151"/>
      <c r="BL40" s="151"/>
      <c r="BM40" s="151"/>
      <c r="BN40" s="151"/>
    </row>
    <row r="41" spans="3:199" ht="12.75">
      <c r="C41" s="162" t="s">
        <v>15</v>
      </c>
      <c r="D41" s="236"/>
      <c r="E41" s="236"/>
      <c r="F41" s="236"/>
      <c r="G41" s="236"/>
      <c r="H41" s="236"/>
      <c r="I41" s="236"/>
      <c r="J41" s="236"/>
      <c r="K41" s="236"/>
      <c r="L41" s="236"/>
      <c r="M41" s="236"/>
      <c r="N41" s="236"/>
      <c r="O41" s="236"/>
      <c r="P41" s="236"/>
      <c r="Q41" s="236"/>
      <c r="R41" s="236"/>
      <c r="S41" s="236"/>
      <c r="T41" s="236"/>
      <c r="U41" s="227"/>
      <c r="V41" s="179"/>
      <c r="W41" s="236">
        <v>0</v>
      </c>
      <c r="X41" s="236"/>
      <c r="Y41" s="236"/>
      <c r="Z41" s="236"/>
      <c r="AA41" s="236"/>
      <c r="AB41" s="236"/>
      <c r="AC41" s="236"/>
      <c r="AD41" s="236"/>
      <c r="AE41" s="236"/>
      <c r="AF41" s="236"/>
      <c r="AG41" s="236"/>
      <c r="AH41" s="236"/>
      <c r="AI41" s="236"/>
      <c r="AJ41" s="236"/>
      <c r="AK41" s="236"/>
      <c r="AL41" s="236"/>
      <c r="AM41" s="236">
        <v>0</v>
      </c>
      <c r="AN41" s="227"/>
      <c r="AO41" s="179"/>
      <c r="AP41" s="157"/>
      <c r="AQ41" s="157"/>
      <c r="AR41" s="157"/>
      <c r="AS41" s="157"/>
      <c r="AT41" s="157"/>
      <c r="AU41" s="157"/>
      <c r="AV41" s="157"/>
      <c r="AW41" s="157"/>
      <c r="AX41" s="157"/>
      <c r="AY41" s="157"/>
      <c r="AZ41" s="157"/>
      <c r="BA41" s="157"/>
      <c r="BB41" s="157"/>
      <c r="BC41" s="157"/>
      <c r="BD41" s="157"/>
      <c r="BE41" s="157"/>
      <c r="BF41" s="157"/>
      <c r="BG41" s="177"/>
      <c r="BH41" s="169"/>
      <c r="BI41" s="150"/>
      <c r="BJ41" s="150"/>
      <c r="BK41" s="151"/>
      <c r="BL41" s="151"/>
      <c r="BM41" s="151"/>
      <c r="BN41" s="151"/>
    </row>
    <row r="42" spans="3:199" s="304" customFormat="1" ht="27.75" customHeight="1">
      <c r="C42" s="212" t="str">
        <f>IF(Indice_index!$Z$1=1,"Fundo de Regularização da Dívida Pública","Public Debt Settlement Fund transfers")</f>
        <v>Public Debt Settlement Fund transfers</v>
      </c>
      <c r="D42" s="294">
        <v>0</v>
      </c>
      <c r="E42" s="294"/>
      <c r="F42" s="294"/>
      <c r="G42" s="294">
        <v>0</v>
      </c>
      <c r="H42" s="294"/>
      <c r="I42" s="294"/>
      <c r="J42" s="294"/>
      <c r="K42" s="294"/>
      <c r="L42" s="294"/>
      <c r="M42" s="294"/>
      <c r="N42" s="294"/>
      <c r="O42" s="294"/>
      <c r="P42" s="294"/>
      <c r="Q42" s="294"/>
      <c r="R42" s="294"/>
      <c r="S42" s="294"/>
      <c r="T42" s="294"/>
      <c r="U42" s="295">
        <f>SUM(D42:T42)</f>
        <v>0</v>
      </c>
      <c r="V42" s="296"/>
      <c r="W42" s="294"/>
      <c r="X42" s="294"/>
      <c r="Y42" s="294"/>
      <c r="Z42" s="294">
        <v>0</v>
      </c>
      <c r="AA42" s="294"/>
      <c r="AB42" s="294"/>
      <c r="AC42" s="294"/>
      <c r="AD42" s="294"/>
      <c r="AE42" s="294"/>
      <c r="AF42" s="294"/>
      <c r="AG42" s="294"/>
      <c r="AH42" s="294"/>
      <c r="AI42" s="294"/>
      <c r="AJ42" s="294"/>
      <c r="AK42" s="294"/>
      <c r="AL42" s="294"/>
      <c r="AM42" s="294"/>
      <c r="AN42" s="295">
        <f>SUM(W42:AM42)</f>
        <v>0</v>
      </c>
      <c r="AO42" s="296"/>
      <c r="AP42" s="297"/>
      <c r="AQ42" s="297"/>
      <c r="AR42" s="297"/>
      <c r="AS42" s="297"/>
      <c r="AT42" s="297"/>
      <c r="AU42" s="297"/>
      <c r="AV42" s="297"/>
      <c r="AW42" s="297"/>
      <c r="AX42" s="297"/>
      <c r="AY42" s="297"/>
      <c r="AZ42" s="297"/>
      <c r="BA42" s="297"/>
      <c r="BB42" s="297"/>
      <c r="BC42" s="297"/>
      <c r="BD42" s="297"/>
      <c r="BE42" s="297"/>
      <c r="BF42" s="297"/>
      <c r="BG42" s="298"/>
      <c r="BH42" s="299"/>
      <c r="BI42" s="300"/>
      <c r="BJ42" s="300"/>
      <c r="BK42" s="301"/>
      <c r="BL42" s="301"/>
      <c r="BM42" s="301"/>
      <c r="BN42" s="301"/>
      <c r="BO42" s="302"/>
      <c r="BP42" s="302"/>
      <c r="BQ42" s="302"/>
      <c r="BR42" s="303"/>
      <c r="BS42" s="303"/>
      <c r="BT42" s="303"/>
      <c r="BU42" s="303"/>
      <c r="BV42" s="303"/>
      <c r="BW42" s="303"/>
    </row>
    <row r="43" spans="3:199" ht="12.75">
      <c r="C43" s="178" t="str">
        <f>IF(Indice_index!$Z$1=1,"Passivos financeiros","Financial liabilities")</f>
        <v>Financial liabilities</v>
      </c>
      <c r="D43" s="236">
        <v>0</v>
      </c>
      <c r="E43" s="236">
        <v>0</v>
      </c>
      <c r="F43" s="236">
        <v>0</v>
      </c>
      <c r="G43" s="236">
        <v>37.007701789999999</v>
      </c>
      <c r="H43" s="236">
        <v>0</v>
      </c>
      <c r="I43" s="236">
        <v>2.1129389999999998E-2</v>
      </c>
      <c r="J43" s="236">
        <v>0</v>
      </c>
      <c r="K43" s="236">
        <v>8.7222222200000008</v>
      </c>
      <c r="L43" s="236">
        <v>0.15</v>
      </c>
      <c r="M43" s="236">
        <v>25.013280000000002</v>
      </c>
      <c r="N43" s="236">
        <v>8.0942169999999994E-2</v>
      </c>
      <c r="O43" s="236">
        <v>11.145968</v>
      </c>
      <c r="P43" s="236">
        <v>522.56494538999993</v>
      </c>
      <c r="Q43" s="236">
        <v>8.8256819999999986E-2</v>
      </c>
      <c r="R43" s="236">
        <v>439.22635273999998</v>
      </c>
      <c r="S43" s="236">
        <v>6.5882399999999999</v>
      </c>
      <c r="T43" s="236">
        <v>0</v>
      </c>
      <c r="U43" s="227">
        <f>SUM(D43:T43)</f>
        <v>1050.60903852</v>
      </c>
      <c r="V43" s="179"/>
      <c r="W43" s="236">
        <v>0</v>
      </c>
      <c r="X43" s="236">
        <v>0</v>
      </c>
      <c r="Y43" s="236">
        <v>0</v>
      </c>
      <c r="Z43" s="240">
        <v>29.275741010000001</v>
      </c>
      <c r="AA43" s="236">
        <v>0</v>
      </c>
      <c r="AB43" s="236">
        <v>8.3332000000000002E-4</v>
      </c>
      <c r="AC43" s="236">
        <v>0</v>
      </c>
      <c r="AD43" s="236">
        <v>2.7222222200000004</v>
      </c>
      <c r="AE43" s="236">
        <v>0.15</v>
      </c>
      <c r="AF43" s="236">
        <v>24.983280000000001</v>
      </c>
      <c r="AG43" s="236">
        <v>8.039578E-2</v>
      </c>
      <c r="AH43" s="236">
        <v>6.7927929999999996</v>
      </c>
      <c r="AI43" s="236">
        <v>22.545714289999999</v>
      </c>
      <c r="AJ43" s="236">
        <v>2.5675890699999999</v>
      </c>
      <c r="AK43" s="236">
        <v>39.026939980000002</v>
      </c>
      <c r="AL43" s="236">
        <v>6.5882419000000008</v>
      </c>
      <c r="AM43" s="236">
        <v>0</v>
      </c>
      <c r="AN43" s="227">
        <f>SUM(W43:AM43)</f>
        <v>134.73375057000001</v>
      </c>
      <c r="AO43" s="179"/>
      <c r="AP43" s="157"/>
      <c r="AQ43" s="157"/>
      <c r="AR43" s="157"/>
      <c r="AS43" s="157"/>
      <c r="AT43" s="157"/>
      <c r="AU43" s="157"/>
      <c r="AV43" s="157"/>
      <c r="AW43" s="157"/>
      <c r="AX43" s="157"/>
      <c r="AY43" s="157"/>
      <c r="AZ43" s="157"/>
      <c r="BA43" s="157"/>
      <c r="BB43" s="157"/>
      <c r="BC43" s="157"/>
      <c r="BD43" s="157"/>
      <c r="BE43" s="157"/>
      <c r="BF43" s="157"/>
      <c r="BG43" s="177"/>
      <c r="BH43" s="169"/>
      <c r="BI43" s="150"/>
      <c r="BJ43" s="150"/>
      <c r="BK43" s="151"/>
      <c r="BL43" s="151"/>
      <c r="BM43" s="151"/>
      <c r="BN43" s="151"/>
    </row>
    <row r="44" spans="3:199" ht="12.75">
      <c r="C44" s="162" t="s">
        <v>15</v>
      </c>
      <c r="D44" s="236"/>
      <c r="E44" s="236"/>
      <c r="F44" s="236"/>
      <c r="G44" s="236"/>
      <c r="H44" s="236"/>
      <c r="I44" s="236"/>
      <c r="J44" s="236"/>
      <c r="K44" s="236"/>
      <c r="L44" s="236"/>
      <c r="M44" s="236"/>
      <c r="N44" s="236"/>
      <c r="O44" s="236"/>
      <c r="P44" s="236"/>
      <c r="Q44" s="236"/>
      <c r="R44" s="236"/>
      <c r="S44" s="236"/>
      <c r="T44" s="236"/>
      <c r="U44" s="227"/>
      <c r="V44" s="179"/>
      <c r="W44" s="236"/>
      <c r="X44" s="236"/>
      <c r="Y44" s="236"/>
      <c r="Z44" s="236"/>
      <c r="AA44" s="236"/>
      <c r="AB44" s="236"/>
      <c r="AC44" s="236"/>
      <c r="AD44" s="236"/>
      <c r="AE44" s="236"/>
      <c r="AF44" s="236"/>
      <c r="AG44" s="236"/>
      <c r="AH44" s="236"/>
      <c r="AI44" s="236"/>
      <c r="AJ44" s="236"/>
      <c r="AK44" s="236"/>
      <c r="AL44" s="236"/>
      <c r="AM44" s="236"/>
      <c r="AN44" s="227"/>
      <c r="AO44" s="179"/>
      <c r="AP44" s="157"/>
      <c r="AQ44" s="157"/>
      <c r="AR44" s="157"/>
      <c r="AS44" s="157"/>
      <c r="AT44" s="157"/>
      <c r="AU44" s="157"/>
      <c r="AV44" s="157"/>
      <c r="AW44" s="157"/>
      <c r="AX44" s="157"/>
      <c r="AY44" s="157"/>
      <c r="AZ44" s="157"/>
      <c r="BA44" s="157"/>
      <c r="BB44" s="157"/>
      <c r="BC44" s="157"/>
      <c r="BD44" s="157"/>
      <c r="BE44" s="157"/>
      <c r="BF44" s="157"/>
      <c r="BG44" s="177"/>
      <c r="BH44" s="169"/>
      <c r="BI44" s="150"/>
      <c r="BJ44" s="150"/>
      <c r="BK44" s="151"/>
      <c r="BL44" s="151"/>
      <c r="BM44" s="151"/>
      <c r="BN44" s="151"/>
    </row>
    <row r="45" spans="3:199" s="304" customFormat="1" ht="30.75" customHeight="1">
      <c r="C45" s="213" t="str">
        <f>IF(Indice_index!$Z$1=1,"Fundo de Regularização da Dívida Pública","Public Debt Settlement Fund transfers")</f>
        <v>Public Debt Settlement Fund transfers</v>
      </c>
      <c r="D45" s="305">
        <v>0</v>
      </c>
      <c r="E45" s="305"/>
      <c r="F45" s="305"/>
      <c r="G45" s="305">
        <v>7.7427900000000003E-3</v>
      </c>
      <c r="H45" s="305"/>
      <c r="I45" s="305"/>
      <c r="J45" s="305"/>
      <c r="K45" s="305"/>
      <c r="L45" s="305"/>
      <c r="M45" s="305"/>
      <c r="N45" s="305"/>
      <c r="O45" s="305"/>
      <c r="P45" s="305"/>
      <c r="Q45" s="305"/>
      <c r="R45" s="305"/>
      <c r="S45" s="305"/>
      <c r="T45" s="305"/>
      <c r="U45" s="306">
        <f>SUM(D45:T45)</f>
        <v>7.7427900000000003E-3</v>
      </c>
      <c r="V45" s="307"/>
      <c r="W45" s="305">
        <v>0</v>
      </c>
      <c r="X45" s="305"/>
      <c r="Y45" s="305"/>
      <c r="Z45" s="305">
        <v>0.27578901</v>
      </c>
      <c r="AA45" s="305"/>
      <c r="AB45" s="305"/>
      <c r="AC45" s="305"/>
      <c r="AD45" s="305"/>
      <c r="AE45" s="305"/>
      <c r="AF45" s="305"/>
      <c r="AG45" s="305"/>
      <c r="AH45" s="305"/>
      <c r="AI45" s="305"/>
      <c r="AJ45" s="305"/>
      <c r="AK45" s="305"/>
      <c r="AL45" s="305"/>
      <c r="AM45" s="305"/>
      <c r="AN45" s="306">
        <f>SUM(W45:AM45)</f>
        <v>0.27578901</v>
      </c>
      <c r="AO45" s="307"/>
      <c r="AP45" s="308"/>
      <c r="AQ45" s="308"/>
      <c r="AR45" s="308"/>
      <c r="AS45" s="308"/>
      <c r="AT45" s="308"/>
      <c r="AU45" s="308"/>
      <c r="AV45" s="308"/>
      <c r="AW45" s="308"/>
      <c r="AX45" s="308"/>
      <c r="AY45" s="308"/>
      <c r="AZ45" s="308"/>
      <c r="BA45" s="308"/>
      <c r="BB45" s="308"/>
      <c r="BC45" s="308"/>
      <c r="BD45" s="308"/>
      <c r="BE45" s="308"/>
      <c r="BF45" s="308"/>
      <c r="BG45" s="309"/>
      <c r="BH45" s="299"/>
      <c r="BI45" s="300"/>
      <c r="BJ45" s="300"/>
      <c r="BK45" s="301"/>
      <c r="BL45" s="301"/>
      <c r="BM45" s="301"/>
      <c r="BN45" s="301"/>
      <c r="BO45" s="302"/>
      <c r="BP45" s="302"/>
      <c r="BQ45" s="302"/>
      <c r="BR45" s="303"/>
      <c r="BS45" s="303"/>
      <c r="BT45" s="303"/>
      <c r="BU45" s="303"/>
      <c r="BV45" s="303"/>
      <c r="BW45" s="303"/>
    </row>
    <row r="46" spans="3:199" s="244" customFormat="1" ht="12.75">
      <c r="AC46" s="104"/>
      <c r="AD46" s="104"/>
      <c r="AE46" s="104"/>
      <c r="AF46" s="104"/>
      <c r="AG46" s="104"/>
    </row>
    <row r="47" spans="3:199" s="244" customFormat="1" ht="12.75">
      <c r="U47" s="104"/>
      <c r="AC47" s="104"/>
      <c r="AD47" s="104"/>
      <c r="AE47" s="104"/>
      <c r="AF47" s="104"/>
      <c r="AG47" s="104"/>
    </row>
    <row r="48" spans="3:199" s="244" customFormat="1" ht="12.75">
      <c r="AC48" s="104"/>
      <c r="AD48" s="104"/>
      <c r="AE48" s="104"/>
      <c r="AF48" s="104"/>
      <c r="AG48" s="104"/>
    </row>
    <row r="49" spans="3:33" s="244" customFormat="1" ht="12.75">
      <c r="AC49" s="104"/>
      <c r="AD49" s="104"/>
      <c r="AE49" s="104"/>
      <c r="AF49" s="104"/>
      <c r="AG49" s="104"/>
    </row>
    <row r="50" spans="3:33" s="244" customFormat="1" ht="12.75">
      <c r="AC50" s="104"/>
      <c r="AD50" s="104"/>
      <c r="AE50" s="104"/>
      <c r="AF50" s="104"/>
      <c r="AG50" s="104"/>
    </row>
    <row r="51" spans="3:33" s="244" customFormat="1" ht="12.75">
      <c r="AC51" s="104"/>
      <c r="AD51" s="104"/>
      <c r="AE51" s="104"/>
      <c r="AF51" s="104"/>
      <c r="AG51" s="104"/>
    </row>
    <row r="52" spans="3:33" s="244" customFormat="1" ht="12.75" hidden="1">
      <c r="C52" s="270" t="s">
        <v>17</v>
      </c>
      <c r="AC52" s="104"/>
      <c r="AD52" s="104"/>
      <c r="AE52" s="104"/>
      <c r="AF52" s="104"/>
      <c r="AG52" s="104"/>
    </row>
    <row r="53" spans="3:33" s="244" customFormat="1" ht="12.75" hidden="1">
      <c r="C53" s="261" t="s">
        <v>18</v>
      </c>
      <c r="AC53" s="104"/>
      <c r="AD53" s="104"/>
      <c r="AE53" s="104"/>
      <c r="AF53" s="104"/>
      <c r="AG53" s="104"/>
    </row>
    <row r="54" spans="3:33" s="244" customFormat="1" ht="12.75" hidden="1">
      <c r="C54" s="261" t="s">
        <v>19</v>
      </c>
      <c r="AC54" s="104"/>
      <c r="AD54" s="104"/>
      <c r="AE54" s="104"/>
      <c r="AF54" s="104"/>
      <c r="AG54" s="104"/>
    </row>
    <row r="55" spans="3:33" s="244" customFormat="1" ht="12.75" hidden="1">
      <c r="C55" s="261" t="s">
        <v>20</v>
      </c>
      <c r="AC55" s="104"/>
      <c r="AD55" s="104"/>
      <c r="AE55" s="104"/>
      <c r="AF55" s="104"/>
      <c r="AG55" s="104"/>
    </row>
    <row r="56" spans="3:33" s="244" customFormat="1" ht="12.75" hidden="1">
      <c r="C56" s="261" t="s">
        <v>21</v>
      </c>
      <c r="AC56" s="104"/>
      <c r="AD56" s="104"/>
      <c r="AE56" s="104"/>
      <c r="AF56" s="104"/>
      <c r="AG56" s="104"/>
    </row>
    <row r="57" spans="3:33" s="244" customFormat="1" ht="12.75" hidden="1">
      <c r="C57" s="261" t="s">
        <v>22</v>
      </c>
      <c r="AC57" s="104"/>
      <c r="AD57" s="104"/>
      <c r="AE57" s="104"/>
      <c r="AF57" s="104"/>
      <c r="AG57" s="104"/>
    </row>
    <row r="58" spans="3:33" s="244" customFormat="1" ht="12.75" hidden="1">
      <c r="C58" s="261"/>
      <c r="AC58" s="104"/>
      <c r="AD58" s="104"/>
      <c r="AE58" s="104"/>
      <c r="AF58" s="104"/>
      <c r="AG58" s="104"/>
    </row>
    <row r="59" spans="3:33" s="244" customFormat="1" ht="12.75">
      <c r="AC59" s="104"/>
      <c r="AD59" s="104"/>
      <c r="AE59" s="104"/>
      <c r="AF59" s="104"/>
      <c r="AG59" s="104"/>
    </row>
    <row r="60" spans="3:33" s="244" customFormat="1" ht="12.75">
      <c r="AC60" s="104"/>
      <c r="AD60" s="104"/>
      <c r="AE60" s="104"/>
      <c r="AF60" s="104"/>
      <c r="AG60" s="104"/>
    </row>
    <row r="61" spans="3:33" s="244" customFormat="1" ht="12.75">
      <c r="AC61" s="104"/>
      <c r="AD61" s="104"/>
      <c r="AE61" s="104"/>
      <c r="AF61" s="104"/>
      <c r="AG61" s="104"/>
    </row>
    <row r="62" spans="3:33" s="244" customFormat="1" ht="12.75">
      <c r="AC62" s="104"/>
      <c r="AD62" s="104"/>
      <c r="AE62" s="104"/>
      <c r="AF62" s="104"/>
      <c r="AG62" s="104"/>
    </row>
    <row r="63" spans="3:33" s="244" customFormat="1" ht="12.75">
      <c r="AC63" s="104"/>
      <c r="AD63" s="104"/>
      <c r="AE63" s="104"/>
      <c r="AF63" s="104"/>
      <c r="AG63" s="104"/>
    </row>
    <row r="64" spans="3:33">
      <c r="T64" s="127"/>
    </row>
    <row r="65" spans="20:20">
      <c r="T65" s="127"/>
    </row>
    <row r="66" spans="20:20">
      <c r="T66" s="127"/>
    </row>
    <row r="67" spans="20:20">
      <c r="T67" s="127"/>
    </row>
    <row r="68" spans="20:20">
      <c r="T68" s="127"/>
    </row>
    <row r="69" spans="20:20">
      <c r="T69" s="127"/>
    </row>
    <row r="70" spans="20:20">
      <c r="T70" s="127"/>
    </row>
  </sheetData>
  <mergeCells count="4">
    <mergeCell ref="D6:U6"/>
    <mergeCell ref="W6:AN6"/>
    <mergeCell ref="AP6:BG6"/>
    <mergeCell ref="C2:J2"/>
  </mergeCells>
  <printOptions horizontalCentered="1" verticalCentered="1"/>
  <pageMargins left="0.25" right="0.25" top="0.75" bottom="0.75" header="0.3" footer="0.3"/>
  <pageSetup paperSize="256" scale="59" fitToWidth="3" orientation="landscape" r:id="rId1"/>
  <headerFooter alignWithMargins="0">
    <oddHeader>&amp;L&amp;G</oddHeader>
  </headerFooter>
  <colBreaks count="2" manualBreakCount="2">
    <brk id="21" min="1" max="55" man="1"/>
    <brk id="41" min="1" max="55" man="1"/>
  </colBreaks>
  <ignoredErrors>
    <ignoredError sqref="U34:U36 T13 AH39:AN39 T17:T18 T26:T27 T29:T30 AN40 AN34:AN36 AH37 AJ37:AN37 D29:J30 D26:J27 D17:J18 D13:J13 W29:AC30 W26:AC27 W17:AC18 W13:AC13 W37:AC39 AI38:AN38 AI27:AM27 AI30:AM30 AH29:AM29 AH26:AM26 AH17:AM18 AH13:AM13 AD13:AG13 AO13:BE13 AN19:BE24 AD17:AG18 AN17:BE18 AD26:AG26 AO26:BE26 AD29:AG29 AO29:BE29 AD30:AH30 AO30:BE30 AD27:AH27 AO27:BE27 AO14:BE16 AO25:BE25 AO28:BE28 AO31:BE32 O29:S30 O26:S27 O17:S18 O13:S13 K13:N13 K17:N18 K26:N27 K29:N30" formulaRange="1"/>
    <ignoredError sqref="BD6:BG6 O6:P6 R6:V6 AZ6:BB6 E6:J6 AO6:AU6" numberStoredAsText="1"/>
    <ignoredError sqref="U13:U33 AN33 AN25:AN32 AN13:AN16" formula="1" formulaRange="1"/>
  </ignoredError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R251"/>
  <sheetViews>
    <sheetView showGridLines="0" zoomScaleNormal="100" workbookViewId="0"/>
  </sheetViews>
  <sheetFormatPr defaultRowHeight="12.75"/>
  <cols>
    <col min="1" max="1" width="28.7109375" style="271" customWidth="1"/>
    <col min="2" max="2" width="45.7109375" style="271" customWidth="1"/>
    <col min="3" max="3" width="45.7109375" style="289" customWidth="1"/>
    <col min="4" max="4" width="28.7109375" style="289" customWidth="1"/>
    <col min="5" max="5" width="9.140625" style="274" customWidth="1"/>
    <col min="6" max="7" width="9.140625" style="271" customWidth="1"/>
    <col min="8" max="8" width="54.5703125" style="271" customWidth="1"/>
    <col min="9" max="11" width="9.140625" style="271" customWidth="1"/>
    <col min="12" max="16384" width="9.140625" style="272"/>
  </cols>
  <sheetData>
    <row r="1" spans="1:11">
      <c r="C1" s="286"/>
      <c r="D1" s="286"/>
      <c r="F1" s="273"/>
      <c r="G1" s="272"/>
      <c r="H1" s="272"/>
      <c r="I1" s="272"/>
      <c r="J1" s="272"/>
      <c r="K1" s="272"/>
    </row>
    <row r="2" spans="1:11">
      <c r="C2" s="286"/>
      <c r="D2" s="286"/>
      <c r="F2" s="275"/>
      <c r="G2" s="272"/>
      <c r="H2" s="272"/>
      <c r="I2" s="272"/>
      <c r="J2" s="272"/>
      <c r="K2" s="272"/>
    </row>
    <row r="3" spans="1:11" ht="14.25">
      <c r="A3" s="403" t="s">
        <v>164</v>
      </c>
      <c r="B3" s="403"/>
      <c r="C3" s="286"/>
      <c r="D3" s="286"/>
      <c r="F3" s="273"/>
      <c r="G3" s="272"/>
      <c r="H3" s="272"/>
      <c r="I3" s="272"/>
      <c r="J3" s="272"/>
      <c r="K3" s="272"/>
    </row>
    <row r="4" spans="1:11">
      <c r="C4" s="287"/>
      <c r="D4" s="288" t="s">
        <v>87</v>
      </c>
      <c r="F4" s="275"/>
      <c r="G4" s="272"/>
      <c r="H4" s="272"/>
      <c r="I4" s="272"/>
      <c r="J4" s="272"/>
      <c r="K4" s="272"/>
    </row>
    <row r="5" spans="1:11">
      <c r="C5" s="287"/>
      <c r="D5" s="288"/>
      <c r="F5" s="275"/>
      <c r="G5" s="272"/>
      <c r="H5" s="272"/>
      <c r="I5" s="272"/>
      <c r="J5" s="272"/>
      <c r="K5" s="272"/>
    </row>
    <row r="6" spans="1:11" s="271" customFormat="1" ht="15" customHeight="1">
      <c r="A6" s="277" t="s">
        <v>154</v>
      </c>
      <c r="C6" s="289"/>
      <c r="D6" s="290" t="s">
        <v>58</v>
      </c>
      <c r="E6" s="274"/>
    </row>
    <row r="7" spans="1:11" s="271" customFormat="1" ht="15" customHeight="1">
      <c r="A7" s="280" t="s">
        <v>24</v>
      </c>
      <c r="B7" s="311" t="s">
        <v>59</v>
      </c>
      <c r="C7" s="312" t="s">
        <v>60</v>
      </c>
      <c r="D7" s="282" t="s">
        <v>25</v>
      </c>
      <c r="E7" s="274"/>
    </row>
    <row r="8" spans="1:11" s="271" customFormat="1" ht="15" customHeight="1">
      <c r="A8" s="281" t="s">
        <v>26</v>
      </c>
      <c r="B8" s="313" t="s">
        <v>27</v>
      </c>
      <c r="C8" s="314" t="s">
        <v>28</v>
      </c>
      <c r="D8" s="283" t="s">
        <v>29</v>
      </c>
      <c r="E8" s="274"/>
    </row>
    <row r="9" spans="1:11" s="271" customFormat="1" ht="15" customHeight="1">
      <c r="A9" s="281" t="s">
        <v>30</v>
      </c>
      <c r="B9" s="313" t="s">
        <v>31</v>
      </c>
      <c r="C9" s="314" t="s">
        <v>32</v>
      </c>
      <c r="D9" s="283" t="s">
        <v>33</v>
      </c>
      <c r="E9" s="274"/>
    </row>
    <row r="10" spans="1:11" s="271" customFormat="1" ht="15" customHeight="1">
      <c r="A10" s="281" t="s">
        <v>34</v>
      </c>
      <c r="B10" s="313" t="s">
        <v>35</v>
      </c>
      <c r="C10" s="314" t="s">
        <v>36</v>
      </c>
      <c r="D10" s="283" t="s">
        <v>37</v>
      </c>
      <c r="E10" s="274"/>
    </row>
    <row r="11" spans="1:11" s="271" customFormat="1" ht="15" customHeight="1">
      <c r="A11" s="281" t="s">
        <v>38</v>
      </c>
      <c r="B11" s="315" t="s">
        <v>169</v>
      </c>
      <c r="C11" s="318" t="str">
        <f>B11</f>
        <v>[2008 : 2019-05]</v>
      </c>
      <c r="D11" s="283" t="s">
        <v>39</v>
      </c>
      <c r="E11" s="274"/>
    </row>
    <row r="12" spans="1:11" s="271" customFormat="1" ht="15" customHeight="1">
      <c r="A12" s="281" t="s">
        <v>40</v>
      </c>
      <c r="B12" s="313" t="s">
        <v>41</v>
      </c>
      <c r="C12" s="314" t="s">
        <v>42</v>
      </c>
      <c r="D12" s="283" t="s">
        <v>43</v>
      </c>
      <c r="E12" s="274"/>
    </row>
    <row r="13" spans="1:11" s="271" customFormat="1" ht="15" customHeight="1">
      <c r="A13" s="281" t="s">
        <v>44</v>
      </c>
      <c r="B13" s="313" t="s">
        <v>45</v>
      </c>
      <c r="C13" s="314" t="s">
        <v>53</v>
      </c>
      <c r="D13" s="283" t="s">
        <v>46</v>
      </c>
      <c r="E13" s="274"/>
    </row>
    <row r="14" spans="1:11" s="271" customFormat="1">
      <c r="A14" s="281" t="s">
        <v>47</v>
      </c>
      <c r="B14" s="313" t="s">
        <v>54</v>
      </c>
      <c r="C14" s="314" t="s">
        <v>55</v>
      </c>
      <c r="D14" s="283" t="s">
        <v>48</v>
      </c>
      <c r="E14" s="274"/>
    </row>
    <row r="15" spans="1:11" s="271" customFormat="1" ht="15" customHeight="1">
      <c r="A15" s="281" t="s">
        <v>49</v>
      </c>
      <c r="B15" s="332" t="s">
        <v>170</v>
      </c>
      <c r="C15" s="362" t="s">
        <v>171</v>
      </c>
      <c r="D15" s="283" t="s">
        <v>50</v>
      </c>
      <c r="E15" s="274"/>
    </row>
    <row r="16" spans="1:11" s="271" customFormat="1" ht="15" customHeight="1">
      <c r="A16" s="278" t="s">
        <v>51</v>
      </c>
      <c r="B16" s="319"/>
      <c r="C16" s="320"/>
      <c r="D16" s="279" t="s">
        <v>52</v>
      </c>
      <c r="E16" s="274"/>
    </row>
    <row r="17" spans="1:44" s="271" customFormat="1" ht="61.5" customHeight="1">
      <c r="A17" s="417" t="s">
        <v>183</v>
      </c>
      <c r="B17" s="418"/>
      <c r="C17" s="414" t="s">
        <v>184</v>
      </c>
      <c r="D17" s="415"/>
      <c r="E17" s="274"/>
      <c r="F17" s="284"/>
    </row>
    <row r="18" spans="1:44" s="271" customFormat="1" ht="27.75" customHeight="1">
      <c r="A18" s="404" t="s">
        <v>145</v>
      </c>
      <c r="B18" s="405"/>
      <c r="C18" s="406" t="s">
        <v>146</v>
      </c>
      <c r="D18" s="407"/>
      <c r="E18" s="274"/>
      <c r="F18" s="284"/>
    </row>
    <row r="19" spans="1:44" s="271" customFormat="1" ht="27.75" customHeight="1">
      <c r="A19" s="404" t="s">
        <v>136</v>
      </c>
      <c r="B19" s="405"/>
      <c r="C19" s="406" t="s">
        <v>137</v>
      </c>
      <c r="D19" s="407"/>
      <c r="E19" s="274"/>
      <c r="F19" s="284"/>
    </row>
    <row r="20" spans="1:44" ht="68.25" customHeight="1">
      <c r="A20" s="404" t="s">
        <v>165</v>
      </c>
      <c r="B20" s="405"/>
      <c r="C20" s="408" t="s">
        <v>166</v>
      </c>
      <c r="D20" s="409"/>
      <c r="F20" s="272"/>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row>
    <row r="21" spans="1:44" s="271" customFormat="1" ht="12.75" customHeight="1">
      <c r="A21" s="420"/>
      <c r="B21" s="421"/>
      <c r="C21" s="426"/>
      <c r="D21" s="427"/>
      <c r="E21" s="274"/>
      <c r="F21" s="272"/>
    </row>
    <row r="22" spans="1:44" s="271" customFormat="1" ht="15" customHeight="1">
      <c r="A22" s="276"/>
      <c r="C22" s="289"/>
      <c r="D22" s="289"/>
      <c r="E22" s="274"/>
    </row>
    <row r="23" spans="1:44" s="271" customFormat="1" ht="15" customHeight="1">
      <c r="A23" s="276"/>
      <c r="C23" s="289"/>
      <c r="D23" s="289"/>
      <c r="E23" s="274"/>
    </row>
    <row r="24" spans="1:44" s="271" customFormat="1" ht="15" customHeight="1">
      <c r="A24" s="277" t="s">
        <v>153</v>
      </c>
      <c r="C24" s="289"/>
      <c r="D24" s="290" t="s">
        <v>61</v>
      </c>
      <c r="E24" s="274"/>
    </row>
    <row r="25" spans="1:44" s="271" customFormat="1" ht="15" customHeight="1">
      <c r="A25" s="280" t="s">
        <v>24</v>
      </c>
      <c r="B25" s="311" t="s">
        <v>62</v>
      </c>
      <c r="C25" s="312" t="s">
        <v>63</v>
      </c>
      <c r="D25" s="282" t="s">
        <v>25</v>
      </c>
      <c r="E25" s="274"/>
    </row>
    <row r="26" spans="1:44" s="271" customFormat="1" ht="15" customHeight="1">
      <c r="A26" s="281" t="s">
        <v>26</v>
      </c>
      <c r="B26" s="313" t="s">
        <v>27</v>
      </c>
      <c r="C26" s="314" t="s">
        <v>28</v>
      </c>
      <c r="D26" s="283" t="s">
        <v>29</v>
      </c>
      <c r="E26" s="274"/>
    </row>
    <row r="27" spans="1:44" s="271" customFormat="1" ht="15" customHeight="1">
      <c r="A27" s="281" t="s">
        <v>30</v>
      </c>
      <c r="B27" s="313" t="s">
        <v>31</v>
      </c>
      <c r="C27" s="314" t="s">
        <v>32</v>
      </c>
      <c r="D27" s="283" t="s">
        <v>33</v>
      </c>
      <c r="E27" s="274"/>
    </row>
    <row r="28" spans="1:44" s="271" customFormat="1" ht="15" customHeight="1">
      <c r="A28" s="281" t="s">
        <v>34</v>
      </c>
      <c r="B28" s="313" t="s">
        <v>35</v>
      </c>
      <c r="C28" s="314" t="s">
        <v>36</v>
      </c>
      <c r="D28" s="283" t="s">
        <v>37</v>
      </c>
      <c r="E28" s="274"/>
    </row>
    <row r="29" spans="1:44" s="271" customFormat="1" ht="15" customHeight="1">
      <c r="A29" s="281" t="s">
        <v>38</v>
      </c>
      <c r="B29" s="315" t="str">
        <f>"[2008 : "&amp;MID(B$11,9,11)</f>
        <v>[2008 : 2019-05]</v>
      </c>
      <c r="C29" s="318" t="str">
        <f>B29</f>
        <v>[2008 : 2019-05]</v>
      </c>
      <c r="D29" s="283" t="s">
        <v>39</v>
      </c>
      <c r="E29" s="274"/>
    </row>
    <row r="30" spans="1:44" s="271" customFormat="1" ht="15" customHeight="1">
      <c r="A30" s="281" t="s">
        <v>40</v>
      </c>
      <c r="B30" s="313" t="s">
        <v>41</v>
      </c>
      <c r="C30" s="314" t="s">
        <v>42</v>
      </c>
      <c r="D30" s="283" t="s">
        <v>43</v>
      </c>
      <c r="E30" s="274"/>
    </row>
    <row r="31" spans="1:44" s="271" customFormat="1" ht="15" customHeight="1">
      <c r="A31" s="281" t="s">
        <v>44</v>
      </c>
      <c r="B31" s="313" t="s">
        <v>45</v>
      </c>
      <c r="C31" s="314" t="s">
        <v>53</v>
      </c>
      <c r="D31" s="283" t="s">
        <v>46</v>
      </c>
      <c r="E31" s="274"/>
    </row>
    <row r="32" spans="1:44" s="271" customFormat="1" ht="31.5" customHeight="1">
      <c r="A32" s="281" t="s">
        <v>47</v>
      </c>
      <c r="B32" s="321" t="s">
        <v>172</v>
      </c>
      <c r="C32" s="322" t="str">
        <f>"May-19: - Nº of estimated entities: "&amp;MID(B32,38,2)</f>
        <v>May-19: - Nº of estimated entities: 7</v>
      </c>
      <c r="D32" s="283" t="s">
        <v>48</v>
      </c>
      <c r="E32" s="274"/>
      <c r="F32" s="284"/>
    </row>
    <row r="33" spans="1:9" s="271" customFormat="1" ht="15" customHeight="1">
      <c r="A33" s="281" t="s">
        <v>49</v>
      </c>
      <c r="B33" s="332" t="str">
        <f>+B15</f>
        <v>mai-18</v>
      </c>
      <c r="C33" s="330" t="str">
        <f>+C15</f>
        <v>may-18</v>
      </c>
      <c r="D33" s="283" t="s">
        <v>50</v>
      </c>
      <c r="E33" s="274"/>
    </row>
    <row r="34" spans="1:9" s="271" customFormat="1" ht="15" customHeight="1">
      <c r="A34" s="278" t="s">
        <v>51</v>
      </c>
      <c r="B34" s="319"/>
      <c r="C34" s="320"/>
      <c r="D34" s="279" t="s">
        <v>52</v>
      </c>
      <c r="E34" s="274"/>
    </row>
    <row r="35" spans="1:9" s="271" customFormat="1" ht="60.75" customHeight="1">
      <c r="A35" s="417" t="s">
        <v>183</v>
      </c>
      <c r="B35" s="418"/>
      <c r="C35" s="414" t="s">
        <v>184</v>
      </c>
      <c r="D35" s="415"/>
      <c r="E35" s="274"/>
      <c r="F35" s="284"/>
    </row>
    <row r="36" spans="1:9" s="271" customFormat="1" ht="45.75" customHeight="1">
      <c r="A36" s="410" t="s">
        <v>128</v>
      </c>
      <c r="B36" s="410"/>
      <c r="C36" s="411" t="s">
        <v>129</v>
      </c>
      <c r="D36" s="411"/>
      <c r="E36" s="274"/>
      <c r="F36" s="284"/>
      <c r="H36" s="334"/>
      <c r="I36" s="334"/>
    </row>
    <row r="37" spans="1:9" s="271" customFormat="1" ht="30" customHeight="1">
      <c r="A37" s="404" t="s">
        <v>145</v>
      </c>
      <c r="B37" s="405"/>
      <c r="C37" s="406" t="s">
        <v>146</v>
      </c>
      <c r="D37" s="407"/>
      <c r="E37" s="274"/>
      <c r="F37" s="284"/>
    </row>
    <row r="38" spans="1:9" s="271" customFormat="1" ht="33" customHeight="1">
      <c r="A38" s="404" t="s">
        <v>136</v>
      </c>
      <c r="B38" s="405"/>
      <c r="C38" s="406" t="s">
        <v>138</v>
      </c>
      <c r="D38" s="407"/>
      <c r="E38" s="274"/>
      <c r="F38" s="284"/>
    </row>
    <row r="39" spans="1:9" s="271" customFormat="1" ht="24" customHeight="1">
      <c r="A39" s="410" t="s">
        <v>89</v>
      </c>
      <c r="B39" s="410"/>
      <c r="C39" s="411" t="s">
        <v>90</v>
      </c>
      <c r="D39" s="411"/>
      <c r="E39" s="274"/>
      <c r="F39" s="272"/>
    </row>
    <row r="40" spans="1:9" s="271" customFormat="1" ht="66" customHeight="1">
      <c r="A40" s="404" t="s">
        <v>147</v>
      </c>
      <c r="B40" s="405"/>
      <c r="C40" s="406" t="s">
        <v>148</v>
      </c>
      <c r="D40" s="407"/>
      <c r="E40" s="274"/>
      <c r="F40" s="272"/>
    </row>
    <row r="41" spans="1:9" s="276" customFormat="1" ht="27" customHeight="1">
      <c r="A41" s="412" t="s">
        <v>96</v>
      </c>
      <c r="B41" s="412"/>
      <c r="C41" s="416" t="s">
        <v>88</v>
      </c>
      <c r="D41" s="416"/>
      <c r="E41" s="292"/>
      <c r="F41" s="277"/>
    </row>
    <row r="42" spans="1:9" s="271" customFormat="1" ht="24" customHeight="1">
      <c r="A42" s="412">
        <v>2019</v>
      </c>
      <c r="B42" s="412"/>
      <c r="C42" s="416">
        <f>A42</f>
        <v>2019</v>
      </c>
      <c r="D42" s="416"/>
      <c r="E42" s="274"/>
      <c r="F42" s="272"/>
    </row>
    <row r="43" spans="1:9" s="271" customFormat="1" ht="76.5" customHeight="1">
      <c r="A43" s="404" t="s">
        <v>185</v>
      </c>
      <c r="B43" s="405"/>
      <c r="C43" s="411" t="str">
        <f>A43</f>
        <v>Banif, S.A.; Centro Hospitalar de Leiria, EPE; Fundação Carlos Lloyd Braga; Fundo Compensação Universal Comunicações Eletrónicas; Porto Vivo, S.R.U. - Sociedade de Reabilitação Urbana; Sanjimo - Sociedade Imobiliária, S.A.; Sociedade Portuguesa de Empreendimentos, S.P.E., S.A..</v>
      </c>
      <c r="D43" s="411"/>
      <c r="E43" s="293"/>
      <c r="F43" s="272"/>
    </row>
    <row r="44" spans="1:9" s="271" customFormat="1" ht="15" customHeight="1">
      <c r="A44" s="424"/>
      <c r="B44" s="424"/>
      <c r="C44" s="425"/>
      <c r="D44" s="425"/>
      <c r="E44" s="293"/>
      <c r="F44" s="272"/>
    </row>
    <row r="45" spans="1:9" s="271" customFormat="1" ht="15" customHeight="1">
      <c r="A45" s="276"/>
      <c r="C45" s="289"/>
      <c r="D45" s="289"/>
      <c r="E45" s="274"/>
    </row>
    <row r="46" spans="1:9" s="271" customFormat="1" ht="15" customHeight="1">
      <c r="A46" s="276"/>
      <c r="C46" s="289"/>
      <c r="D46" s="289"/>
      <c r="E46" s="274"/>
    </row>
    <row r="47" spans="1:9" s="271" customFormat="1" ht="15" customHeight="1">
      <c r="A47" s="277" t="s">
        <v>155</v>
      </c>
      <c r="C47" s="289"/>
      <c r="D47" s="290" t="s">
        <v>64</v>
      </c>
      <c r="E47" s="274"/>
    </row>
    <row r="48" spans="1:9" s="271" customFormat="1" ht="15" customHeight="1">
      <c r="A48" s="280" t="s">
        <v>24</v>
      </c>
      <c r="B48" s="311" t="s">
        <v>92</v>
      </c>
      <c r="C48" s="312" t="s">
        <v>93</v>
      </c>
      <c r="D48" s="282" t="s">
        <v>25</v>
      </c>
      <c r="E48" s="274"/>
    </row>
    <row r="49" spans="1:9" s="271" customFormat="1" ht="15" customHeight="1">
      <c r="A49" s="281" t="s">
        <v>26</v>
      </c>
      <c r="B49" s="313" t="s">
        <v>27</v>
      </c>
      <c r="C49" s="314" t="s">
        <v>28</v>
      </c>
      <c r="D49" s="283" t="s">
        <v>29</v>
      </c>
      <c r="E49" s="274"/>
    </row>
    <row r="50" spans="1:9" s="271" customFormat="1" ht="15" customHeight="1">
      <c r="A50" s="281" t="s">
        <v>30</v>
      </c>
      <c r="B50" s="313" t="s">
        <v>31</v>
      </c>
      <c r="C50" s="314" t="s">
        <v>32</v>
      </c>
      <c r="D50" s="283" t="s">
        <v>33</v>
      </c>
      <c r="E50" s="274"/>
    </row>
    <row r="51" spans="1:9" s="271" customFormat="1" ht="15" customHeight="1">
      <c r="A51" s="281" t="s">
        <v>34</v>
      </c>
      <c r="B51" s="313" t="s">
        <v>35</v>
      </c>
      <c r="C51" s="314" t="s">
        <v>36</v>
      </c>
      <c r="D51" s="283" t="s">
        <v>37</v>
      </c>
      <c r="E51" s="274"/>
    </row>
    <row r="52" spans="1:9" s="271" customFormat="1" ht="15" customHeight="1">
      <c r="A52" s="281" t="s">
        <v>38</v>
      </c>
      <c r="B52" s="315" t="str">
        <f>"[2012 : "&amp;MID(B$11,9,11)</f>
        <v>[2012 : 2019-05]</v>
      </c>
      <c r="C52" s="318" t="str">
        <f>B52</f>
        <v>[2012 : 2019-05]</v>
      </c>
      <c r="D52" s="283" t="s">
        <v>39</v>
      </c>
      <c r="E52" s="274"/>
    </row>
    <row r="53" spans="1:9" s="271" customFormat="1" ht="15" customHeight="1">
      <c r="A53" s="281" t="s">
        <v>40</v>
      </c>
      <c r="B53" s="313" t="s">
        <v>41</v>
      </c>
      <c r="C53" s="314" t="s">
        <v>42</v>
      </c>
      <c r="D53" s="283" t="s">
        <v>43</v>
      </c>
      <c r="E53" s="274"/>
    </row>
    <row r="54" spans="1:9" s="271" customFormat="1" ht="15" customHeight="1">
      <c r="A54" s="281" t="s">
        <v>44</v>
      </c>
      <c r="B54" s="313" t="s">
        <v>45</v>
      </c>
      <c r="C54" s="314" t="s">
        <v>53</v>
      </c>
      <c r="D54" s="283" t="s">
        <v>46</v>
      </c>
      <c r="E54" s="274"/>
    </row>
    <row r="55" spans="1:9" s="271" customFormat="1" ht="27.75" customHeight="1">
      <c r="A55" s="281" t="s">
        <v>47</v>
      </c>
      <c r="B55" s="321" t="s">
        <v>173</v>
      </c>
      <c r="C55" s="322" t="str">
        <f>"May-19: - Nº of estimated entities: "&amp;MID(B55,38,2)</f>
        <v>May-19: - Nº of estimated entities: 6</v>
      </c>
      <c r="D55" s="283" t="s">
        <v>48</v>
      </c>
      <c r="E55" s="274"/>
    </row>
    <row r="56" spans="1:9" s="271" customFormat="1" ht="15" customHeight="1">
      <c r="A56" s="281" t="s">
        <v>49</v>
      </c>
      <c r="B56" s="332" t="str">
        <f>+B15</f>
        <v>mai-18</v>
      </c>
      <c r="C56" s="330" t="str">
        <f>+C15</f>
        <v>may-18</v>
      </c>
      <c r="D56" s="283" t="s">
        <v>50</v>
      </c>
      <c r="E56" s="274"/>
    </row>
    <row r="57" spans="1:9" s="271" customFormat="1" ht="15" customHeight="1">
      <c r="A57" s="278" t="s">
        <v>51</v>
      </c>
      <c r="B57" s="319"/>
      <c r="C57" s="320"/>
      <c r="D57" s="279" t="s">
        <v>52</v>
      </c>
      <c r="E57" s="274"/>
    </row>
    <row r="58" spans="1:9" s="271" customFormat="1" ht="60.75" customHeight="1">
      <c r="A58" s="417" t="s">
        <v>183</v>
      </c>
      <c r="B58" s="418"/>
      <c r="C58" s="414" t="s">
        <v>184</v>
      </c>
      <c r="D58" s="415"/>
      <c r="E58" s="274"/>
      <c r="F58" s="284"/>
    </row>
    <row r="59" spans="1:9" s="271" customFormat="1" ht="40.5" customHeight="1">
      <c r="A59" s="410" t="s">
        <v>128</v>
      </c>
      <c r="B59" s="410"/>
      <c r="C59" s="411" t="s">
        <v>129</v>
      </c>
      <c r="D59" s="411"/>
      <c r="E59" s="274"/>
      <c r="F59" s="284"/>
      <c r="H59" s="334"/>
      <c r="I59" s="334"/>
    </row>
    <row r="60" spans="1:9" s="271" customFormat="1" ht="32.25" customHeight="1">
      <c r="A60" s="410" t="s">
        <v>109</v>
      </c>
      <c r="B60" s="410"/>
      <c r="C60" s="411" t="s">
        <v>110</v>
      </c>
      <c r="D60" s="411"/>
      <c r="E60" s="274"/>
    </row>
    <row r="61" spans="1:9" s="271" customFormat="1" ht="24.95" customHeight="1">
      <c r="A61" s="404" t="s">
        <v>145</v>
      </c>
      <c r="B61" s="405"/>
      <c r="C61" s="406" t="s">
        <v>146</v>
      </c>
      <c r="D61" s="407"/>
      <c r="E61" s="274"/>
      <c r="F61" s="284"/>
    </row>
    <row r="62" spans="1:9" s="271" customFormat="1" ht="27" customHeight="1">
      <c r="A62" s="404" t="s">
        <v>139</v>
      </c>
      <c r="B62" s="405"/>
      <c r="C62" s="406" t="s">
        <v>140</v>
      </c>
      <c r="D62" s="407"/>
      <c r="E62" s="274"/>
      <c r="F62" s="284"/>
    </row>
    <row r="63" spans="1:9" s="271" customFormat="1" ht="59.25" customHeight="1">
      <c r="A63" s="404" t="s">
        <v>149</v>
      </c>
      <c r="B63" s="405"/>
      <c r="C63" s="406" t="s">
        <v>150</v>
      </c>
      <c r="D63" s="407"/>
      <c r="E63" s="274"/>
      <c r="F63" s="272"/>
    </row>
    <row r="64" spans="1:9" s="276" customFormat="1" ht="27" customHeight="1">
      <c r="A64" s="412" t="s">
        <v>96</v>
      </c>
      <c r="B64" s="412"/>
      <c r="C64" s="416" t="s">
        <v>88</v>
      </c>
      <c r="D64" s="416"/>
      <c r="E64" s="292"/>
      <c r="F64" s="277"/>
    </row>
    <row r="65" spans="1:11" s="271" customFormat="1" ht="19.5" customHeight="1">
      <c r="A65" s="412">
        <f>+A42</f>
        <v>2019</v>
      </c>
      <c r="B65" s="412"/>
      <c r="C65" s="416">
        <f>A65</f>
        <v>2019</v>
      </c>
      <c r="D65" s="416"/>
      <c r="E65" s="274"/>
      <c r="F65" s="272"/>
    </row>
    <row r="66" spans="1:11" s="271" customFormat="1" ht="42.75" customHeight="1">
      <c r="A66" s="410" t="s">
        <v>186</v>
      </c>
      <c r="B66" s="410"/>
      <c r="C66" s="411" t="str">
        <f>A66</f>
        <v>Banif, S.A.; Centro Hospitalar de Leiria, EPE; Fundação Carlos Lloyd Braga; Porto Vivo, S.R.U. - Sociedade de Reabilitação Urbana; Sanjimo - Sociedade Imobiliária, S.A.; Sociedade Portuguesa de Empreendimentos, S.P.E., S.A..</v>
      </c>
      <c r="D66" s="411"/>
      <c r="E66" s="293"/>
      <c r="F66" s="272"/>
    </row>
    <row r="67" spans="1:11" s="271" customFormat="1" ht="14.25" customHeight="1">
      <c r="A67" s="424"/>
      <c r="B67" s="424"/>
      <c r="C67" s="425"/>
      <c r="D67" s="425"/>
      <c r="E67" s="293"/>
      <c r="F67" s="272"/>
    </row>
    <row r="68" spans="1:11" s="271" customFormat="1" ht="15" customHeight="1">
      <c r="A68" s="276"/>
      <c r="C68" s="289"/>
      <c r="D68" s="289"/>
      <c r="E68" s="274"/>
    </row>
    <row r="69" spans="1:11" s="271" customFormat="1" ht="15" customHeight="1">
      <c r="A69" s="276"/>
      <c r="C69" s="289"/>
      <c r="D69" s="289"/>
      <c r="E69" s="274"/>
    </row>
    <row r="70" spans="1:11" ht="15" customHeight="1">
      <c r="A70" s="277" t="s">
        <v>156</v>
      </c>
      <c r="D70" s="290" t="s">
        <v>65</v>
      </c>
      <c r="F70" s="272"/>
      <c r="G70" s="272"/>
      <c r="H70" s="272"/>
      <c r="I70" s="272"/>
      <c r="J70" s="272"/>
      <c r="K70" s="272"/>
    </row>
    <row r="71" spans="1:11" ht="15" customHeight="1">
      <c r="A71" s="280" t="s">
        <v>24</v>
      </c>
      <c r="B71" s="311" t="s">
        <v>66</v>
      </c>
      <c r="C71" s="312" t="s">
        <v>67</v>
      </c>
      <c r="D71" s="282" t="s">
        <v>25</v>
      </c>
      <c r="F71" s="272"/>
      <c r="G71" s="272"/>
      <c r="H71" s="272"/>
      <c r="I71" s="272"/>
      <c r="J71" s="272"/>
      <c r="K71" s="272"/>
    </row>
    <row r="72" spans="1:11" ht="15" customHeight="1">
      <c r="A72" s="281" t="s">
        <v>26</v>
      </c>
      <c r="B72" s="313" t="s">
        <v>27</v>
      </c>
      <c r="C72" s="314" t="s">
        <v>28</v>
      </c>
      <c r="D72" s="283" t="s">
        <v>29</v>
      </c>
      <c r="F72" s="272"/>
      <c r="G72" s="272"/>
      <c r="H72" s="272"/>
      <c r="I72" s="272"/>
      <c r="J72" s="272"/>
      <c r="K72" s="272"/>
    </row>
    <row r="73" spans="1:11" ht="15" customHeight="1">
      <c r="A73" s="281" t="s">
        <v>30</v>
      </c>
      <c r="B73" s="313" t="s">
        <v>31</v>
      </c>
      <c r="C73" s="314" t="s">
        <v>32</v>
      </c>
      <c r="D73" s="283" t="s">
        <v>33</v>
      </c>
      <c r="F73" s="272"/>
      <c r="G73" s="272"/>
      <c r="H73" s="272"/>
      <c r="I73" s="272"/>
      <c r="J73" s="272"/>
      <c r="K73" s="272"/>
    </row>
    <row r="74" spans="1:11" ht="15" customHeight="1">
      <c r="A74" s="281" t="s">
        <v>34</v>
      </c>
      <c r="B74" s="313" t="s">
        <v>35</v>
      </c>
      <c r="C74" s="314" t="s">
        <v>36</v>
      </c>
      <c r="D74" s="283" t="s">
        <v>37</v>
      </c>
      <c r="F74" s="272"/>
      <c r="G74" s="272"/>
      <c r="H74" s="272"/>
      <c r="I74" s="272"/>
      <c r="J74" s="272"/>
      <c r="K74" s="272"/>
    </row>
    <row r="75" spans="1:11" ht="15" customHeight="1">
      <c r="A75" s="281" t="s">
        <v>38</v>
      </c>
      <c r="B75" s="315" t="str">
        <f>"[2008 : "&amp;MID(B$11,9,11)</f>
        <v>[2008 : 2019-05]</v>
      </c>
      <c r="C75" s="318" t="str">
        <f>B75</f>
        <v>[2008 : 2019-05]</v>
      </c>
      <c r="D75" s="283" t="s">
        <v>39</v>
      </c>
      <c r="F75" s="272"/>
      <c r="G75" s="272"/>
      <c r="H75" s="272"/>
      <c r="I75" s="272"/>
      <c r="J75" s="272"/>
      <c r="K75" s="272"/>
    </row>
    <row r="76" spans="1:11" ht="15" customHeight="1">
      <c r="A76" s="281" t="s">
        <v>40</v>
      </c>
      <c r="B76" s="313" t="s">
        <v>41</v>
      </c>
      <c r="C76" s="314" t="s">
        <v>42</v>
      </c>
      <c r="D76" s="283" t="s">
        <v>43</v>
      </c>
      <c r="F76" s="272"/>
      <c r="G76" s="272"/>
      <c r="H76" s="272"/>
      <c r="I76" s="272"/>
      <c r="J76" s="272"/>
      <c r="K76" s="272"/>
    </row>
    <row r="77" spans="1:11" ht="15" customHeight="1">
      <c r="A77" s="281" t="s">
        <v>44</v>
      </c>
      <c r="B77" s="313" t="s">
        <v>45</v>
      </c>
      <c r="C77" s="314" t="s">
        <v>53</v>
      </c>
      <c r="D77" s="283" t="s">
        <v>46</v>
      </c>
      <c r="F77" s="272"/>
      <c r="G77" s="272"/>
      <c r="H77" s="272"/>
      <c r="I77" s="272"/>
      <c r="J77" s="272"/>
      <c r="K77" s="272"/>
    </row>
    <row r="78" spans="1:11" ht="15" customHeight="1">
      <c r="A78" s="281" t="s">
        <v>47</v>
      </c>
      <c r="B78" s="313" t="s">
        <v>54</v>
      </c>
      <c r="C78" s="314" t="s">
        <v>55</v>
      </c>
      <c r="D78" s="283" t="s">
        <v>48</v>
      </c>
      <c r="F78" s="272"/>
      <c r="G78" s="272"/>
      <c r="H78" s="272"/>
      <c r="I78" s="272"/>
      <c r="J78" s="272"/>
      <c r="K78" s="272"/>
    </row>
    <row r="79" spans="1:11" ht="15" customHeight="1">
      <c r="A79" s="281" t="s">
        <v>49</v>
      </c>
      <c r="B79" s="332" t="str">
        <f>+B15</f>
        <v>mai-18</v>
      </c>
      <c r="C79" s="330" t="str">
        <f>+C15</f>
        <v>may-18</v>
      </c>
      <c r="D79" s="283" t="s">
        <v>50</v>
      </c>
      <c r="F79" s="272"/>
      <c r="G79" s="272"/>
      <c r="H79" s="272"/>
      <c r="I79" s="272"/>
      <c r="J79" s="272"/>
      <c r="K79" s="272"/>
    </row>
    <row r="80" spans="1:11" ht="15" customHeight="1">
      <c r="A80" s="278" t="s">
        <v>51</v>
      </c>
      <c r="B80" s="319"/>
      <c r="C80" s="320"/>
      <c r="D80" s="279" t="s">
        <v>52</v>
      </c>
      <c r="F80" s="272"/>
      <c r="G80" s="272"/>
      <c r="H80" s="272"/>
      <c r="I80" s="272"/>
      <c r="J80" s="272"/>
      <c r="K80" s="272"/>
    </row>
    <row r="81" spans="1:44" ht="47.25" customHeight="1">
      <c r="A81" s="417" t="s">
        <v>143</v>
      </c>
      <c r="B81" s="418"/>
      <c r="C81" s="414" t="s">
        <v>144</v>
      </c>
      <c r="D81" s="415"/>
      <c r="F81" s="284"/>
      <c r="G81" s="272"/>
      <c r="H81" s="272"/>
      <c r="I81" s="272"/>
      <c r="J81" s="272"/>
      <c r="K81" s="272"/>
    </row>
    <row r="82" spans="1:44" s="271" customFormat="1" ht="27" customHeight="1">
      <c r="A82" s="404" t="s">
        <v>142</v>
      </c>
      <c r="B82" s="405"/>
      <c r="C82" s="406" t="s">
        <v>141</v>
      </c>
      <c r="D82" s="407"/>
      <c r="E82" s="274"/>
      <c r="F82" s="284"/>
    </row>
    <row r="83" spans="1:44" ht="9.75" customHeight="1">
      <c r="A83" s="420"/>
      <c r="B83" s="421"/>
      <c r="C83" s="426"/>
      <c r="D83" s="427"/>
      <c r="F83" s="272"/>
      <c r="G83" s="272"/>
      <c r="H83" s="272"/>
      <c r="I83" s="272"/>
      <c r="J83" s="272"/>
      <c r="K83" s="272"/>
    </row>
    <row r="84" spans="1:44" s="271" customFormat="1" ht="15" customHeight="1">
      <c r="A84" s="276"/>
      <c r="C84" s="289"/>
      <c r="D84" s="289"/>
      <c r="E84" s="274"/>
    </row>
    <row r="85" spans="1:44" s="271" customFormat="1" ht="15" customHeight="1">
      <c r="A85" s="276"/>
      <c r="C85" s="289"/>
      <c r="D85" s="289"/>
      <c r="E85" s="274"/>
    </row>
    <row r="86" spans="1:44">
      <c r="A86" s="277" t="s">
        <v>157</v>
      </c>
      <c r="D86" s="290" t="s">
        <v>68</v>
      </c>
      <c r="F86" s="272"/>
      <c r="G86" s="272"/>
      <c r="H86" s="272"/>
      <c r="I86" s="272"/>
      <c r="J86" s="272"/>
      <c r="K86" s="272"/>
    </row>
    <row r="87" spans="1:44" ht="15" customHeight="1">
      <c r="A87" s="280" t="s">
        <v>24</v>
      </c>
      <c r="B87" s="311" t="s">
        <v>69</v>
      </c>
      <c r="C87" s="312" t="s">
        <v>70</v>
      </c>
      <c r="D87" s="282" t="s">
        <v>25</v>
      </c>
      <c r="F87" s="272"/>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row>
    <row r="88" spans="1:44" ht="15" customHeight="1">
      <c r="A88" s="281" t="s">
        <v>26</v>
      </c>
      <c r="B88" s="313" t="s">
        <v>27</v>
      </c>
      <c r="C88" s="314" t="s">
        <v>28</v>
      </c>
      <c r="D88" s="283" t="s">
        <v>29</v>
      </c>
      <c r="F88" s="272"/>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row>
    <row r="89" spans="1:44" ht="15" customHeight="1">
      <c r="A89" s="281" t="s">
        <v>30</v>
      </c>
      <c r="B89" s="313" t="s">
        <v>31</v>
      </c>
      <c r="C89" s="314" t="s">
        <v>32</v>
      </c>
      <c r="D89" s="283" t="s">
        <v>33</v>
      </c>
      <c r="F89" s="272"/>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row>
    <row r="90" spans="1:44" ht="15" customHeight="1">
      <c r="A90" s="281" t="s">
        <v>34</v>
      </c>
      <c r="B90" s="313" t="s">
        <v>35</v>
      </c>
      <c r="C90" s="314" t="s">
        <v>36</v>
      </c>
      <c r="D90" s="283" t="s">
        <v>37</v>
      </c>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row>
    <row r="91" spans="1:44" ht="15" customHeight="1">
      <c r="A91" s="281" t="s">
        <v>38</v>
      </c>
      <c r="B91" s="315" t="s">
        <v>169</v>
      </c>
      <c r="C91" s="316" t="s">
        <v>169</v>
      </c>
      <c r="D91" s="283" t="s">
        <v>39</v>
      </c>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row>
    <row r="92" spans="1:44" ht="15" customHeight="1">
      <c r="A92" s="281" t="s">
        <v>40</v>
      </c>
      <c r="B92" s="313" t="s">
        <v>41</v>
      </c>
      <c r="C92" s="314" t="s">
        <v>42</v>
      </c>
      <c r="D92" s="283" t="s">
        <v>43</v>
      </c>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row>
    <row r="93" spans="1:44" ht="15" customHeight="1">
      <c r="A93" s="281" t="s">
        <v>44</v>
      </c>
      <c r="B93" s="313" t="s">
        <v>56</v>
      </c>
      <c r="C93" s="314" t="s">
        <v>57</v>
      </c>
      <c r="D93" s="283" t="s">
        <v>46</v>
      </c>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row>
    <row r="94" spans="1:44" ht="22.5">
      <c r="A94" s="281" t="s">
        <v>47</v>
      </c>
      <c r="B94" s="321" t="s">
        <v>176</v>
      </c>
      <c r="C94" s="322" t="s">
        <v>177</v>
      </c>
      <c r="D94" s="283" t="s">
        <v>48</v>
      </c>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row>
    <row r="95" spans="1:44">
      <c r="A95" s="281" t="s">
        <v>49</v>
      </c>
      <c r="B95" s="332" t="s">
        <v>170</v>
      </c>
      <c r="C95" s="330" t="s">
        <v>171</v>
      </c>
      <c r="D95" s="283" t="s">
        <v>50</v>
      </c>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row>
    <row r="96" spans="1:44" ht="51.75" customHeight="1">
      <c r="A96" s="278" t="s">
        <v>51</v>
      </c>
      <c r="B96" s="335" t="s">
        <v>111</v>
      </c>
      <c r="C96" s="335" t="s">
        <v>112</v>
      </c>
      <c r="D96" s="279" t="s">
        <v>52</v>
      </c>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row>
    <row r="97" spans="1:44" ht="20.100000000000001" customHeight="1">
      <c r="A97" s="422" t="s">
        <v>126</v>
      </c>
      <c r="B97" s="423"/>
      <c r="C97" s="422" t="s">
        <v>126</v>
      </c>
      <c r="D97" s="423"/>
      <c r="F97" s="284"/>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row>
    <row r="98" spans="1:44">
      <c r="A98" s="406" t="s">
        <v>178</v>
      </c>
      <c r="B98" s="407"/>
      <c r="C98" s="406" t="s">
        <v>179</v>
      </c>
      <c r="D98" s="407"/>
      <c r="F98" s="284"/>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row>
    <row r="99" spans="1:44">
      <c r="A99" s="406"/>
      <c r="B99" s="407"/>
      <c r="C99" s="406"/>
      <c r="D99" s="407"/>
      <c r="F99" s="284"/>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row>
    <row r="100" spans="1:44" ht="20.100000000000001" customHeight="1">
      <c r="A100" s="422">
        <v>2019</v>
      </c>
      <c r="B100" s="423"/>
      <c r="C100" s="422" t="s">
        <v>127</v>
      </c>
      <c r="D100" s="423"/>
      <c r="F100" s="284"/>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row>
    <row r="101" spans="1:44">
      <c r="A101" s="406" t="s">
        <v>180</v>
      </c>
      <c r="B101" s="407"/>
      <c r="C101" s="406" t="s">
        <v>182</v>
      </c>
      <c r="D101" s="407"/>
      <c r="F101" s="284"/>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row>
    <row r="102" spans="1:44" ht="40.5" customHeight="1">
      <c r="A102" s="404" t="s">
        <v>181</v>
      </c>
      <c r="B102" s="405"/>
      <c r="C102" s="404" t="s">
        <v>181</v>
      </c>
      <c r="D102" s="405"/>
      <c r="F102" s="284"/>
      <c r="G102"/>
      <c r="H102" s="328"/>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row>
    <row r="103" spans="1:44" ht="23.25" customHeight="1">
      <c r="A103" s="426" t="s">
        <v>142</v>
      </c>
      <c r="B103" s="427"/>
      <c r="C103" s="426" t="s">
        <v>141</v>
      </c>
      <c r="D103" s="427"/>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row>
    <row r="104" spans="1:44" s="271" customFormat="1" ht="15" customHeight="1">
      <c r="A104" s="276"/>
      <c r="C104" s="289"/>
      <c r="D104" s="289"/>
      <c r="E104" s="27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row>
    <row r="105" spans="1:44" s="271" customFormat="1" ht="15" customHeight="1">
      <c r="A105" s="276"/>
      <c r="C105" s="289"/>
      <c r="D105" s="289"/>
      <c r="E105" s="274"/>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row>
    <row r="106" spans="1:44">
      <c r="A106" s="277" t="s">
        <v>158</v>
      </c>
      <c r="D106" s="290" t="s">
        <v>71</v>
      </c>
      <c r="F106" s="272"/>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row>
    <row r="107" spans="1:44" ht="15" customHeight="1">
      <c r="A107" s="280" t="s">
        <v>24</v>
      </c>
      <c r="B107" s="311" t="s">
        <v>72</v>
      </c>
      <c r="C107" s="312" t="s">
        <v>73</v>
      </c>
      <c r="D107" s="282" t="s">
        <v>25</v>
      </c>
      <c r="F107" s="272"/>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row>
    <row r="108" spans="1:44" ht="15" customHeight="1">
      <c r="A108" s="281" t="s">
        <v>26</v>
      </c>
      <c r="B108" s="313" t="s">
        <v>27</v>
      </c>
      <c r="C108" s="314" t="s">
        <v>28</v>
      </c>
      <c r="D108" s="283" t="s">
        <v>29</v>
      </c>
      <c r="F108" s="272"/>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row>
    <row r="109" spans="1:44" ht="15" customHeight="1">
      <c r="A109" s="281" t="s">
        <v>30</v>
      </c>
      <c r="B109" s="313" t="s">
        <v>31</v>
      </c>
      <c r="C109" s="314" t="s">
        <v>32</v>
      </c>
      <c r="D109" s="283" t="s">
        <v>33</v>
      </c>
      <c r="F109" s="272"/>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row>
    <row r="110" spans="1:44" ht="15" customHeight="1">
      <c r="A110" s="281" t="s">
        <v>34</v>
      </c>
      <c r="B110" s="313" t="s">
        <v>35</v>
      </c>
      <c r="C110" s="314" t="s">
        <v>36</v>
      </c>
      <c r="D110" s="283" t="s">
        <v>37</v>
      </c>
      <c r="F110" s="272"/>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row>
    <row r="111" spans="1:44" ht="15" customHeight="1">
      <c r="A111" s="281" t="s">
        <v>38</v>
      </c>
      <c r="B111" s="315" t="s">
        <v>169</v>
      </c>
      <c r="C111" s="316" t="s">
        <v>169</v>
      </c>
      <c r="D111" s="283" t="s">
        <v>39</v>
      </c>
      <c r="F111" s="272"/>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row>
    <row r="112" spans="1:44" ht="15" customHeight="1">
      <c r="A112" s="281" t="s">
        <v>40</v>
      </c>
      <c r="B112" s="313" t="s">
        <v>41</v>
      </c>
      <c r="C112" s="314" t="s">
        <v>42</v>
      </c>
      <c r="D112" s="283" t="s">
        <v>43</v>
      </c>
      <c r="F112" s="27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row>
    <row r="113" spans="1:44" ht="15" customHeight="1">
      <c r="A113" s="281" t="s">
        <v>44</v>
      </c>
      <c r="B113" s="313" t="s">
        <v>45</v>
      </c>
      <c r="C113" s="314" t="s">
        <v>53</v>
      </c>
      <c r="D113" s="283" t="s">
        <v>46</v>
      </c>
      <c r="F113" s="272"/>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row>
    <row r="114" spans="1:44" ht="15" customHeight="1">
      <c r="A114" s="281" t="s">
        <v>47</v>
      </c>
      <c r="B114" s="313" t="s">
        <v>54</v>
      </c>
      <c r="C114" s="314" t="s">
        <v>55</v>
      </c>
      <c r="D114" s="283" t="s">
        <v>48</v>
      </c>
      <c r="F114" s="272"/>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row>
    <row r="115" spans="1:44" ht="15" customHeight="1">
      <c r="A115" s="281" t="s">
        <v>49</v>
      </c>
      <c r="B115" s="363" t="s">
        <v>170</v>
      </c>
      <c r="C115" s="364" t="s">
        <v>171</v>
      </c>
      <c r="D115" s="283" t="s">
        <v>50</v>
      </c>
      <c r="F115" s="272"/>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row>
    <row r="116" spans="1:44" ht="15" customHeight="1">
      <c r="A116" s="278" t="s">
        <v>51</v>
      </c>
      <c r="B116" s="319"/>
      <c r="C116" s="320"/>
      <c r="D116" s="279" t="s">
        <v>52</v>
      </c>
      <c r="F116" s="272"/>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row>
    <row r="117" spans="1:44" ht="12.75" customHeight="1">
      <c r="A117" s="419" t="s">
        <v>142</v>
      </c>
      <c r="B117" s="419"/>
      <c r="C117" s="419" t="s">
        <v>141</v>
      </c>
      <c r="D117" s="419"/>
      <c r="F117" s="272"/>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row>
    <row r="118" spans="1:44">
      <c r="A118" s="410"/>
      <c r="B118" s="410"/>
      <c r="C118" s="410"/>
      <c r="D118" s="410"/>
      <c r="F118" s="272"/>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row>
    <row r="119" spans="1:44">
      <c r="A119" s="424"/>
      <c r="B119" s="424"/>
      <c r="C119" s="424"/>
      <c r="D119" s="424"/>
      <c r="F119" s="272"/>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row>
    <row r="124" spans="1:44">
      <c r="A124" s="277" t="s">
        <v>159</v>
      </c>
      <c r="D124" s="290" t="s">
        <v>75</v>
      </c>
      <c r="F124" s="272"/>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row>
    <row r="125" spans="1:44" ht="15" customHeight="1">
      <c r="A125" s="280" t="s">
        <v>24</v>
      </c>
      <c r="B125" s="311" t="s">
        <v>59</v>
      </c>
      <c r="C125" s="312" t="s">
        <v>60</v>
      </c>
      <c r="D125" s="282" t="s">
        <v>25</v>
      </c>
      <c r="F125" s="272"/>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row>
    <row r="126" spans="1:44" ht="22.5">
      <c r="A126" s="281" t="s">
        <v>26</v>
      </c>
      <c r="B126" s="321" t="s">
        <v>134</v>
      </c>
      <c r="C126" s="322" t="s">
        <v>135</v>
      </c>
      <c r="D126" s="283" t="s">
        <v>29</v>
      </c>
      <c r="F126" s="272"/>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row>
    <row r="127" spans="1:44" ht="15" customHeight="1">
      <c r="A127" s="281" t="s">
        <v>30</v>
      </c>
      <c r="B127" s="313" t="s">
        <v>31</v>
      </c>
      <c r="C127" s="314" t="s">
        <v>32</v>
      </c>
      <c r="D127" s="283" t="s">
        <v>33</v>
      </c>
      <c r="F127" s="272"/>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row>
    <row r="128" spans="1:44" ht="15" customHeight="1">
      <c r="A128" s="281" t="s">
        <v>34</v>
      </c>
      <c r="B128" s="313" t="s">
        <v>35</v>
      </c>
      <c r="C128" s="314" t="s">
        <v>36</v>
      </c>
      <c r="D128" s="283" t="s">
        <v>37</v>
      </c>
      <c r="F128" s="272"/>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row>
    <row r="129" spans="1:44" ht="15" customHeight="1">
      <c r="A129" s="281" t="s">
        <v>38</v>
      </c>
      <c r="B129" s="315" t="str">
        <f>"[2010 : "&amp;MID(B$11,9,11)</f>
        <v>[2010 : 2019-05]</v>
      </c>
      <c r="C129" s="318" t="str">
        <f>B129</f>
        <v>[2010 : 2019-05]</v>
      </c>
      <c r="D129" s="283" t="s">
        <v>39</v>
      </c>
      <c r="F129" s="272"/>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row>
    <row r="130" spans="1:44" ht="15" customHeight="1">
      <c r="A130" s="281" t="s">
        <v>40</v>
      </c>
      <c r="B130" s="313" t="s">
        <v>41</v>
      </c>
      <c r="C130" s="314" t="s">
        <v>42</v>
      </c>
      <c r="D130" s="283" t="s">
        <v>43</v>
      </c>
      <c r="F130" s="272"/>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row>
    <row r="131" spans="1:44" ht="15" customHeight="1">
      <c r="A131" s="281" t="s">
        <v>44</v>
      </c>
      <c r="B131" s="313" t="s">
        <v>45</v>
      </c>
      <c r="C131" s="314" t="s">
        <v>53</v>
      </c>
      <c r="D131" s="283" t="s">
        <v>46</v>
      </c>
      <c r="F131" s="272"/>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row>
    <row r="132" spans="1:44">
      <c r="A132" s="281" t="s">
        <v>47</v>
      </c>
      <c r="B132" s="321" t="s">
        <v>54</v>
      </c>
      <c r="C132" s="321" t="s">
        <v>55</v>
      </c>
      <c r="D132" s="283" t="s">
        <v>48</v>
      </c>
      <c r="F132" s="27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row>
    <row r="133" spans="1:44" ht="15" customHeight="1">
      <c r="A133" s="281" t="s">
        <v>49</v>
      </c>
      <c r="B133" s="317" t="str">
        <f>+B15</f>
        <v>mai-18</v>
      </c>
      <c r="C133" s="318" t="str">
        <f>+C15</f>
        <v>may-18</v>
      </c>
      <c r="D133" s="283" t="s">
        <v>50</v>
      </c>
      <c r="F133" s="272"/>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row>
    <row r="134" spans="1:44" ht="15" customHeight="1">
      <c r="A134" s="278" t="s">
        <v>51</v>
      </c>
      <c r="B134" s="319"/>
      <c r="C134" s="320"/>
      <c r="D134" s="279" t="s">
        <v>52</v>
      </c>
      <c r="F134" s="272"/>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row>
    <row r="135" spans="1:44" ht="70.5" customHeight="1">
      <c r="A135" s="419" t="s">
        <v>116</v>
      </c>
      <c r="B135" s="419"/>
      <c r="C135" s="413" t="s">
        <v>117</v>
      </c>
      <c r="D135" s="413"/>
      <c r="F135" s="272"/>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row>
    <row r="136" spans="1:44" ht="27" customHeight="1">
      <c r="A136" s="410" t="s">
        <v>118</v>
      </c>
      <c r="B136" s="410"/>
      <c r="C136" s="411" t="s">
        <v>119</v>
      </c>
      <c r="D136" s="411"/>
      <c r="F136" s="272"/>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row>
    <row r="137" spans="1:44" ht="27.75" customHeight="1">
      <c r="A137" s="404" t="s">
        <v>95</v>
      </c>
      <c r="B137" s="405"/>
      <c r="C137" s="406" t="s">
        <v>74</v>
      </c>
      <c r="D137" s="407"/>
      <c r="F137" s="272"/>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row>
    <row r="138" spans="1:44" ht="43.5" customHeight="1">
      <c r="A138" s="410" t="s">
        <v>132</v>
      </c>
      <c r="B138" s="410"/>
      <c r="C138" s="411" t="s">
        <v>133</v>
      </c>
      <c r="D138" s="411"/>
    </row>
    <row r="139" spans="1:44" ht="66.75" customHeight="1">
      <c r="A139" s="404" t="s">
        <v>151</v>
      </c>
      <c r="B139" s="405"/>
      <c r="C139" s="408" t="s">
        <v>152</v>
      </c>
      <c r="D139" s="409"/>
      <c r="F139" s="272"/>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row>
    <row r="140" spans="1:44">
      <c r="A140" s="356"/>
      <c r="B140" s="374"/>
      <c r="C140" s="373"/>
      <c r="D140" s="375"/>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row>
    <row r="141" spans="1:44" ht="15">
      <c r="A141" s="337"/>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row>
    <row r="142" spans="1:44" customFormat="1">
      <c r="C142" s="291"/>
      <c r="D142" s="291"/>
    </row>
    <row r="143" spans="1:44">
      <c r="A143" s="277" t="s">
        <v>160</v>
      </c>
      <c r="D143" s="290" t="s">
        <v>80</v>
      </c>
      <c r="F143" s="272"/>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row>
    <row r="144" spans="1:44" ht="15" customHeight="1">
      <c r="A144" s="280" t="s">
        <v>24</v>
      </c>
      <c r="B144" s="311" t="s">
        <v>59</v>
      </c>
      <c r="C144" s="312" t="s">
        <v>60</v>
      </c>
      <c r="D144" s="282" t="s">
        <v>25</v>
      </c>
      <c r="F144" s="272"/>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row>
    <row r="145" spans="1:44" ht="22.5">
      <c r="A145" s="281" t="s">
        <v>26</v>
      </c>
      <c r="B145" s="321" t="s">
        <v>134</v>
      </c>
      <c r="C145" s="322" t="s">
        <v>135</v>
      </c>
      <c r="D145" s="283" t="s">
        <v>29</v>
      </c>
      <c r="F145" s="272"/>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row>
    <row r="146" spans="1:44" ht="15" customHeight="1">
      <c r="A146" s="281" t="s">
        <v>30</v>
      </c>
      <c r="B146" s="313" t="s">
        <v>31</v>
      </c>
      <c r="C146" s="314" t="s">
        <v>32</v>
      </c>
      <c r="D146" s="283" t="s">
        <v>33</v>
      </c>
      <c r="F146" s="272"/>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row>
    <row r="147" spans="1:44" ht="15" customHeight="1">
      <c r="A147" s="281" t="s">
        <v>34</v>
      </c>
      <c r="B147" s="313" t="s">
        <v>35</v>
      </c>
      <c r="C147" s="314" t="s">
        <v>36</v>
      </c>
      <c r="D147" s="283" t="s">
        <v>37</v>
      </c>
      <c r="F147" s="272"/>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row>
    <row r="148" spans="1:44" ht="15" customHeight="1">
      <c r="A148" s="281" t="s">
        <v>38</v>
      </c>
      <c r="B148" s="315" t="str">
        <f>"[2010 : "&amp;MID(B$11,9,11)</f>
        <v>[2010 : 2019-05]</v>
      </c>
      <c r="C148" s="318" t="str">
        <f>B148</f>
        <v>[2010 : 2019-05]</v>
      </c>
      <c r="D148" s="283" t="s">
        <v>39</v>
      </c>
      <c r="F148" s="272"/>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row>
    <row r="149" spans="1:44" ht="15" customHeight="1">
      <c r="A149" s="281" t="s">
        <v>40</v>
      </c>
      <c r="B149" s="313" t="s">
        <v>41</v>
      </c>
      <c r="C149" s="314" t="s">
        <v>42</v>
      </c>
      <c r="D149" s="283" t="s">
        <v>43</v>
      </c>
      <c r="F149" s="272"/>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row>
    <row r="150" spans="1:44" ht="15" customHeight="1">
      <c r="A150" s="281" t="s">
        <v>44</v>
      </c>
      <c r="B150" s="313" t="s">
        <v>45</v>
      </c>
      <c r="C150" s="314" t="s">
        <v>53</v>
      </c>
      <c r="D150" s="283" t="s">
        <v>46</v>
      </c>
      <c r="F150" s="272"/>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row>
    <row r="151" spans="1:44" ht="15" customHeight="1">
      <c r="A151" s="281" t="s">
        <v>47</v>
      </c>
      <c r="B151" s="313" t="s">
        <v>54</v>
      </c>
      <c r="C151" s="314" t="s">
        <v>55</v>
      </c>
      <c r="D151" s="283" t="s">
        <v>48</v>
      </c>
      <c r="F151" s="272"/>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row>
    <row r="152" spans="1:44" ht="15" customHeight="1">
      <c r="A152" s="281" t="s">
        <v>49</v>
      </c>
      <c r="B152" s="376" t="str">
        <f>+B15</f>
        <v>mai-18</v>
      </c>
      <c r="C152" s="376" t="str">
        <f>+C15</f>
        <v>may-18</v>
      </c>
      <c r="D152" s="283" t="s">
        <v>50</v>
      </c>
      <c r="F152" s="27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row>
    <row r="153" spans="1:44" ht="15" customHeight="1">
      <c r="A153" s="278" t="s">
        <v>51</v>
      </c>
      <c r="B153" s="319"/>
      <c r="C153" s="320"/>
      <c r="D153" s="279" t="s">
        <v>52</v>
      </c>
      <c r="F153" s="272"/>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row>
    <row r="154" spans="1:44" ht="12.75" customHeight="1">
      <c r="A154" s="419" t="s">
        <v>78</v>
      </c>
      <c r="B154" s="419"/>
      <c r="C154" s="413" t="s">
        <v>79</v>
      </c>
      <c r="D154" s="413"/>
      <c r="F154" s="272"/>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row>
    <row r="155" spans="1:44" ht="24.75" customHeight="1">
      <c r="A155" s="410" t="s">
        <v>91</v>
      </c>
      <c r="B155" s="410"/>
      <c r="C155" s="411" t="s">
        <v>94</v>
      </c>
      <c r="D155" s="411"/>
      <c r="F155" s="272"/>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row>
    <row r="156" spans="1:44" ht="24.75" customHeight="1">
      <c r="A156" s="410" t="s">
        <v>76</v>
      </c>
      <c r="B156" s="410"/>
      <c r="C156" s="411" t="s">
        <v>77</v>
      </c>
      <c r="D156" s="411"/>
      <c r="F156" s="272"/>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row>
    <row r="157" spans="1:44" s="271" customFormat="1" ht="27" customHeight="1">
      <c r="A157" s="410" t="s">
        <v>130</v>
      </c>
      <c r="B157" s="410"/>
      <c r="C157" s="411" t="s">
        <v>131</v>
      </c>
      <c r="D157" s="411"/>
      <c r="E157" s="274"/>
      <c r="F157" s="284"/>
    </row>
    <row r="158" spans="1:44" ht="66.75" customHeight="1">
      <c r="A158" s="404" t="s">
        <v>167</v>
      </c>
      <c r="B158" s="405"/>
      <c r="C158" s="408" t="s">
        <v>168</v>
      </c>
      <c r="D158" s="409"/>
      <c r="F158" s="272"/>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row>
    <row r="159" spans="1:44">
      <c r="A159" s="424"/>
      <c r="B159" s="424"/>
      <c r="C159" s="425"/>
      <c r="D159" s="425"/>
      <c r="F159" s="272"/>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row>
    <row r="164" spans="1:44">
      <c r="A164" s="277" t="s">
        <v>161</v>
      </c>
      <c r="D164" s="290" t="s">
        <v>85</v>
      </c>
      <c r="F164" s="272"/>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row>
    <row r="165" spans="1:44" ht="15" customHeight="1">
      <c r="A165" s="280" t="s">
        <v>24</v>
      </c>
      <c r="B165" s="311" t="s">
        <v>59</v>
      </c>
      <c r="C165" s="312" t="s">
        <v>60</v>
      </c>
      <c r="D165" s="282" t="s">
        <v>25</v>
      </c>
      <c r="F165" s="272"/>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row>
    <row r="166" spans="1:44">
      <c r="A166" s="281" t="s">
        <v>26</v>
      </c>
      <c r="B166" s="313" t="s">
        <v>27</v>
      </c>
      <c r="C166" s="314" t="s">
        <v>28</v>
      </c>
      <c r="D166" s="283" t="s">
        <v>29</v>
      </c>
      <c r="F166" s="272"/>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row>
    <row r="167" spans="1:44" ht="15" customHeight="1">
      <c r="A167" s="281" t="s">
        <v>30</v>
      </c>
      <c r="B167" s="313" t="s">
        <v>31</v>
      </c>
      <c r="C167" s="314" t="s">
        <v>32</v>
      </c>
      <c r="D167" s="283" t="s">
        <v>33</v>
      </c>
      <c r="F167" s="272"/>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row>
    <row r="168" spans="1:44" ht="15" customHeight="1">
      <c r="A168" s="281" t="s">
        <v>34</v>
      </c>
      <c r="B168" s="313" t="s">
        <v>35</v>
      </c>
      <c r="C168" s="314" t="s">
        <v>36</v>
      </c>
      <c r="D168" s="283" t="s">
        <v>37</v>
      </c>
      <c r="F168" s="272"/>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row>
    <row r="169" spans="1:44" ht="15" customHeight="1">
      <c r="A169" s="281" t="s">
        <v>38</v>
      </c>
      <c r="B169" s="315" t="s">
        <v>174</v>
      </c>
      <c r="C169" s="316" t="s">
        <v>175</v>
      </c>
      <c r="D169" s="283" t="s">
        <v>39</v>
      </c>
      <c r="F169" s="272"/>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row>
    <row r="170" spans="1:44" ht="15" customHeight="1">
      <c r="A170" s="281" t="s">
        <v>40</v>
      </c>
      <c r="B170" s="313" t="s">
        <v>41</v>
      </c>
      <c r="C170" s="314" t="s">
        <v>42</v>
      </c>
      <c r="D170" s="283" t="s">
        <v>43</v>
      </c>
      <c r="F170" s="272"/>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row>
    <row r="171" spans="1:44" ht="15" customHeight="1">
      <c r="A171" s="281" t="s">
        <v>44</v>
      </c>
      <c r="B171" s="313" t="s">
        <v>45</v>
      </c>
      <c r="C171" s="314" t="s">
        <v>53</v>
      </c>
      <c r="D171" s="283" t="s">
        <v>46</v>
      </c>
      <c r="F171" s="272"/>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row>
    <row r="172" spans="1:44" ht="15" customHeight="1">
      <c r="A172" s="281" t="s">
        <v>47</v>
      </c>
      <c r="B172" s="313" t="s">
        <v>54</v>
      </c>
      <c r="C172" s="314" t="s">
        <v>55</v>
      </c>
      <c r="D172" s="283" t="s">
        <v>48</v>
      </c>
      <c r="F172" s="2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row>
    <row r="173" spans="1:44" ht="15" customHeight="1">
      <c r="A173" s="281" t="s">
        <v>49</v>
      </c>
      <c r="B173" s="313" t="s">
        <v>54</v>
      </c>
      <c r="C173" s="314" t="s">
        <v>55</v>
      </c>
      <c r="D173" s="283" t="s">
        <v>50</v>
      </c>
      <c r="F173" s="272"/>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row>
    <row r="174" spans="1:44">
      <c r="A174" s="278" t="s">
        <v>51</v>
      </c>
      <c r="B174" s="335"/>
      <c r="C174" s="335"/>
      <c r="D174" s="279" t="s">
        <v>52</v>
      </c>
      <c r="F174" s="272"/>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row>
    <row r="175" spans="1:44" ht="12.75" customHeight="1">
      <c r="A175" s="419" t="s">
        <v>81</v>
      </c>
      <c r="B175" s="419"/>
      <c r="C175" s="413" t="s">
        <v>82</v>
      </c>
      <c r="D175" s="413"/>
      <c r="F175" s="272"/>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row>
    <row r="176" spans="1:44" ht="24.75" customHeight="1">
      <c r="A176" s="410" t="s">
        <v>91</v>
      </c>
      <c r="B176" s="410"/>
      <c r="C176" s="411" t="s">
        <v>94</v>
      </c>
      <c r="D176" s="411"/>
      <c r="F176" s="272"/>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row>
    <row r="177" spans="1:44" ht="27.75" customHeight="1">
      <c r="A177" s="410" t="s">
        <v>83</v>
      </c>
      <c r="B177" s="410"/>
      <c r="C177" s="411" t="s">
        <v>84</v>
      </c>
      <c r="D177" s="411"/>
      <c r="F177" s="272"/>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row>
    <row r="178" spans="1:44" ht="12" customHeight="1">
      <c r="A178" s="424"/>
      <c r="B178" s="424"/>
      <c r="C178" s="425"/>
      <c r="D178" s="425"/>
    </row>
    <row r="183" spans="1:44">
      <c r="A183" s="277" t="s">
        <v>162</v>
      </c>
      <c r="D183" s="290" t="s">
        <v>86</v>
      </c>
      <c r="F183" s="272"/>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row>
    <row r="184" spans="1:44" ht="15" customHeight="1">
      <c r="A184" s="280" t="s">
        <v>24</v>
      </c>
      <c r="B184" s="311" t="s">
        <v>62</v>
      </c>
      <c r="C184" s="312" t="s">
        <v>63</v>
      </c>
      <c r="D184" s="282" t="s">
        <v>25</v>
      </c>
      <c r="F184" s="272"/>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row>
    <row r="185" spans="1:44" ht="29.25" customHeight="1">
      <c r="A185" s="281" t="s">
        <v>26</v>
      </c>
      <c r="B185" s="321" t="s">
        <v>134</v>
      </c>
      <c r="C185" s="322" t="s">
        <v>135</v>
      </c>
      <c r="D185" s="283" t="s">
        <v>29</v>
      </c>
      <c r="F185" s="272"/>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row>
    <row r="186" spans="1:44" ht="15" customHeight="1">
      <c r="A186" s="281" t="s">
        <v>30</v>
      </c>
      <c r="B186" s="313" t="s">
        <v>31</v>
      </c>
      <c r="C186" s="314" t="s">
        <v>32</v>
      </c>
      <c r="D186" s="283" t="s">
        <v>33</v>
      </c>
      <c r="F186" s="272"/>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row>
    <row r="187" spans="1:44" ht="15" customHeight="1">
      <c r="A187" s="281" t="s">
        <v>34</v>
      </c>
      <c r="B187" s="313" t="s">
        <v>35</v>
      </c>
      <c r="C187" s="314" t="s">
        <v>36</v>
      </c>
      <c r="D187" s="283" t="s">
        <v>37</v>
      </c>
      <c r="F187" s="272"/>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row>
    <row r="188" spans="1:44" ht="15" customHeight="1">
      <c r="A188" s="281" t="s">
        <v>38</v>
      </c>
      <c r="B188" s="315" t="str">
        <f>"[2010 : "&amp;MID(B$11,9,11)</f>
        <v>[2010 : 2019-05]</v>
      </c>
      <c r="C188" s="318" t="str">
        <f>B188</f>
        <v>[2010 : 2019-05]</v>
      </c>
      <c r="D188" s="283" t="s">
        <v>39</v>
      </c>
      <c r="F188" s="272"/>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row>
    <row r="189" spans="1:44" ht="15" customHeight="1">
      <c r="A189" s="281" t="s">
        <v>40</v>
      </c>
      <c r="B189" s="313" t="s">
        <v>41</v>
      </c>
      <c r="C189" s="314" t="s">
        <v>42</v>
      </c>
      <c r="D189" s="283" t="s">
        <v>43</v>
      </c>
      <c r="F189" s="272"/>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row>
    <row r="190" spans="1:44" ht="15" customHeight="1">
      <c r="A190" s="281" t="s">
        <v>44</v>
      </c>
      <c r="B190" s="313" t="s">
        <v>45</v>
      </c>
      <c r="C190" s="314" t="s">
        <v>53</v>
      </c>
      <c r="D190" s="283" t="s">
        <v>46</v>
      </c>
      <c r="F190" s="272"/>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row>
    <row r="191" spans="1:44" ht="27.95" customHeight="1">
      <c r="A191" s="281" t="s">
        <v>47</v>
      </c>
      <c r="B191" s="321" t="str">
        <f>+B32</f>
        <v>mai-19: - Nº de entidades estimadas: 7</v>
      </c>
      <c r="C191" s="321" t="str">
        <f>+C32</f>
        <v>May-19: - Nº of estimated entities: 7</v>
      </c>
      <c r="D191" s="283" t="s">
        <v>48</v>
      </c>
      <c r="F191" s="272"/>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row>
    <row r="192" spans="1:44" ht="15" customHeight="1">
      <c r="A192" s="281" t="s">
        <v>49</v>
      </c>
      <c r="B192" s="332" t="str">
        <f>+B15</f>
        <v>mai-18</v>
      </c>
      <c r="C192" s="332" t="str">
        <f>+C15</f>
        <v>may-18</v>
      </c>
      <c r="D192" s="283" t="s">
        <v>50</v>
      </c>
      <c r="F192" s="27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row>
    <row r="193" spans="1:44" ht="15" customHeight="1">
      <c r="A193" s="278" t="s">
        <v>51</v>
      </c>
      <c r="B193" s="319"/>
      <c r="C193" s="320"/>
      <c r="D193" s="279" t="s">
        <v>52</v>
      </c>
      <c r="F193" s="272"/>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row>
    <row r="194" spans="1:44" ht="12.75" customHeight="1">
      <c r="A194" s="419" t="s">
        <v>78</v>
      </c>
      <c r="B194" s="419"/>
      <c r="C194" s="413" t="s">
        <v>79</v>
      </c>
      <c r="D194" s="413"/>
      <c r="F194" s="272"/>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row>
    <row r="195" spans="1:44" ht="24.75" customHeight="1">
      <c r="A195" s="410" t="s">
        <v>91</v>
      </c>
      <c r="B195" s="410"/>
      <c r="C195" s="411" t="s">
        <v>94</v>
      </c>
      <c r="D195" s="411"/>
      <c r="F195" s="272"/>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row>
    <row r="196" spans="1:44" s="271" customFormat="1" ht="48.75" customHeight="1">
      <c r="A196" s="410" t="s">
        <v>128</v>
      </c>
      <c r="B196" s="410"/>
      <c r="C196" s="411" t="s">
        <v>129</v>
      </c>
      <c r="D196" s="411"/>
      <c r="E196" s="274"/>
      <c r="F196" s="284"/>
      <c r="H196" s="334"/>
      <c r="I196" s="334"/>
    </row>
    <row r="197" spans="1:44" ht="24.75" customHeight="1">
      <c r="A197" s="410" t="s">
        <v>145</v>
      </c>
      <c r="B197" s="410"/>
      <c r="C197" s="411" t="s">
        <v>146</v>
      </c>
      <c r="D197" s="411"/>
      <c r="F197" s="272"/>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row>
    <row r="198" spans="1:44" s="271" customFormat="1" ht="28.5" customHeight="1">
      <c r="A198" s="410" t="s">
        <v>130</v>
      </c>
      <c r="B198" s="410"/>
      <c r="C198" s="411" t="s">
        <v>131</v>
      </c>
      <c r="D198" s="411"/>
      <c r="E198" s="274"/>
      <c r="F198" s="284"/>
    </row>
    <row r="199" spans="1:44" s="271" customFormat="1" ht="68.25" customHeight="1">
      <c r="A199" s="404" t="s">
        <v>147</v>
      </c>
      <c r="B199" s="405"/>
      <c r="C199" s="406" t="s">
        <v>148</v>
      </c>
      <c r="D199" s="407"/>
      <c r="E199" s="274"/>
      <c r="F199" s="272"/>
    </row>
    <row r="200" spans="1:44" s="276" customFormat="1" ht="27" customHeight="1">
      <c r="A200" s="412" t="s">
        <v>96</v>
      </c>
      <c r="B200" s="412"/>
      <c r="C200" s="416" t="s">
        <v>88</v>
      </c>
      <c r="D200" s="416"/>
      <c r="E200" s="292"/>
      <c r="F200" s="277"/>
    </row>
    <row r="201" spans="1:44" s="271" customFormat="1" ht="19.5" customHeight="1">
      <c r="A201" s="412">
        <f>+A42</f>
        <v>2019</v>
      </c>
      <c r="B201" s="412"/>
      <c r="C201" s="416">
        <f>+A201</f>
        <v>2019</v>
      </c>
      <c r="D201" s="416"/>
      <c r="E201" s="274"/>
      <c r="F201" s="272"/>
    </row>
    <row r="202" spans="1:44" s="271" customFormat="1" ht="83.25" customHeight="1">
      <c r="A202" s="410" t="str">
        <f>A43</f>
        <v>Banif, S.A.; Centro Hospitalar de Leiria, EPE; Fundação Carlos Lloyd Braga; Fundo Compensação Universal Comunicações Eletrónicas; Porto Vivo, S.R.U. - Sociedade de Reabilitação Urbana; Sanjimo - Sociedade Imobiliária, S.A.; Sociedade Portuguesa de Empreendimentos, S.P.E., S.A..</v>
      </c>
      <c r="B202" s="410"/>
      <c r="C202" s="411" t="str">
        <f>A202</f>
        <v>Banif, S.A.; Centro Hospitalar de Leiria, EPE; Fundação Carlos Lloyd Braga; Fundo Compensação Universal Comunicações Eletrónicas; Porto Vivo, S.R.U. - Sociedade de Reabilitação Urbana; Sanjimo - Sociedade Imobiliária, S.A.; Sociedade Portuguesa de Empreendimentos, S.P.E., S.A..</v>
      </c>
      <c r="D202" s="411"/>
      <c r="E202" s="293"/>
      <c r="F202" s="272"/>
    </row>
    <row r="203" spans="1:44">
      <c r="A203" s="356"/>
      <c r="B203" s="357"/>
      <c r="C203" s="354"/>
      <c r="D203" s="355"/>
    </row>
    <row r="208" spans="1:44">
      <c r="A208" s="277" t="s">
        <v>163</v>
      </c>
      <c r="D208" s="290" t="s">
        <v>115</v>
      </c>
      <c r="F208" s="272"/>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row>
    <row r="209" spans="1:44" ht="15" customHeight="1">
      <c r="A209" s="280" t="s">
        <v>24</v>
      </c>
      <c r="B209" s="311" t="s">
        <v>62</v>
      </c>
      <c r="C209" s="312" t="s">
        <v>63</v>
      </c>
      <c r="D209" s="282" t="s">
        <v>25</v>
      </c>
      <c r="F209" s="272"/>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row>
    <row r="210" spans="1:44">
      <c r="A210" s="281" t="s">
        <v>26</v>
      </c>
      <c r="B210" s="313" t="s">
        <v>27</v>
      </c>
      <c r="C210" s="314" t="s">
        <v>28</v>
      </c>
      <c r="D210" s="283" t="s">
        <v>29</v>
      </c>
      <c r="F210" s="272"/>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row>
    <row r="211" spans="1:44" ht="15" customHeight="1">
      <c r="A211" s="281" t="s">
        <v>30</v>
      </c>
      <c r="B211" s="313" t="s">
        <v>31</v>
      </c>
      <c r="C211" s="314" t="s">
        <v>32</v>
      </c>
      <c r="D211" s="283" t="s">
        <v>33</v>
      </c>
      <c r="F211" s="272"/>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row>
    <row r="212" spans="1:44" ht="15" customHeight="1">
      <c r="A212" s="281" t="s">
        <v>34</v>
      </c>
      <c r="B212" s="313" t="s">
        <v>35</v>
      </c>
      <c r="C212" s="314" t="s">
        <v>36</v>
      </c>
      <c r="D212" s="283" t="s">
        <v>37</v>
      </c>
      <c r="F212" s="27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row>
    <row r="213" spans="1:44" ht="15" customHeight="1">
      <c r="A213" s="281" t="s">
        <v>38</v>
      </c>
      <c r="B213" s="315" t="str">
        <f>B169</f>
        <v>mai-18 e mai-19</v>
      </c>
      <c r="C213" s="316" t="str">
        <f>C169</f>
        <v>May-18 and May-19</v>
      </c>
      <c r="D213" s="283" t="s">
        <v>39</v>
      </c>
      <c r="F213" s="272"/>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row>
    <row r="214" spans="1:44" ht="15" customHeight="1">
      <c r="A214" s="281" t="s">
        <v>40</v>
      </c>
      <c r="B214" s="313" t="s">
        <v>41</v>
      </c>
      <c r="C214" s="314" t="s">
        <v>42</v>
      </c>
      <c r="D214" s="283" t="s">
        <v>43</v>
      </c>
      <c r="F214" s="272"/>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row>
    <row r="215" spans="1:44" ht="15" customHeight="1">
      <c r="A215" s="281" t="s">
        <v>44</v>
      </c>
      <c r="B215" s="313" t="s">
        <v>45</v>
      </c>
      <c r="C215" s="314" t="s">
        <v>53</v>
      </c>
      <c r="D215" s="283" t="s">
        <v>46</v>
      </c>
      <c r="F215" s="272"/>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row>
    <row r="216" spans="1:44" ht="30" customHeight="1">
      <c r="A216" s="281" t="s">
        <v>47</v>
      </c>
      <c r="B216" s="321" t="str">
        <f>+B191</f>
        <v>mai-19: - Nº de entidades estimadas: 7</v>
      </c>
      <c r="C216" s="321" t="str">
        <f>+C191</f>
        <v>May-19: - Nº of estimated entities: 7</v>
      </c>
      <c r="D216" s="283" t="s">
        <v>48</v>
      </c>
      <c r="F216" s="272"/>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row>
    <row r="217" spans="1:44" ht="15" customHeight="1">
      <c r="A217" s="281" t="s">
        <v>49</v>
      </c>
      <c r="B217" s="313" t="s">
        <v>54</v>
      </c>
      <c r="C217" s="314" t="s">
        <v>55</v>
      </c>
      <c r="D217" s="283" t="s">
        <v>50</v>
      </c>
      <c r="F217" s="272"/>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row>
    <row r="218" spans="1:44">
      <c r="A218" s="278" t="s">
        <v>51</v>
      </c>
      <c r="B218" s="335"/>
      <c r="C218" s="335"/>
      <c r="D218" s="279" t="s">
        <v>52</v>
      </c>
      <c r="F218" s="272"/>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row>
    <row r="219" spans="1:44" ht="12.75" customHeight="1">
      <c r="A219" s="419" t="s">
        <v>81</v>
      </c>
      <c r="B219" s="419"/>
      <c r="C219" s="413" t="s">
        <v>82</v>
      </c>
      <c r="D219" s="413"/>
      <c r="F219" s="272"/>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row>
    <row r="220" spans="1:44" ht="24.75" customHeight="1">
      <c r="A220" s="410" t="s">
        <v>91</v>
      </c>
      <c r="B220" s="410"/>
      <c r="C220" s="411" t="s">
        <v>94</v>
      </c>
      <c r="D220" s="411"/>
      <c r="F220" s="272"/>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row>
    <row r="221" spans="1:44" ht="27.75" customHeight="1">
      <c r="A221" s="410" t="s">
        <v>83</v>
      </c>
      <c r="B221" s="410"/>
      <c r="C221" s="411" t="s">
        <v>84</v>
      </c>
      <c r="D221" s="411"/>
      <c r="F221" s="272"/>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row>
    <row r="222" spans="1:44" s="271" customFormat="1" ht="45.75" customHeight="1">
      <c r="A222" s="410" t="s">
        <v>128</v>
      </c>
      <c r="B222" s="410"/>
      <c r="C222" s="411" t="s">
        <v>129</v>
      </c>
      <c r="D222" s="411"/>
      <c r="E222" s="274"/>
      <c r="F222" s="284"/>
      <c r="H222" s="334"/>
      <c r="I222" s="334"/>
    </row>
    <row r="223" spans="1:44" ht="30" customHeight="1">
      <c r="A223" s="410" t="s">
        <v>109</v>
      </c>
      <c r="B223" s="410"/>
      <c r="C223" s="411" t="s">
        <v>110</v>
      </c>
      <c r="D223" s="411"/>
      <c r="F223" s="272"/>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row>
    <row r="224" spans="1:44" s="276" customFormat="1" ht="27" customHeight="1">
      <c r="A224" s="412" t="s">
        <v>96</v>
      </c>
      <c r="B224" s="412"/>
      <c r="C224" s="416" t="s">
        <v>88</v>
      </c>
      <c r="D224" s="416"/>
      <c r="E224" s="292"/>
      <c r="F224" s="277"/>
    </row>
    <row r="225" spans="1:6" s="271" customFormat="1" ht="19.5" customHeight="1">
      <c r="A225" s="412">
        <f>+A201</f>
        <v>2019</v>
      </c>
      <c r="B225" s="412"/>
      <c r="C225" s="422">
        <f>A225</f>
        <v>2019</v>
      </c>
      <c r="D225" s="423"/>
      <c r="E225" s="274"/>
      <c r="F225" s="272"/>
    </row>
    <row r="226" spans="1:6" s="271" customFormat="1" ht="85.5" customHeight="1">
      <c r="A226" s="410" t="str">
        <f>+A202</f>
        <v>Banif, S.A.; Centro Hospitalar de Leiria, EPE; Fundação Carlos Lloyd Braga; Fundo Compensação Universal Comunicações Eletrónicas; Porto Vivo, S.R.U. - Sociedade de Reabilitação Urbana; Sanjimo - Sociedade Imobiliária, S.A.; Sociedade Portuguesa de Empreendimentos, S.P.E., S.A..</v>
      </c>
      <c r="B226" s="410"/>
      <c r="C226" s="410" t="str">
        <f>+C202</f>
        <v>Banif, S.A.; Centro Hospitalar de Leiria, EPE; Fundação Carlos Lloyd Braga; Fundo Compensação Universal Comunicações Eletrónicas; Porto Vivo, S.R.U. - Sociedade de Reabilitação Urbana; Sanjimo - Sociedade Imobiliária, S.A.; Sociedade Portuguesa de Empreendimentos, S.P.E., S.A..</v>
      </c>
      <c r="D226" s="410"/>
      <c r="E226" s="293"/>
      <c r="F226" s="272"/>
    </row>
    <row r="227" spans="1:6" ht="12" customHeight="1">
      <c r="A227" s="420"/>
      <c r="B227" s="421"/>
      <c r="C227" s="426"/>
      <c r="D227" s="427"/>
    </row>
    <row r="228" spans="1:6" customFormat="1"/>
    <row r="229" spans="1:6" customFormat="1"/>
    <row r="230" spans="1:6" customFormat="1"/>
    <row r="231" spans="1:6" customFormat="1"/>
    <row r="232" spans="1:6" customFormat="1"/>
    <row r="233" spans="1:6" customFormat="1" ht="15" customHeight="1"/>
    <row r="234" spans="1:6" customFormat="1" ht="21" customHeight="1"/>
    <row r="235" spans="1:6" customFormat="1" ht="15" customHeight="1"/>
    <row r="236" spans="1:6" customFormat="1" ht="15" customHeight="1"/>
    <row r="237" spans="1:6" customFormat="1" ht="15" customHeight="1"/>
    <row r="238" spans="1:6" customFormat="1" ht="15" customHeight="1"/>
    <row r="239" spans="1:6" customFormat="1" ht="15" customHeight="1"/>
    <row r="240" spans="1:6" customFormat="1" ht="30" customHeight="1"/>
    <row r="241" customFormat="1" ht="15" customHeight="1"/>
    <row r="242" customFormat="1" ht="15" customHeight="1"/>
    <row r="243" customFormat="1" ht="15" customHeight="1"/>
    <row r="244" customFormat="1" ht="15" customHeight="1"/>
    <row r="245" customFormat="1" ht="70.5" customHeight="1"/>
    <row r="246" customFormat="1" ht="33.75" customHeight="1"/>
    <row r="247" customFormat="1" ht="48.75" customHeight="1"/>
    <row r="248" customFormat="1" ht="12" customHeight="1"/>
    <row r="249" customFormat="1"/>
    <row r="250" customFormat="1"/>
    <row r="251" customFormat="1"/>
  </sheetData>
  <mergeCells count="139">
    <mergeCell ref="A158:B158"/>
    <mergeCell ref="C99:D99"/>
    <mergeCell ref="C159:D159"/>
    <mergeCell ref="C157:D157"/>
    <mergeCell ref="C137:D137"/>
    <mergeCell ref="A138:B138"/>
    <mergeCell ref="C138:D138"/>
    <mergeCell ref="A159:B159"/>
    <mergeCell ref="A137:B137"/>
    <mergeCell ref="C154:D154"/>
    <mergeCell ref="C155:D155"/>
    <mergeCell ref="C158:D158"/>
    <mergeCell ref="A157:B157"/>
    <mergeCell ref="A196:B196"/>
    <mergeCell ref="C196:D196"/>
    <mergeCell ref="A194:B194"/>
    <mergeCell ref="C194:D194"/>
    <mergeCell ref="A178:B178"/>
    <mergeCell ref="C178:D178"/>
    <mergeCell ref="A176:B176"/>
    <mergeCell ref="A195:B195"/>
    <mergeCell ref="A177:B177"/>
    <mergeCell ref="C176:D176"/>
    <mergeCell ref="C195:D195"/>
    <mergeCell ref="C177:D177"/>
    <mergeCell ref="A197:B197"/>
    <mergeCell ref="C197:D197"/>
    <mergeCell ref="A154:B154"/>
    <mergeCell ref="A155:B155"/>
    <mergeCell ref="A103:B103"/>
    <mergeCell ref="A17:B17"/>
    <mergeCell ref="A21:B21"/>
    <mergeCell ref="C17:D17"/>
    <mergeCell ref="C21:D21"/>
    <mergeCell ref="A58:B58"/>
    <mergeCell ref="A35:B35"/>
    <mergeCell ref="C35:D35"/>
    <mergeCell ref="C39:D39"/>
    <mergeCell ref="C58:D58"/>
    <mergeCell ref="A42:B42"/>
    <mergeCell ref="C42:D42"/>
    <mergeCell ref="A18:B18"/>
    <mergeCell ref="C18:D18"/>
    <mergeCell ref="A19:B19"/>
    <mergeCell ref="C19:D19"/>
    <mergeCell ref="C41:D41"/>
    <mergeCell ref="C44:D44"/>
    <mergeCell ref="A175:B175"/>
    <mergeCell ref="C175:D175"/>
    <mergeCell ref="C227:D227"/>
    <mergeCell ref="A227:B227"/>
    <mergeCell ref="A202:B202"/>
    <mergeCell ref="C202:D202"/>
    <mergeCell ref="A198:B198"/>
    <mergeCell ref="C198:D198"/>
    <mergeCell ref="A226:B226"/>
    <mergeCell ref="C226:D226"/>
    <mergeCell ref="A225:B225"/>
    <mergeCell ref="C225:D225"/>
    <mergeCell ref="A224:B224"/>
    <mergeCell ref="C224:D224"/>
    <mergeCell ref="A201:B201"/>
    <mergeCell ref="C201:D201"/>
    <mergeCell ref="A223:B223"/>
    <mergeCell ref="C223:D223"/>
    <mergeCell ref="A200:B200"/>
    <mergeCell ref="A220:B220"/>
    <mergeCell ref="C220:D220"/>
    <mergeCell ref="C199:D199"/>
    <mergeCell ref="C83:D83"/>
    <mergeCell ref="A36:B36"/>
    <mergeCell ref="C36:D36"/>
    <mergeCell ref="A38:B38"/>
    <mergeCell ref="C38:D38"/>
    <mergeCell ref="A43:B43"/>
    <mergeCell ref="C43:D43"/>
    <mergeCell ref="A44:B44"/>
    <mergeCell ref="A156:B156"/>
    <mergeCell ref="C156:D156"/>
    <mergeCell ref="A102:B102"/>
    <mergeCell ref="C102:D102"/>
    <mergeCell ref="C101:D101"/>
    <mergeCell ref="A135:B135"/>
    <mergeCell ref="A136:B136"/>
    <mergeCell ref="A97:B97"/>
    <mergeCell ref="C97:D97"/>
    <mergeCell ref="A98:B98"/>
    <mergeCell ref="C98:D98"/>
    <mergeCell ref="C103:D103"/>
    <mergeCell ref="A117:B119"/>
    <mergeCell ref="C117:D119"/>
    <mergeCell ref="C20:D20"/>
    <mergeCell ref="A40:B40"/>
    <mergeCell ref="C40:D40"/>
    <mergeCell ref="C200:D200"/>
    <mergeCell ref="A222:B222"/>
    <mergeCell ref="C222:D222"/>
    <mergeCell ref="A221:B221"/>
    <mergeCell ref="C221:D221"/>
    <mergeCell ref="A219:B219"/>
    <mergeCell ref="C219:D219"/>
    <mergeCell ref="A62:B62"/>
    <mergeCell ref="C62:D62"/>
    <mergeCell ref="A66:B66"/>
    <mergeCell ref="A64:B64"/>
    <mergeCell ref="C65:D65"/>
    <mergeCell ref="A83:B83"/>
    <mergeCell ref="A99:B99"/>
    <mergeCell ref="A100:B100"/>
    <mergeCell ref="C100:D100"/>
    <mergeCell ref="A67:B67"/>
    <mergeCell ref="C67:D67"/>
    <mergeCell ref="C66:D66"/>
    <mergeCell ref="A199:B199"/>
    <mergeCell ref="A65:B65"/>
    <mergeCell ref="A3:B3"/>
    <mergeCell ref="A63:B63"/>
    <mergeCell ref="C63:D63"/>
    <mergeCell ref="A139:B139"/>
    <mergeCell ref="C139:D139"/>
    <mergeCell ref="A37:B37"/>
    <mergeCell ref="C37:D37"/>
    <mergeCell ref="A61:B61"/>
    <mergeCell ref="C61:D61"/>
    <mergeCell ref="A59:B59"/>
    <mergeCell ref="C59:D59"/>
    <mergeCell ref="A60:B60"/>
    <mergeCell ref="C60:D60"/>
    <mergeCell ref="A39:B39"/>
    <mergeCell ref="A41:B41"/>
    <mergeCell ref="C135:D135"/>
    <mergeCell ref="C136:D136"/>
    <mergeCell ref="A101:B101"/>
    <mergeCell ref="A82:B82"/>
    <mergeCell ref="C82:D82"/>
    <mergeCell ref="C81:D81"/>
    <mergeCell ref="C64:D64"/>
    <mergeCell ref="A81:B81"/>
    <mergeCell ref="A20:B20"/>
  </mergeCells>
  <printOptions horizontalCentered="1"/>
  <pageMargins left="0.19685039370078741" right="0.15748031496062992" top="0.47244094488188981" bottom="0.15748031496062992" header="0.47244094488188981" footer="0.15748031496062992"/>
  <pageSetup paperSize="9" scale="20" fitToHeight="2" orientation="landscape" r:id="rId1"/>
  <headerFooter alignWithMargins="0">
    <oddHeader>&amp;L&amp;G</oddHeader>
  </headerFooter>
  <ignoredErrors>
    <ignoredError sqref="C201" formula="1"/>
    <ignoredError sqref="B98 B100 A97:B97 D97 D100 D98 C97 C99:D99 C100" numberStoredAsText="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no xmlns="23bc334f-0e17-402a-872b-0123af4c73a8">62</Ano>
    <Ordem xmlns="0765058e-95b3-4ff3-80c4-5ff3bc59ec36">9</Ordem>
    <Mes xmlns="23bc334f-0e17-402a-872b-0123af4c73a8">6</Mes>
    <_dlc_DocId xmlns="23bc334f-0e17-402a-872b-0123af4c73a8">X4XX2SRTQWXX-37-1376</_dlc_DocId>
    <_dlc_DocIdUrl xmlns="23bc334f-0e17-402a-872b-0123af4c73a8">
      <Url>https://www.dgo.gov.pt/execucaoorcamental/_layouts/DocIdRedir.aspx?ID=X4XX2SRTQWXX-37-1376</Url>
      <Description>X4XX2SRTQWXX-37-1376</Description>
    </_dlc_DocIdUrl>
  </documentManagement>
</p:properties>
</file>

<file path=customXml/item3.xml><?xml version="1.0" encoding="utf-8"?>
<LongProperties xmlns="http://schemas.microsoft.com/office/2006/metadata/longProperties"/>
</file>

<file path=customXml/item4.xml><?xml version="1.0" encoding="utf-8"?>
<XMLData TextToDisplay="RightsWATCHMark">1|DGO-Geral-Público|{00000000-0000-0000-0000-000000000000}</XMLData>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62738BA-F3FF-4F49-AC39-BE4C634A786D}"/>
</file>

<file path=customXml/itemProps2.xml><?xml version="1.0" encoding="utf-8"?>
<ds:datastoreItem xmlns:ds="http://schemas.openxmlformats.org/officeDocument/2006/customXml" ds:itemID="{7F6E4D3C-77A1-4B59-898F-A8FACD1ADDDA}"/>
</file>

<file path=customXml/itemProps3.xml><?xml version="1.0" encoding="utf-8"?>
<ds:datastoreItem xmlns:ds="http://schemas.openxmlformats.org/officeDocument/2006/customXml" ds:itemID="{DB960FDE-25C6-4E6C-8CB8-A9DDC93105EA}"/>
</file>

<file path=customXml/itemProps4.xml><?xml version="1.0" encoding="utf-8"?>
<ds:datastoreItem xmlns:ds="http://schemas.openxmlformats.org/officeDocument/2006/customXml" ds:itemID="{BB3C8FCA-E99D-48D7-8DC0-AE1DA10BF47E}"/>
</file>

<file path=customXml/itemProps5.xml><?xml version="1.0" encoding="utf-8"?>
<ds:datastoreItem xmlns:ds="http://schemas.openxmlformats.org/officeDocument/2006/customXml" ds:itemID="{20286D2C-7B18-4B65-AB3E-417CB9FBB3EA}"/>
</file>

<file path=customXml/itemProps6.xml><?xml version="1.0" encoding="utf-8"?>
<ds:datastoreItem xmlns:ds="http://schemas.openxmlformats.org/officeDocument/2006/customXml" ds:itemID="{5669BB14-E594-48EE-84C4-3E3A7B6C39B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9</vt:i4>
      </vt:variant>
      <vt:variant>
        <vt:lpstr>Intervalos com Nome</vt:lpstr>
      </vt:variant>
      <vt:variant>
        <vt:i4>12</vt:i4>
      </vt:variant>
    </vt:vector>
  </HeadingPairs>
  <TitlesOfParts>
    <vt:vector size="21" baseType="lpstr">
      <vt:lpstr>Capa EN</vt:lpstr>
      <vt:lpstr>Indice_index</vt:lpstr>
      <vt:lpstr>1 - Evolução</vt:lpstr>
      <vt:lpstr>2 - Estado - Receita</vt:lpstr>
      <vt:lpstr>3 - Estado - Funcional</vt:lpstr>
      <vt:lpstr>4 - Estado - orgânica</vt:lpstr>
      <vt:lpstr>5 - SFA - Funcional</vt:lpstr>
      <vt:lpstr>6 - SFA - orgânica</vt:lpstr>
      <vt:lpstr>MetaInfo Metadata</vt:lpstr>
      <vt:lpstr>'1 - Evolução'!Área_de_Impressão</vt:lpstr>
      <vt:lpstr>'2 - Estado - Receita'!Área_de_Impressão</vt:lpstr>
      <vt:lpstr>'3 - Estado - Funcional'!Área_de_Impressão</vt:lpstr>
      <vt:lpstr>'4 - Estado - orgânica'!Área_de_Impressão</vt:lpstr>
      <vt:lpstr>'5 - SFA - Funcional'!Área_de_Impressão</vt:lpstr>
      <vt:lpstr>'6 - SFA - orgânica'!Área_de_Impressão</vt:lpstr>
      <vt:lpstr>'Capa EN'!Área_de_Impressão</vt:lpstr>
      <vt:lpstr>Indice_index!Área_de_Impressão</vt:lpstr>
      <vt:lpstr>'MetaInfo Metadata'!Área_de_Impressão</vt:lpstr>
      <vt:lpstr>'4 - Estado - orgânica'!Títulos_de_Impressão</vt:lpstr>
      <vt:lpstr>'6 - SFA - orgânica'!Títulos_de_Impressão</vt:lpstr>
      <vt:lpstr>'MetaInfo Metadata'!Títulos_de_Impressão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Síntese da Execução Orçamental de maio de 2019 - Informação Estatística complementar (english version)</dc:title>
  <dc:creator>Sílvia Pinto</dc:creator>
  <cp:lastModifiedBy>José Manuel Pereira</cp:lastModifiedBy>
  <cp:lastPrinted>2017-11-21T11:09:14Z</cp:lastPrinted>
  <dcterms:created xsi:type="dcterms:W3CDTF">2013-02-25T12:28:11Z</dcterms:created>
  <dcterms:modified xsi:type="dcterms:W3CDTF">2019-09-05T15:26:48Z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ightsWATCHMark">
    <vt:lpwstr>1|DGO-Geral-Público|{00000000-0000-0000-0000-000000000000}</vt:lpwstr>
  </property>
  <property fmtid="{D5CDD505-2E9C-101B-9397-08002B2CF9AE}" pid="3" name="_dlc_DocIdItemGuid">
    <vt:lpwstr>04c2b6ca-0d53-4c0e-9c6e-1f1c890d0871</vt:lpwstr>
  </property>
  <property fmtid="{D5CDD505-2E9C-101B-9397-08002B2CF9AE}" pid="4" name="ContentTypeId">
    <vt:lpwstr>0x010100ED200C6C5585014EA355E4441A780B35</vt:lpwstr>
  </property>
</Properties>
</file>