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65446" windowWidth="23100" windowHeight="9570" activeTab="0"/>
  </bookViews>
  <sheets>
    <sheet name="Capa PT" sheetId="1" r:id="rId1"/>
    <sheet name="Indice_index" sheetId="2" r:id="rId2"/>
    <sheet name="Evolução" sheetId="3" r:id="rId3"/>
    <sheet name="Estado - Funcional" sheetId="4" r:id="rId4"/>
    <sheet name="Estado - orgânica" sheetId="5" r:id="rId5"/>
    <sheet name="SFA - Funcional" sheetId="6" r:id="rId6"/>
    <sheet name="SFA - orgânica" sheetId="7" r:id="rId7"/>
  </sheets>
  <definedNames>
    <definedName name="_xlnm.Print_Area" localSheetId="0">'Capa PT'!$A$1:$J$99</definedName>
    <definedName name="_xlnm.Print_Area" localSheetId="3">'Estado - Funcional'!$B$2:$Y$40</definedName>
    <definedName name="_xlnm.Print_Area" localSheetId="4">'Estado - orgânica'!$B$2:$AU$45</definedName>
    <definedName name="_xlnm.Print_Area" localSheetId="2">'Evolução'!$B$2:$K$369</definedName>
    <definedName name="_xlnm.Print_Area" localSheetId="1">'Indice_index'!$B$4:$G$13,'Indice_index'!$B$16:$G$28</definedName>
    <definedName name="_xlnm.Print_Area" localSheetId="5">'SFA - Funcional'!$B$2:$Y$42</definedName>
    <definedName name="_xlnm.Print_Area" localSheetId="6">'SFA - orgânica'!$B$2:$AU$50</definedName>
    <definedName name="_xlnm.Print_Titles" localSheetId="4">'Estado - orgânica'!$C:$C</definedName>
    <definedName name="_xlnm.Print_Titles" localSheetId="6">'SFA - orgânica'!$C:$C,'SFA - orgânica'!$2:$7</definedName>
    <definedName name="Z_0011D0C0_6BC7_4DE9_8F83_86F2D0A38DF4_.wvu.Cols" localSheetId="2" hidden="1">'Evolução'!$E:$E,'Evolução'!$G:$G</definedName>
    <definedName name="Z_0011D0C0_6BC7_4DE9_8F83_86F2D0A38DF4_.wvu.Cols" localSheetId="1" hidden="1">'Indice_index'!$X:$Z</definedName>
    <definedName name="Z_0011D0C0_6BC7_4DE9_8F83_86F2D0A38DF4_.wvu.PrintArea" localSheetId="0" hidden="1">'Capa PT'!$A$1:$J$68</definedName>
    <definedName name="Z_0011D0C0_6BC7_4DE9_8F83_86F2D0A38DF4_.wvu.PrintArea" localSheetId="4" hidden="1">'Estado - orgânica'!$B$2:$AU$44</definedName>
    <definedName name="Z_0011D0C0_6BC7_4DE9_8F83_86F2D0A38DF4_.wvu.PrintArea" localSheetId="2" hidden="1">'Evolução'!$B$2:$L$352</definedName>
    <definedName name="Z_0011D0C0_6BC7_4DE9_8F83_86F2D0A38DF4_.wvu.PrintArea" localSheetId="1" hidden="1">'Indice_index'!$B$3:$C$10</definedName>
    <definedName name="Z_0011D0C0_6BC7_4DE9_8F83_86F2D0A38DF4_.wvu.PrintArea" localSheetId="6" hidden="1">'SFA - orgânica'!$B$2:$AU$48</definedName>
    <definedName name="Z_0011D0C0_6BC7_4DE9_8F83_86F2D0A38DF4_.wvu.PrintTitles" localSheetId="4" hidden="1">'Estado - orgânica'!$C:$C</definedName>
    <definedName name="Z_0011D0C0_6BC7_4DE9_8F83_86F2D0A38DF4_.wvu.PrintTitles" localSheetId="2" hidden="1">'Evolução'!$2:$2</definedName>
    <definedName name="Z_0011D0C0_6BC7_4DE9_8F83_86F2D0A38DF4_.wvu.PrintTitles" localSheetId="6" hidden="1">'SFA - orgânica'!$C:$C</definedName>
    <definedName name="Z_0C0AE94C_28F1_4FD2_A8FE_F417DD17C0C4_.wvu.Cols" localSheetId="4" hidden="1">'Estado - orgânica'!$S:$AF</definedName>
    <definedName name="Z_0C0AE94C_28F1_4FD2_A8FE_F417DD17C0C4_.wvu.Cols" localSheetId="2" hidden="1">'Evolução'!$E:$E,'Evolução'!$G:$G</definedName>
    <definedName name="Z_0C0AE94C_28F1_4FD2_A8FE_F417DD17C0C4_.wvu.Cols" localSheetId="1" hidden="1">'Indice_index'!$X:$Z</definedName>
    <definedName name="Z_0C0AE94C_28F1_4FD2_A8FE_F417DD17C0C4_.wvu.Cols" localSheetId="6" hidden="1">'SFA - orgânica'!$S:$AF</definedName>
    <definedName name="Z_0C0AE94C_28F1_4FD2_A8FE_F417DD17C0C4_.wvu.PrintArea" localSheetId="0" hidden="1">'Capa PT'!$A$1:$J$68,'Capa PT'!$A$70:$J$117</definedName>
    <definedName name="Z_0C0AE94C_28F1_4FD2_A8FE_F417DD17C0C4_.wvu.PrintArea" localSheetId="4" hidden="1">'Estado - orgânica'!$B$2:$AU$44</definedName>
    <definedName name="Z_0C0AE94C_28F1_4FD2_A8FE_F417DD17C0C4_.wvu.PrintArea" localSheetId="2" hidden="1">'Evolução'!$B$2:$L$352</definedName>
    <definedName name="Z_0C0AE94C_28F1_4FD2_A8FE_F417DD17C0C4_.wvu.PrintArea" localSheetId="1" hidden="1">'Indice_index'!$B$3:$C$10,'Indice_index'!#REF!</definedName>
    <definedName name="Z_0C0AE94C_28F1_4FD2_A8FE_F417DD17C0C4_.wvu.PrintArea" localSheetId="6" hidden="1">'SFA - orgânica'!$B$2:$AU$48</definedName>
    <definedName name="Z_0C0AE94C_28F1_4FD2_A8FE_F417DD17C0C4_.wvu.PrintTitles" localSheetId="4" hidden="1">'Estado - orgânica'!$C:$C</definedName>
    <definedName name="Z_0C0AE94C_28F1_4FD2_A8FE_F417DD17C0C4_.wvu.PrintTitles" localSheetId="2" hidden="1">'Evolução'!$2:$2</definedName>
    <definedName name="Z_0C0AE94C_28F1_4FD2_A8FE_F417DD17C0C4_.wvu.PrintTitles" localSheetId="6" hidden="1">'SFA - orgânica'!$C:$C</definedName>
    <definedName name="Z_0C0AE94C_28F1_4FD2_A8FE_F417DD17C0C4_.wvu.Rows" localSheetId="1" hidden="1">'Indice_index'!#REF!</definedName>
    <definedName name="Z_2EA2D52B_13B2_48C6_A647_E974628AB287_.wvu.Cols" localSheetId="1" hidden="1">'Indice_index'!$X:$Z</definedName>
    <definedName name="Z_2EA2D52B_13B2_48C6_A647_E974628AB287_.wvu.PrintArea" localSheetId="0" hidden="1">'Capa PT'!$A$1:$J$68</definedName>
    <definedName name="Z_2EA2D52B_13B2_48C6_A647_E974628AB287_.wvu.PrintArea" localSheetId="4" hidden="1">'Estado - orgânica'!$B$2:$AU$44</definedName>
    <definedName name="Z_2EA2D52B_13B2_48C6_A647_E974628AB287_.wvu.PrintArea" localSheetId="2" hidden="1">'Evolução'!$B$2:$L$352</definedName>
    <definedName name="Z_2EA2D52B_13B2_48C6_A647_E974628AB287_.wvu.PrintArea" localSheetId="1" hidden="1">'Indice_index'!$B$3:$C$10</definedName>
    <definedName name="Z_2EA2D52B_13B2_48C6_A647_E974628AB287_.wvu.PrintArea" localSheetId="6" hidden="1">'SFA - orgânica'!$B$2:$AU$48</definedName>
    <definedName name="Z_2EA2D52B_13B2_48C6_A647_E974628AB287_.wvu.PrintTitles" localSheetId="4" hidden="1">'Estado - orgânica'!$C:$C</definedName>
    <definedName name="Z_2EA2D52B_13B2_48C6_A647_E974628AB287_.wvu.PrintTitles" localSheetId="2" hidden="1">'Evolução'!$2:$2</definedName>
    <definedName name="Z_2EA2D52B_13B2_48C6_A647_E974628AB287_.wvu.PrintTitles" localSheetId="6" hidden="1">'SFA - orgânica'!$C:$C</definedName>
    <definedName name="Z_397AD331_8EE9_49A3_85C5_CAAF9519E963_.wvu.Cols" localSheetId="4" hidden="1">'Estado - orgânica'!$R:$AI</definedName>
    <definedName name="Z_397AD331_8EE9_49A3_85C5_CAAF9519E963_.wvu.Cols" localSheetId="2" hidden="1">'Evolução'!$E:$E,'Evolução'!$G:$G</definedName>
    <definedName name="Z_397AD331_8EE9_49A3_85C5_CAAF9519E963_.wvu.Cols" localSheetId="1" hidden="1">'Indice_index'!$X:$Z</definedName>
    <definedName name="Z_397AD331_8EE9_49A3_85C5_CAAF9519E963_.wvu.Cols" localSheetId="6" hidden="1">'SFA - orgânica'!$R:$AI</definedName>
    <definedName name="Z_397AD331_8EE9_49A3_85C5_CAAF9519E963_.wvu.PrintArea" localSheetId="0" hidden="1">'Capa PT'!$A$1:$J$68</definedName>
    <definedName name="Z_397AD331_8EE9_49A3_85C5_CAAF9519E963_.wvu.PrintArea" localSheetId="4" hidden="1">'Estado - orgânica'!$B$2:$AU$44</definedName>
    <definedName name="Z_397AD331_8EE9_49A3_85C5_CAAF9519E963_.wvu.PrintArea" localSheetId="2" hidden="1">'Evolução'!$B$2:$L$352</definedName>
    <definedName name="Z_397AD331_8EE9_49A3_85C5_CAAF9519E963_.wvu.PrintArea" localSheetId="1" hidden="1">'Indice_index'!$B$3:$C$10</definedName>
    <definedName name="Z_397AD331_8EE9_49A3_85C5_CAAF9519E963_.wvu.PrintArea" localSheetId="6" hidden="1">'SFA - orgânica'!$B$2:$AU$48</definedName>
    <definedName name="Z_397AD331_8EE9_49A3_85C5_CAAF9519E963_.wvu.PrintTitles" localSheetId="4" hidden="1">'Estado - orgânica'!$C:$C</definedName>
    <definedName name="Z_397AD331_8EE9_49A3_85C5_CAAF9519E963_.wvu.PrintTitles" localSheetId="2" hidden="1">'Evolução'!$2:$2</definedName>
    <definedName name="Z_397AD331_8EE9_49A3_85C5_CAAF9519E963_.wvu.PrintTitles" localSheetId="6" hidden="1">'SFA - orgânica'!$C:$C</definedName>
    <definedName name="Z_3CBF401B_BA90_4504_A812_4461208B2AAF_.wvu.Cols" localSheetId="4" hidden="1">'Estado - orgânica'!$R:$AI</definedName>
    <definedName name="Z_3CBF401B_BA90_4504_A812_4461208B2AAF_.wvu.Cols" localSheetId="2" hidden="1">'Evolução'!$E:$E,'Evolução'!$G:$G</definedName>
    <definedName name="Z_3CBF401B_BA90_4504_A812_4461208B2AAF_.wvu.Cols" localSheetId="1" hidden="1">'Indice_index'!$X:$Z</definedName>
    <definedName name="Z_3CBF401B_BA90_4504_A812_4461208B2AAF_.wvu.Cols" localSheetId="6" hidden="1">'SFA - orgânica'!$R:$AI</definedName>
    <definedName name="Z_3CBF401B_BA90_4504_A812_4461208B2AAF_.wvu.PrintArea" localSheetId="0" hidden="1">'Capa PT'!$A$1:$J$68</definedName>
    <definedName name="Z_3CBF401B_BA90_4504_A812_4461208B2AAF_.wvu.PrintArea" localSheetId="4" hidden="1">'Estado - orgânica'!$B$2:$AU$44</definedName>
    <definedName name="Z_3CBF401B_BA90_4504_A812_4461208B2AAF_.wvu.PrintArea" localSheetId="2" hidden="1">'Evolução'!$B$2:$L$352</definedName>
    <definedName name="Z_3CBF401B_BA90_4504_A812_4461208B2AAF_.wvu.PrintArea" localSheetId="1" hidden="1">'Indice_index'!$B$3:$C$10,'Indice_index'!#REF!</definedName>
    <definedName name="Z_3CBF401B_BA90_4504_A812_4461208B2AAF_.wvu.PrintArea" localSheetId="6" hidden="1">'SFA - orgânica'!$B$2:$AU$48</definedName>
    <definedName name="Z_3CBF401B_BA90_4504_A812_4461208B2AAF_.wvu.PrintTitles" localSheetId="4" hidden="1">'Estado - orgânica'!$C:$C</definedName>
    <definedName name="Z_3CBF401B_BA90_4504_A812_4461208B2AAF_.wvu.PrintTitles" localSheetId="2" hidden="1">'Evolução'!$2:$2</definedName>
    <definedName name="Z_3CBF401B_BA90_4504_A812_4461208B2AAF_.wvu.PrintTitles" localSheetId="6" hidden="1">'SFA - orgânica'!$C:$C</definedName>
    <definedName name="Z_409D0809_DA86_4C14_803D_2162A19A44FF_.wvu.Cols" localSheetId="2" hidden="1">'Evolução'!$E:$E,'Evolução'!$G:$G</definedName>
    <definedName name="Z_409D0809_DA86_4C14_803D_2162A19A44FF_.wvu.Cols" localSheetId="1" hidden="1">'Indice_index'!$X:$Z</definedName>
    <definedName name="Z_409D0809_DA86_4C14_803D_2162A19A44FF_.wvu.PrintArea" localSheetId="0" hidden="1">'Capa PT'!$A$1:$J$68</definedName>
    <definedName name="Z_409D0809_DA86_4C14_803D_2162A19A44FF_.wvu.PrintArea" localSheetId="4" hidden="1">'Estado - orgânica'!$B$2:$AU$44</definedName>
    <definedName name="Z_409D0809_DA86_4C14_803D_2162A19A44FF_.wvu.PrintArea" localSheetId="2" hidden="1">'Evolução'!$B$2:$L$352</definedName>
    <definedName name="Z_409D0809_DA86_4C14_803D_2162A19A44FF_.wvu.PrintArea" localSheetId="1" hidden="1">'Indice_index'!$B$3:$C$10</definedName>
    <definedName name="Z_409D0809_DA86_4C14_803D_2162A19A44FF_.wvu.PrintArea" localSheetId="6" hidden="1">'SFA - orgânica'!$B$2:$AU$48</definedName>
    <definedName name="Z_409D0809_DA86_4C14_803D_2162A19A44FF_.wvu.PrintTitles" localSheetId="4" hidden="1">'Estado - orgânica'!$C:$C</definedName>
    <definedName name="Z_409D0809_DA86_4C14_803D_2162A19A44FF_.wvu.PrintTitles" localSheetId="2" hidden="1">'Evolução'!$2:$2</definedName>
    <definedName name="Z_409D0809_DA86_4C14_803D_2162A19A44FF_.wvu.PrintTitles" localSheetId="6" hidden="1">'SFA - orgânica'!$C:$C</definedName>
    <definedName name="Z_43AB44CB_B133_4B3C_9B24_AA3B4A5A58A7_.wvu.Cols" localSheetId="2" hidden="1">'Evolução'!$E:$E,'Evolução'!$G:$G</definedName>
    <definedName name="Z_43AB44CB_B133_4B3C_9B24_AA3B4A5A58A7_.wvu.Cols" localSheetId="1" hidden="1">'Indice_index'!$X:$Z</definedName>
    <definedName name="Z_43AB44CB_B133_4B3C_9B24_AA3B4A5A58A7_.wvu.PrintArea" localSheetId="0" hidden="1">'Capa PT'!$A$1:$J$68</definedName>
    <definedName name="Z_43AB44CB_B133_4B3C_9B24_AA3B4A5A58A7_.wvu.PrintArea" localSheetId="4" hidden="1">'Estado - orgânica'!$B$2:$AU$44</definedName>
    <definedName name="Z_43AB44CB_B133_4B3C_9B24_AA3B4A5A58A7_.wvu.PrintArea" localSheetId="2" hidden="1">'Evolução'!$B$2:$L$352</definedName>
    <definedName name="Z_43AB44CB_B133_4B3C_9B24_AA3B4A5A58A7_.wvu.PrintArea" localSheetId="1" hidden="1">'Indice_index'!$B$3:$C$10</definedName>
    <definedName name="Z_43AB44CB_B133_4B3C_9B24_AA3B4A5A58A7_.wvu.PrintArea" localSheetId="6" hidden="1">'SFA - orgânica'!$B$2:$AU$48</definedName>
    <definedName name="Z_43AB44CB_B133_4B3C_9B24_AA3B4A5A58A7_.wvu.PrintTitles" localSheetId="4" hidden="1">'Estado - orgânica'!$C:$C</definedName>
    <definedName name="Z_43AB44CB_B133_4B3C_9B24_AA3B4A5A58A7_.wvu.PrintTitles" localSheetId="2" hidden="1">'Evolução'!$2:$2</definedName>
    <definedName name="Z_43AB44CB_B133_4B3C_9B24_AA3B4A5A58A7_.wvu.PrintTitles" localSheetId="6" hidden="1">'SFA - orgânica'!$C:$C</definedName>
    <definedName name="Z_536C31F2_3B98_44EC_AFD0_C5BCDB62B873_.wvu.Cols" localSheetId="2" hidden="1">'Evolução'!$E:$E,'Evolução'!$G:$G</definedName>
    <definedName name="Z_536C31F2_3B98_44EC_AFD0_C5BCDB62B873_.wvu.Cols" localSheetId="1" hidden="1">'Indice_index'!$X:$Z</definedName>
    <definedName name="Z_536C31F2_3B98_44EC_AFD0_C5BCDB62B873_.wvu.PrintArea" localSheetId="0" hidden="1">'Capa PT'!$A$1:$J$68</definedName>
    <definedName name="Z_536C31F2_3B98_44EC_AFD0_C5BCDB62B873_.wvu.PrintArea" localSheetId="4" hidden="1">'Estado - orgânica'!$B$2:$AU$44</definedName>
    <definedName name="Z_536C31F2_3B98_44EC_AFD0_C5BCDB62B873_.wvu.PrintArea" localSheetId="2" hidden="1">'Evolução'!$B$2:$L$352</definedName>
    <definedName name="Z_536C31F2_3B98_44EC_AFD0_C5BCDB62B873_.wvu.PrintArea" localSheetId="1" hidden="1">'Indice_index'!$B$3:$C$10</definedName>
    <definedName name="Z_536C31F2_3B98_44EC_AFD0_C5BCDB62B873_.wvu.PrintArea" localSheetId="6" hidden="1">'SFA - orgânica'!$B$2:$AU$48</definedName>
    <definedName name="Z_536C31F2_3B98_44EC_AFD0_C5BCDB62B873_.wvu.PrintTitles" localSheetId="4" hidden="1">'Estado - orgânica'!$C:$C</definedName>
    <definedName name="Z_536C31F2_3B98_44EC_AFD0_C5BCDB62B873_.wvu.PrintTitles" localSheetId="2" hidden="1">'Evolução'!$2:$2</definedName>
    <definedName name="Z_536C31F2_3B98_44EC_AFD0_C5BCDB62B873_.wvu.PrintTitles" localSheetId="6" hidden="1">'SFA - orgânica'!$C:$C</definedName>
    <definedName name="Z_60062E94_E9B0_4825_A812_182FE1DB6021_.wvu.Cols" localSheetId="4" hidden="1">'Estado - orgânica'!$R:$AI</definedName>
    <definedName name="Z_60062E94_E9B0_4825_A812_182FE1DB6021_.wvu.Cols" localSheetId="2" hidden="1">'Evolução'!$E:$E,'Evolução'!$G:$G</definedName>
    <definedName name="Z_60062E94_E9B0_4825_A812_182FE1DB6021_.wvu.Cols" localSheetId="1" hidden="1">'Indice_index'!$X:$Z</definedName>
    <definedName name="Z_60062E94_E9B0_4825_A812_182FE1DB6021_.wvu.Cols" localSheetId="6" hidden="1">'SFA - orgânica'!$R:$AI</definedName>
    <definedName name="Z_60062E94_E9B0_4825_A812_182FE1DB6021_.wvu.PrintArea" localSheetId="0" hidden="1">'Capa PT'!$A$1:$J$68</definedName>
    <definedName name="Z_60062E94_E9B0_4825_A812_182FE1DB6021_.wvu.PrintArea" localSheetId="4" hidden="1">'Estado - orgânica'!$B$2:$AU$44</definedName>
    <definedName name="Z_60062E94_E9B0_4825_A812_182FE1DB6021_.wvu.PrintArea" localSheetId="2" hidden="1">'Evolução'!$B$2:$L$352</definedName>
    <definedName name="Z_60062E94_E9B0_4825_A812_182FE1DB6021_.wvu.PrintArea" localSheetId="1" hidden="1">'Indice_index'!$B$3:$C$10</definedName>
    <definedName name="Z_60062E94_E9B0_4825_A812_182FE1DB6021_.wvu.PrintArea" localSheetId="6" hidden="1">'SFA - orgânica'!$B$2:$AU$48</definedName>
    <definedName name="Z_60062E94_E9B0_4825_A812_182FE1DB6021_.wvu.PrintTitles" localSheetId="4" hidden="1">'Estado - orgânica'!$C:$C</definedName>
    <definedName name="Z_60062E94_E9B0_4825_A812_182FE1DB6021_.wvu.PrintTitles" localSheetId="2" hidden="1">'Evolução'!$2:$2</definedName>
    <definedName name="Z_60062E94_E9B0_4825_A812_182FE1DB6021_.wvu.PrintTitles" localSheetId="6" hidden="1">'SFA - orgânica'!$C:$C</definedName>
    <definedName name="Z_7C9CF15C_1C68_49F7_9700_3FAC67AFF208_.wvu.Cols" localSheetId="4" hidden="1">'Estado - orgânica'!$R:$AI</definedName>
    <definedName name="Z_7C9CF15C_1C68_49F7_9700_3FAC67AFF208_.wvu.Cols" localSheetId="2" hidden="1">'Evolução'!$E:$E,'Evolução'!$G:$G</definedName>
    <definedName name="Z_7C9CF15C_1C68_49F7_9700_3FAC67AFF208_.wvu.Cols" localSheetId="1" hidden="1">'Indice_index'!$X:$Z</definedName>
    <definedName name="Z_7C9CF15C_1C68_49F7_9700_3FAC67AFF208_.wvu.Cols" localSheetId="6" hidden="1">'SFA - orgânica'!$R:$AI</definedName>
    <definedName name="Z_7C9CF15C_1C68_49F7_9700_3FAC67AFF208_.wvu.PrintArea" localSheetId="0" hidden="1">'Capa PT'!$A$8:$J$68,'Capa PT'!$A$70:$J$150</definedName>
    <definedName name="Z_7C9CF15C_1C68_49F7_9700_3FAC67AFF208_.wvu.PrintArea" localSheetId="4" hidden="1">'Estado - orgânica'!$B$2:$AU$44</definedName>
    <definedName name="Z_7C9CF15C_1C68_49F7_9700_3FAC67AFF208_.wvu.PrintArea" localSheetId="2" hidden="1">'Evolução'!$B$2:$L$352</definedName>
    <definedName name="Z_7C9CF15C_1C68_49F7_9700_3FAC67AFF208_.wvu.PrintArea" localSheetId="1" hidden="1">'Indice_index'!$B$3:$C$10</definedName>
    <definedName name="Z_7C9CF15C_1C68_49F7_9700_3FAC67AFF208_.wvu.PrintArea" localSheetId="6" hidden="1">'SFA - orgânica'!$B$2:$AU$48</definedName>
    <definedName name="Z_7C9CF15C_1C68_49F7_9700_3FAC67AFF208_.wvu.PrintTitles" localSheetId="4" hidden="1">'Estado - orgânica'!$C:$C</definedName>
    <definedName name="Z_7C9CF15C_1C68_49F7_9700_3FAC67AFF208_.wvu.PrintTitles" localSheetId="2" hidden="1">'Evolução'!$2:$2</definedName>
    <definedName name="Z_7C9CF15C_1C68_49F7_9700_3FAC67AFF208_.wvu.PrintTitles" localSheetId="6" hidden="1">'SFA - orgânica'!$C:$C</definedName>
    <definedName name="Z_9177A1FF_E4C8_4A1B_B90F_C92196CC7C57_.wvu.Cols" localSheetId="2" hidden="1">'Evolução'!$E:$E,'Evolução'!$G:$G</definedName>
    <definedName name="Z_9177A1FF_E4C8_4A1B_B90F_C92196CC7C57_.wvu.Cols" localSheetId="1" hidden="1">'Indice_index'!$X:$Z</definedName>
    <definedName name="Z_9177A1FF_E4C8_4A1B_B90F_C92196CC7C57_.wvu.PrintArea" localSheetId="0" hidden="1">'Capa PT'!$A$1:$J$68</definedName>
    <definedName name="Z_9177A1FF_E4C8_4A1B_B90F_C92196CC7C57_.wvu.PrintArea" localSheetId="4" hidden="1">'Estado - orgânica'!$B$2:$AU$44</definedName>
    <definedName name="Z_9177A1FF_E4C8_4A1B_B90F_C92196CC7C57_.wvu.PrintArea" localSheetId="2" hidden="1">'Evolução'!$B$2:$L$352</definedName>
    <definedName name="Z_9177A1FF_E4C8_4A1B_B90F_C92196CC7C57_.wvu.PrintArea" localSheetId="1" hidden="1">'Indice_index'!$B$3:$C$10</definedName>
    <definedName name="Z_9177A1FF_E4C8_4A1B_B90F_C92196CC7C57_.wvu.PrintArea" localSheetId="6" hidden="1">'SFA - orgânica'!$B$2:$AU$48</definedName>
    <definedName name="Z_9177A1FF_E4C8_4A1B_B90F_C92196CC7C57_.wvu.PrintTitles" localSheetId="4" hidden="1">'Estado - orgânica'!$C:$C</definedName>
    <definedName name="Z_9177A1FF_E4C8_4A1B_B90F_C92196CC7C57_.wvu.PrintTitles" localSheetId="2" hidden="1">'Evolução'!$2:$2</definedName>
    <definedName name="Z_9177A1FF_E4C8_4A1B_B90F_C92196CC7C57_.wvu.PrintTitles" localSheetId="6" hidden="1">'SFA - orgânica'!$C:$C</definedName>
    <definedName name="Z_995CCCB8_BF97_4653_A7C0_86012B807DB5_.wvu.Cols" localSheetId="4" hidden="1">'Estado - orgânica'!$R:$AI</definedName>
    <definedName name="Z_995CCCB8_BF97_4653_A7C0_86012B807DB5_.wvu.Cols" localSheetId="2" hidden="1">'Evolução'!$E:$E,'Evolução'!$G:$G</definedName>
    <definedName name="Z_995CCCB8_BF97_4653_A7C0_86012B807DB5_.wvu.Cols" localSheetId="1" hidden="1">'Indice_index'!$X:$Z</definedName>
    <definedName name="Z_995CCCB8_BF97_4653_A7C0_86012B807DB5_.wvu.Cols" localSheetId="6" hidden="1">'SFA - orgânica'!$R:$AI</definedName>
    <definedName name="Z_995CCCB8_BF97_4653_A7C0_86012B807DB5_.wvu.PrintArea" localSheetId="0" hidden="1">'Capa PT'!$A$8:$J$68,'Capa PT'!$A$70:$J$150</definedName>
    <definedName name="Z_995CCCB8_BF97_4653_A7C0_86012B807DB5_.wvu.PrintArea" localSheetId="4" hidden="1">'Estado - orgânica'!$B$2:$AU$44</definedName>
    <definedName name="Z_995CCCB8_BF97_4653_A7C0_86012B807DB5_.wvu.PrintArea" localSheetId="2" hidden="1">'Evolução'!$B$2:$L$352</definedName>
    <definedName name="Z_995CCCB8_BF97_4653_A7C0_86012B807DB5_.wvu.PrintArea" localSheetId="1" hidden="1">'Indice_index'!$B$3:$C$10</definedName>
    <definedName name="Z_995CCCB8_BF97_4653_A7C0_86012B807DB5_.wvu.PrintArea" localSheetId="6" hidden="1">'SFA - orgânica'!$B$2:$AU$48</definedName>
    <definedName name="Z_995CCCB8_BF97_4653_A7C0_86012B807DB5_.wvu.PrintTitles" localSheetId="4" hidden="1">'Estado - orgânica'!$C:$C</definedName>
    <definedName name="Z_995CCCB8_BF97_4653_A7C0_86012B807DB5_.wvu.PrintTitles" localSheetId="2" hidden="1">'Evolução'!$2:$2</definedName>
    <definedName name="Z_995CCCB8_BF97_4653_A7C0_86012B807DB5_.wvu.PrintTitles" localSheetId="6" hidden="1">'SFA - orgânica'!$C:$C</definedName>
    <definedName name="Z_9C8E7FE3_A7A1_4D36_A156_3751861446D4_.wvu.Cols" localSheetId="4" hidden="1">'Estado - orgânica'!$R:$AI</definedName>
    <definedName name="Z_9C8E7FE3_A7A1_4D36_A156_3751861446D4_.wvu.Cols" localSheetId="2" hidden="1">'Evolução'!$E:$E,'Evolução'!$G:$G</definedName>
    <definedName name="Z_9C8E7FE3_A7A1_4D36_A156_3751861446D4_.wvu.Cols" localSheetId="1" hidden="1">'Indice_index'!$X:$Z</definedName>
    <definedName name="Z_9C8E7FE3_A7A1_4D36_A156_3751861446D4_.wvu.Cols" localSheetId="6" hidden="1">'SFA - orgânica'!$R:$AI</definedName>
    <definedName name="Z_9C8E7FE3_A7A1_4D36_A156_3751861446D4_.wvu.PrintArea" localSheetId="0" hidden="1">'Capa PT'!$A$1:$J$68</definedName>
    <definedName name="Z_9C8E7FE3_A7A1_4D36_A156_3751861446D4_.wvu.PrintArea" localSheetId="4" hidden="1">'Estado - orgânica'!$B$2:$AU$44</definedName>
    <definedName name="Z_9C8E7FE3_A7A1_4D36_A156_3751861446D4_.wvu.PrintArea" localSheetId="2" hidden="1">'Evolução'!$B$2:$L$352</definedName>
    <definedName name="Z_9C8E7FE3_A7A1_4D36_A156_3751861446D4_.wvu.PrintArea" localSheetId="1" hidden="1">'Indice_index'!$B$3:$C$10</definedName>
    <definedName name="Z_9C8E7FE3_A7A1_4D36_A156_3751861446D4_.wvu.PrintArea" localSheetId="6" hidden="1">'SFA - orgânica'!$B$2:$AU$48</definedName>
    <definedName name="Z_9C8E7FE3_A7A1_4D36_A156_3751861446D4_.wvu.PrintTitles" localSheetId="4" hidden="1">'Estado - orgânica'!$C:$C</definedName>
    <definedName name="Z_9C8E7FE3_A7A1_4D36_A156_3751861446D4_.wvu.PrintTitles" localSheetId="2" hidden="1">'Evolução'!$2:$2</definedName>
    <definedName name="Z_9C8E7FE3_A7A1_4D36_A156_3751861446D4_.wvu.PrintTitles" localSheetId="6" hidden="1">'SFA - orgânica'!$C:$C</definedName>
    <definedName name="Z_B22C7842_6BF9_4A1C_B06C_2AD9B9A784D4_.wvu.Cols" localSheetId="4" hidden="1">'Estado - orgânica'!$R:$AI</definedName>
    <definedName name="Z_B22C7842_6BF9_4A1C_B06C_2AD9B9A784D4_.wvu.Cols" localSheetId="2" hidden="1">'Evolução'!$E:$E,'Evolução'!$G:$G</definedName>
    <definedName name="Z_B22C7842_6BF9_4A1C_B06C_2AD9B9A784D4_.wvu.Cols" localSheetId="1" hidden="1">'Indice_index'!$X:$Z</definedName>
    <definedName name="Z_B22C7842_6BF9_4A1C_B06C_2AD9B9A784D4_.wvu.Cols" localSheetId="6" hidden="1">'SFA - orgânica'!$R:$AI</definedName>
    <definedName name="Z_B22C7842_6BF9_4A1C_B06C_2AD9B9A784D4_.wvu.PrintArea" localSheetId="0" hidden="1">'Capa PT'!$A$1:$J$68</definedName>
    <definedName name="Z_B22C7842_6BF9_4A1C_B06C_2AD9B9A784D4_.wvu.PrintArea" localSheetId="4" hidden="1">'Estado - orgânica'!$B$2:$AU$44</definedName>
    <definedName name="Z_B22C7842_6BF9_4A1C_B06C_2AD9B9A784D4_.wvu.PrintArea" localSheetId="2" hidden="1">'Evolução'!$B$2:$L$352</definedName>
    <definedName name="Z_B22C7842_6BF9_4A1C_B06C_2AD9B9A784D4_.wvu.PrintArea" localSheetId="1" hidden="1">'Indice_index'!$B$3:$C$10</definedName>
    <definedName name="Z_B22C7842_6BF9_4A1C_B06C_2AD9B9A784D4_.wvu.PrintArea" localSheetId="6" hidden="1">'SFA - orgânica'!$B$2:$AU$48</definedName>
    <definedName name="Z_B22C7842_6BF9_4A1C_B06C_2AD9B9A784D4_.wvu.PrintTitles" localSheetId="4" hidden="1">'Estado - orgânica'!$C:$C</definedName>
    <definedName name="Z_B22C7842_6BF9_4A1C_B06C_2AD9B9A784D4_.wvu.PrintTitles" localSheetId="2" hidden="1">'Evolução'!$2:$2</definedName>
    <definedName name="Z_B22C7842_6BF9_4A1C_B06C_2AD9B9A784D4_.wvu.PrintTitles" localSheetId="6" hidden="1">'SFA - orgânica'!$C:$C</definedName>
    <definedName name="Z_C2013F6E_CF9D_4172_87F3_B954A090B414_.wvu.PrintArea" localSheetId="4" hidden="1">'Estado - orgânica'!$D$2:$Q$43</definedName>
    <definedName name="Z_C2013F6E_CF9D_4172_87F3_B954A090B414_.wvu.PrintArea" localSheetId="6" hidden="1">'SFA - orgânica'!$D$2:$Q$47</definedName>
    <definedName name="Z_C403553D_352C_44B6_83D8_441F3A96C5BE_.wvu.Cols" localSheetId="4" hidden="1">'Estado - orgânica'!$S:$AF</definedName>
    <definedName name="Z_C403553D_352C_44B6_83D8_441F3A96C5BE_.wvu.Cols" localSheetId="2" hidden="1">'Evolução'!$E:$E,'Evolução'!$G:$G</definedName>
    <definedName name="Z_C403553D_352C_44B6_83D8_441F3A96C5BE_.wvu.Cols" localSheetId="1" hidden="1">'Indice_index'!$X:$Z</definedName>
    <definedName name="Z_C403553D_352C_44B6_83D8_441F3A96C5BE_.wvu.Cols" localSheetId="6" hidden="1">'SFA - orgânica'!$S:$AF</definedName>
    <definedName name="Z_C403553D_352C_44B6_83D8_441F3A96C5BE_.wvu.PrintArea" localSheetId="0" hidden="1">'Capa PT'!$A$1:$J$68,'Capa PT'!$A$70:$J$117</definedName>
    <definedName name="Z_C403553D_352C_44B6_83D8_441F3A96C5BE_.wvu.PrintArea" localSheetId="4" hidden="1">'Estado - orgânica'!$B$2:$AU$44</definedName>
    <definedName name="Z_C403553D_352C_44B6_83D8_441F3A96C5BE_.wvu.PrintArea" localSheetId="2" hidden="1">'Evolução'!$B$2:$L$352</definedName>
    <definedName name="Z_C403553D_352C_44B6_83D8_441F3A96C5BE_.wvu.PrintArea" localSheetId="1" hidden="1">'Indice_index'!$B$3:$C$10,'Indice_index'!#REF!</definedName>
    <definedName name="Z_C403553D_352C_44B6_83D8_441F3A96C5BE_.wvu.PrintArea" localSheetId="6" hidden="1">'SFA - orgânica'!$B$2:$AU$48</definedName>
    <definedName name="Z_C403553D_352C_44B6_83D8_441F3A96C5BE_.wvu.PrintTitles" localSheetId="4" hidden="1">'Estado - orgânica'!$C:$C</definedName>
    <definedName name="Z_C403553D_352C_44B6_83D8_441F3A96C5BE_.wvu.PrintTitles" localSheetId="2" hidden="1">'Evolução'!$2:$2</definedName>
    <definedName name="Z_C403553D_352C_44B6_83D8_441F3A96C5BE_.wvu.PrintTitles" localSheetId="6" hidden="1">'SFA - orgânica'!$C:$C</definedName>
    <definedName name="Z_DB1D3FDB_E0D5_4FD7_BD6E_EC28675EBF68_.wvu.Cols" localSheetId="4" hidden="1">'Estado - orgânica'!$R:$AI</definedName>
    <definedName name="Z_DB1D3FDB_E0D5_4FD7_BD6E_EC28675EBF68_.wvu.Cols" localSheetId="2" hidden="1">'Evolução'!$E:$E,'Evolução'!$G:$G</definedName>
    <definedName name="Z_DB1D3FDB_E0D5_4FD7_BD6E_EC28675EBF68_.wvu.Cols" localSheetId="1" hidden="1">'Indice_index'!$X:$Z</definedName>
    <definedName name="Z_DB1D3FDB_E0D5_4FD7_BD6E_EC28675EBF68_.wvu.Cols" localSheetId="6" hidden="1">'SFA - orgânica'!$R:$AI</definedName>
    <definedName name="Z_DB1D3FDB_E0D5_4FD7_BD6E_EC28675EBF68_.wvu.PrintArea" localSheetId="0" hidden="1">'Capa PT'!$A$1:$J$68</definedName>
    <definedName name="Z_DB1D3FDB_E0D5_4FD7_BD6E_EC28675EBF68_.wvu.PrintArea" localSheetId="4" hidden="1">'Estado - orgânica'!$B$2:$AU$44</definedName>
    <definedName name="Z_DB1D3FDB_E0D5_4FD7_BD6E_EC28675EBF68_.wvu.PrintArea" localSheetId="2" hidden="1">'Evolução'!$B$2:$L$352</definedName>
    <definedName name="Z_DB1D3FDB_E0D5_4FD7_BD6E_EC28675EBF68_.wvu.PrintArea" localSheetId="1" hidden="1">'Indice_index'!$B$3:$C$10</definedName>
    <definedName name="Z_DB1D3FDB_E0D5_4FD7_BD6E_EC28675EBF68_.wvu.PrintArea" localSheetId="6" hidden="1">'SFA - orgânica'!$B$2:$AU$48</definedName>
    <definedName name="Z_DB1D3FDB_E0D5_4FD7_BD6E_EC28675EBF68_.wvu.PrintTitles" localSheetId="4" hidden="1">'Estado - orgânica'!$C:$C</definedName>
    <definedName name="Z_DB1D3FDB_E0D5_4FD7_BD6E_EC28675EBF68_.wvu.PrintTitles" localSheetId="2" hidden="1">'Evolução'!$2:$2</definedName>
    <definedName name="Z_DB1D3FDB_E0D5_4FD7_BD6E_EC28675EBF68_.wvu.PrintTitles" localSheetId="6" hidden="1">'SFA - orgânica'!$C:$C</definedName>
    <definedName name="Z_E424CD16_C6CB_4435_8379_83DB8236700E_.wvu.Cols" localSheetId="4" hidden="1">'Estado - orgânica'!$S:$AF</definedName>
    <definedName name="Z_E424CD16_C6CB_4435_8379_83DB8236700E_.wvu.Cols" localSheetId="2" hidden="1">'Evolução'!$E:$E,'Evolução'!$G:$G</definedName>
    <definedName name="Z_E424CD16_C6CB_4435_8379_83DB8236700E_.wvu.Cols" localSheetId="1" hidden="1">'Indice_index'!$X:$Z</definedName>
    <definedName name="Z_E424CD16_C6CB_4435_8379_83DB8236700E_.wvu.Cols" localSheetId="6" hidden="1">'SFA - orgânica'!$S:$AF</definedName>
    <definedName name="Z_E424CD16_C6CB_4435_8379_83DB8236700E_.wvu.PrintArea" localSheetId="0" hidden="1">'Capa PT'!$A$1:$J$68,'Capa PT'!$A$70:$J$117</definedName>
    <definedName name="Z_E424CD16_C6CB_4435_8379_83DB8236700E_.wvu.PrintArea" localSheetId="4" hidden="1">'Estado - orgânica'!$B$2:$AU$44</definedName>
    <definedName name="Z_E424CD16_C6CB_4435_8379_83DB8236700E_.wvu.PrintArea" localSheetId="2" hidden="1">'Evolução'!$B$2:$L$352</definedName>
    <definedName name="Z_E424CD16_C6CB_4435_8379_83DB8236700E_.wvu.PrintArea" localSheetId="1" hidden="1">'Indice_index'!$B$3:$C$10,'Indice_index'!#REF!</definedName>
    <definedName name="Z_E424CD16_C6CB_4435_8379_83DB8236700E_.wvu.PrintArea" localSheetId="6" hidden="1">'SFA - orgânica'!$B$2:$AU$48</definedName>
    <definedName name="Z_E424CD16_C6CB_4435_8379_83DB8236700E_.wvu.PrintTitles" localSheetId="4" hidden="1">'Estado - orgânica'!$C:$C</definedName>
    <definedName name="Z_E424CD16_C6CB_4435_8379_83DB8236700E_.wvu.PrintTitles" localSheetId="2" hidden="1">'Evolução'!$2:$2</definedName>
    <definedName name="Z_E424CD16_C6CB_4435_8379_83DB8236700E_.wvu.PrintTitles" localSheetId="6" hidden="1">'SFA - orgânica'!$C:$C</definedName>
    <definedName name="Z_E424CD16_C6CB_4435_8379_83DB8236700E_.wvu.Rows" localSheetId="1" hidden="1">'Indice_index'!#REF!</definedName>
    <definedName name="Z_EBA68B69_6D6E_44F8_8C51_9491A55275C5_.wvu.Cols" localSheetId="4" hidden="1">'Estado - orgânica'!$R:$AI</definedName>
    <definedName name="Z_EBA68B69_6D6E_44F8_8C51_9491A55275C5_.wvu.Cols" localSheetId="2" hidden="1">'Evolução'!$E:$E,'Evolução'!$G:$G</definedName>
    <definedName name="Z_EBA68B69_6D6E_44F8_8C51_9491A55275C5_.wvu.Cols" localSheetId="1" hidden="1">'Indice_index'!$X:$Z</definedName>
    <definedName name="Z_EBA68B69_6D6E_44F8_8C51_9491A55275C5_.wvu.Cols" localSheetId="6" hidden="1">'SFA - orgânica'!$R:$AI</definedName>
    <definedName name="Z_EBA68B69_6D6E_44F8_8C51_9491A55275C5_.wvu.PrintArea" localSheetId="0" hidden="1">'Capa PT'!$A$1:$J$68</definedName>
    <definedName name="Z_EBA68B69_6D6E_44F8_8C51_9491A55275C5_.wvu.PrintArea" localSheetId="4" hidden="1">'Estado - orgânica'!$B$2:$AU$44</definedName>
    <definedName name="Z_EBA68B69_6D6E_44F8_8C51_9491A55275C5_.wvu.PrintArea" localSheetId="2" hidden="1">'Evolução'!$B$2:$L$352</definedName>
    <definedName name="Z_EBA68B69_6D6E_44F8_8C51_9491A55275C5_.wvu.PrintArea" localSheetId="1" hidden="1">'Indice_index'!$B$3:$C$10</definedName>
    <definedName name="Z_EBA68B69_6D6E_44F8_8C51_9491A55275C5_.wvu.PrintArea" localSheetId="6" hidden="1">'SFA - orgânica'!$B$2:$AU$48</definedName>
    <definedName name="Z_EBA68B69_6D6E_44F8_8C51_9491A55275C5_.wvu.PrintTitles" localSheetId="4" hidden="1">'Estado - orgânica'!$C:$C</definedName>
    <definedName name="Z_EBA68B69_6D6E_44F8_8C51_9491A55275C5_.wvu.PrintTitles" localSheetId="2" hidden="1">'Evolução'!$2:$2</definedName>
    <definedName name="Z_EBA68B69_6D6E_44F8_8C51_9491A55275C5_.wvu.PrintTitles" localSheetId="6" hidden="1">'SFA - orgânica'!$C:$C</definedName>
  </definedNames>
  <calcPr fullCalcOnLoad="1"/>
</workbook>
</file>

<file path=xl/sharedStrings.xml><?xml version="1.0" encoding="utf-8"?>
<sst xmlns="http://schemas.openxmlformats.org/spreadsheetml/2006/main" count="108" uniqueCount="18">
  <si>
    <t>Português</t>
  </si>
  <si>
    <t>English</t>
  </si>
  <si>
    <t>2009</t>
  </si>
  <si>
    <t>2010</t>
  </si>
  <si>
    <t>2011</t>
  </si>
  <si>
    <t>2012</t>
  </si>
  <si>
    <t>-</t>
  </si>
  <si>
    <t>2013</t>
  </si>
  <si>
    <t>Nota:</t>
  </si>
  <si>
    <t xml:space="preserve"> </t>
  </si>
  <si>
    <t>TOTAL</t>
  </si>
  <si>
    <t>Escolher Língua :
Choose Language :</t>
  </si>
  <si>
    <t>Funções Gerais de Soberania</t>
  </si>
  <si>
    <t>Funções Sociais</t>
  </si>
  <si>
    <t>Funções Económicas</t>
  </si>
  <si>
    <t>Outras Funções</t>
  </si>
  <si>
    <t>Fonte: Ministério das Finanças</t>
  </si>
  <si>
    <t>dos quais:</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</si>
</sst>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00000"/>
    <numFmt numFmtId="167" formatCode="_-* #,##0.00\ [$€]_-;\-* #,##0.00\ [$€]_-;_-* &quot;-&quot;??\ [$€]_-;_-@_-"/>
    <numFmt numFmtId="168" formatCode="_-* #,##0.00\ [$€-1]_-;\-* #,##0.00\ [$€-1]_-;_-* &quot;-&quot;??\ [$€-1]_-"/>
    <numFmt numFmtId="169" formatCode="_-* #,##0.00\ &quot;Esc.&quot;_-;\-* #,##0.00\ &quot;Esc.&quot;_-;_-* &quot;-&quot;??\ &quot;Esc.&quot;_-;_-@_-"/>
    <numFmt numFmtId="170" formatCode="_(* #,##0.00_);_(* \(#,##0.00\);_(* &quot;-&quot;??_);_(@_)"/>
    <numFmt numFmtId="171" formatCode="_-* #,##0.00\ _E_s_c_._-;\-* #,##0.00\ _E_s_c_._-;_-* &quot;-&quot;??\ _E_s_c_._-;_-@_-"/>
    <numFmt numFmtId="172" formatCode="0.0"/>
    <numFmt numFmtId="173" formatCode="_-* #,##0\ [$€-1]_-;\-* #,##0\ [$€-1]_-;_-* &quot;-&quot;??\ [$€-1]_-"/>
    <numFmt numFmtId="174" formatCode="[$-409]mmm\-yy;@"/>
    <numFmt numFmtId="175" formatCode="#,##0;\(#,##0\)"/>
    <numFmt numFmtId="176" formatCode="#,##0;\-#,##0;\-"/>
    <numFmt numFmtId="177" formatCode="&quot;$&quot;#,##0.00_);[Red]\(&quot;$&quot;#,##0.00\)"/>
    <numFmt numFmtId="178" formatCode="0.000"/>
    <numFmt numFmtId="179" formatCode="&quot;Perpetuidade (g= &quot;0.0%&quot;)&quot;"/>
    <numFmt numFmtId="180" formatCode="[$-409]mmm/yy;@"/>
    <numFmt numFmtId="181" formatCode="_-* #,##0.0\ &quot;€&quot;_-;\-* #,##0.0\ &quot;€&quot;_-;_-* &quot;-&quot;??\ &quot;€&quot;_-;_-@_-"/>
    <numFmt numFmtId="182" formatCode="_-* #,##0\ &quot;€&quot;_-;\-* #,##0\ &quot;€&quot;_-;_-* &quot;-&quot;??\ &quot;€&quot;_-;_-@_-"/>
    <numFmt numFmtId="183" formatCode="&quot;$&quot;#,##0.00_);\(&quot;$&quot;#,##0.00\)"/>
    <numFmt numFmtId="184" formatCode="_(&quot;$&quot;* #,##0.00_);_(&quot;$&quot;* \(#,##0.00\);_(&quot;$&quot;* &quot;-&quot;??_);_(@_)"/>
    <numFmt numFmtId="185" formatCode="&quot;$&quot;#,##0_);\(&quot;$&quot;#,##0\)"/>
    <numFmt numFmtId="186" formatCode="mmmm\ d\,\ yyyy"/>
    <numFmt numFmtId="187" formatCode="#,##0.000"/>
    <numFmt numFmtId="188" formatCode="mmm\-d\-yyyy"/>
    <numFmt numFmtId="189" formatCode="#,##0.0_);[Red]\(#,##0.0\)"/>
    <numFmt numFmtId="190" formatCode="0.0%;[Red]\(0.0%\)"/>
    <numFmt numFmtId="191" formatCode="_-* #,##0.00\ _P_t_s_-;\-* #,##0.00\ _P_t_s_-;_-* &quot;-&quot;??\ _P_t_s_-;_-@_-"/>
    <numFmt numFmtId="192" formatCode="_-* #,##0.00\ &quot;Pts&quot;_-;\-* #,##0.00\ &quot;Pts&quot;_-;_-* &quot;-&quot;??\ &quot;Pts&quot;_-;_-@_-"/>
    <numFmt numFmtId="193" formatCode="#,##0\ "/>
    <numFmt numFmtId="194" formatCode="0.00_)"/>
    <numFmt numFmtId="195" formatCode="#,##0.000_);[Red]\(#,##0.000\)"/>
    <numFmt numFmtId="196" formatCode="_-* #,##0\ _€_-;\-* #,##0\ _€_-;_-* &quot;-&quot;??\ _€_-;_-@_-"/>
    <numFmt numFmtId="197" formatCode="0_)"/>
    <numFmt numFmtId="198" formatCode="0.00%;[Red]\(0.00%\)"/>
    <numFmt numFmtId="199" formatCode="0.0%&quot;Sales&quot;"/>
    <numFmt numFmtId="200" formatCode="#,##0.00000000000"/>
    <numFmt numFmtId="201" formatCode="#,##0.00000000000000"/>
    <numFmt numFmtId="202" formatCode="#,##0.00000000"/>
    <numFmt numFmtId="203" formatCode="#,##0.0000000"/>
    <numFmt numFmtId="204" formatCode="[$-816]dd/mmm/yy;@"/>
    <numFmt numFmtId="205" formatCode="[$-816]d/mmm/yy;@"/>
    <numFmt numFmtId="206" formatCode="#,##0.000;[Red]&quot;-&quot;#,##0.000"/>
    <numFmt numFmtId="207" formatCode="#,##0.00;[Red]&quot;-&quot;#,##0.00"/>
    <numFmt numFmtId="208" formatCode="_-* #,##0.000\ _€_-;\-* #,##0.000\ _€_-;_-* &quot;-&quot;??\ _€_-;_-@_-"/>
    <numFmt numFmtId="209" formatCode="_-* #,##0.0000\ _€_-;\-* #,##0.0000\ _€_-;_-* &quot;-&quot;??\ _€_-;_-@_-"/>
    <numFmt numFmtId="210" formatCode="_-* #,##0.00000\ _€_-;\-* #,##0.00000\ _€_-;_-* &quot;-&quot;??\ _€_-;_-@_-"/>
  </numFmts>
  <fonts count="151">
    <font>
      <sz val="10"/>
      <name val="Arial"/>
      <family val="2"/>
    </font>
    <font>
      <sz val="11"/>
      <color indexed="8"/>
      <name val="Calibri"/>
      <family val="2"/>
    </font>
    <font>
      <sz val="11"/>
      <color indexed="17"/>
      <name val="Calibri"/>
      <family val="2"/>
    </font>
    <font>
      <sz val="11"/>
      <color indexed="60"/>
      <name val="Calibri"/>
      <family val="2"/>
    </font>
    <font>
      <sz val="11"/>
      <color indexed="62"/>
      <name val="Calibri"/>
      <family val="2"/>
    </font>
    <font>
      <b/>
      <sz val="11"/>
      <color indexed="52"/>
      <name val="Calibri"/>
      <family val="2"/>
    </font>
    <font>
      <sz val="12"/>
      <name val="Times New Roman"/>
      <family val="1"/>
    </font>
    <font>
      <sz val="9"/>
      <name val="Calibri"/>
      <family val="2"/>
    </font>
    <font>
      <b/>
      <sz val="15"/>
      <color indexed="56"/>
      <name val="Calibri"/>
      <family val="2"/>
    </font>
    <font>
      <b/>
      <sz val="14"/>
      <color indexed="9"/>
      <name val="Calibri"/>
      <family val="2"/>
    </font>
    <font>
      <sz val="8"/>
      <name val="Calibri"/>
      <family val="2"/>
    </font>
    <font>
      <sz val="9"/>
      <color indexed="9"/>
      <name val="Calibri"/>
      <family val="2"/>
    </font>
    <font>
      <b/>
      <sz val="9"/>
      <name val="Calibri"/>
      <family val="2"/>
    </font>
    <font>
      <sz val="10"/>
      <name val="Times New Roman"/>
      <family val="1"/>
    </font>
    <font>
      <b/>
      <sz val="8"/>
      <name val="Calibri"/>
      <family val="2"/>
    </font>
    <font>
      <b/>
      <sz val="9"/>
      <color indexed="9"/>
      <name val="Calibri"/>
      <family val="2"/>
    </font>
    <font>
      <sz val="8"/>
      <color indexed="10"/>
      <name val="Calibri"/>
      <family val="2"/>
    </font>
    <font>
      <b/>
      <sz val="8"/>
      <color indexed="12"/>
      <name val="Calibri"/>
      <family val="2"/>
    </font>
    <font>
      <sz val="8"/>
      <color indexed="12"/>
      <name val="Calibri"/>
      <family val="2"/>
    </font>
    <font>
      <b/>
      <sz val="9"/>
      <color indexed="12"/>
      <name val="Calibri"/>
      <family val="2"/>
    </font>
    <font>
      <sz val="11"/>
      <color indexed="9"/>
      <name val="Calibri"/>
      <family val="2"/>
    </font>
    <font>
      <sz val="10"/>
      <color indexed="9"/>
      <name val="Arial"/>
      <family val="2"/>
    </font>
    <font>
      <sz val="10"/>
      <color indexed="8"/>
      <name val="Arial"/>
      <family val="2"/>
    </font>
    <font>
      <sz val="10"/>
      <color indexed="16"/>
      <name val="Arial"/>
      <family val="2"/>
    </font>
    <font>
      <b/>
      <sz val="13"/>
      <color indexed="56"/>
      <name val="Calibri"/>
      <family val="2"/>
    </font>
    <font>
      <b/>
      <sz val="11"/>
      <color indexed="56"/>
      <name val="Calibri"/>
      <family val="2"/>
    </font>
    <font>
      <b/>
      <sz val="10"/>
      <color indexed="53"/>
      <name val="Arial"/>
      <family val="2"/>
    </font>
    <font>
      <sz val="11"/>
      <color indexed="52"/>
      <name val="Calibri"/>
      <family val="2"/>
    </font>
    <font>
      <b/>
      <sz val="10"/>
      <color indexed="9"/>
      <name val="Arial"/>
      <family val="2"/>
    </font>
    <font>
      <b/>
      <sz val="10"/>
      <color indexed="8"/>
      <name val="Arial"/>
      <family val="2"/>
    </font>
    <font>
      <i/>
      <sz val="11"/>
      <color indexed="23"/>
      <name val="Calibri"/>
      <family val="2"/>
    </font>
    <font>
      <u val="single"/>
      <sz val="11"/>
      <color indexed="12"/>
      <name val="Calibri"/>
      <family val="2"/>
    </font>
    <font>
      <sz val="11"/>
      <color indexed="20"/>
      <name val="Calibri"/>
      <family val="2"/>
    </font>
    <font>
      <sz val="10"/>
      <color indexed="60"/>
      <name val="Arial"/>
      <family val="2"/>
    </font>
    <font>
      <sz val="10"/>
      <name val="MS Sans Serif"/>
      <family val="2"/>
    </font>
    <font>
      <b/>
      <sz val="10"/>
      <color indexed="63"/>
      <name val="Arial"/>
      <family val="2"/>
    </font>
    <font>
      <b/>
      <sz val="11"/>
      <color indexed="63"/>
      <name val="Calibri"/>
      <family val="2"/>
    </font>
    <font>
      <b/>
      <sz val="18"/>
      <color indexed="62"/>
      <name val="Cambria"/>
      <family val="2"/>
    </font>
    <font>
      <sz val="11"/>
      <color indexed="10"/>
      <name val="Calibri"/>
      <family val="2"/>
    </font>
    <font>
      <b/>
      <sz val="18"/>
      <color indexed="56"/>
      <name val="Cambria"/>
      <family val="2"/>
    </font>
    <font>
      <b/>
      <sz val="11"/>
      <color indexed="8"/>
      <name val="Calibri"/>
      <family val="2"/>
    </font>
    <font>
      <b/>
      <sz val="11"/>
      <color indexed="9"/>
      <name val="Calibri"/>
      <family val="2"/>
    </font>
    <font>
      <sz val="10"/>
      <name val="Tahoma"/>
      <family val="2"/>
    </font>
    <font>
      <b/>
      <sz val="14"/>
      <color indexed="56"/>
      <name val="Calibri"/>
      <family val="2"/>
    </font>
    <font>
      <b/>
      <sz val="9"/>
      <color indexed="56"/>
      <name val="Calibri"/>
      <family val="2"/>
    </font>
    <font>
      <sz val="8"/>
      <color indexed="56"/>
      <name val="Calibri"/>
      <family val="2"/>
    </font>
    <font>
      <sz val="10"/>
      <name val="Calibri"/>
      <family val="2"/>
    </font>
    <font>
      <b/>
      <sz val="10"/>
      <color indexed="56"/>
      <name val="Calibri"/>
      <family val="2"/>
    </font>
    <font>
      <sz val="10"/>
      <color indexed="56"/>
      <name val="Calibri"/>
      <family val="2"/>
    </font>
    <font>
      <sz val="10"/>
      <color indexed="18"/>
      <name val="Calibri"/>
      <family val="2"/>
    </font>
    <font>
      <b/>
      <sz val="10"/>
      <name val="Calibri"/>
      <family val="2"/>
    </font>
    <font>
      <b/>
      <sz val="10"/>
      <color indexed="12"/>
      <name val="Calibri"/>
      <family val="2"/>
    </font>
    <font>
      <sz val="10"/>
      <color indexed="12"/>
      <name val="Calibri"/>
      <family val="2"/>
    </font>
    <font>
      <b/>
      <sz val="9"/>
      <name val="Helv"/>
      <family val="0"/>
    </font>
    <font>
      <b/>
      <sz val="18"/>
      <name val="Arial"/>
      <family val="2"/>
    </font>
    <font>
      <b/>
      <sz val="15"/>
      <color indexed="62"/>
      <name val="Calibri"/>
      <family val="2"/>
    </font>
    <font>
      <b/>
      <sz val="15"/>
      <color indexed="56"/>
      <name val="Arial"/>
      <family val="2"/>
    </font>
    <font>
      <b/>
      <sz val="13"/>
      <color indexed="62"/>
      <name val="Calibri"/>
      <family val="2"/>
    </font>
    <font>
      <b/>
      <sz val="13"/>
      <color indexed="56"/>
      <name val="Arial"/>
      <family val="2"/>
    </font>
    <font>
      <b/>
      <sz val="11"/>
      <color indexed="62"/>
      <name val="Calibri"/>
      <family val="2"/>
    </font>
    <font>
      <b/>
      <sz val="11"/>
      <color indexed="56"/>
      <name val="Arial"/>
      <family val="2"/>
    </font>
    <font>
      <b/>
      <sz val="10"/>
      <color indexed="52"/>
      <name val="Arial"/>
      <family val="2"/>
    </font>
    <font>
      <sz val="10"/>
      <color indexed="52"/>
      <name val="Arial"/>
      <family val="2"/>
    </font>
    <font>
      <sz val="12"/>
      <name val="Arial"/>
      <family val="2"/>
    </font>
    <font>
      <sz val="10"/>
      <color indexed="17"/>
      <name val="Arial"/>
      <family val="2"/>
    </font>
    <font>
      <b/>
      <sz val="8"/>
      <name val="Arial"/>
      <family val="2"/>
    </font>
    <font>
      <sz val="8"/>
      <name val="Tahoma"/>
      <family val="2"/>
    </font>
    <font>
      <sz val="10"/>
      <color indexed="62"/>
      <name val="Arial"/>
      <family val="2"/>
    </font>
    <font>
      <sz val="11"/>
      <name val="Times New Roman"/>
      <family val="1"/>
    </font>
    <font>
      <sz val="8"/>
      <name val="Arial"/>
      <family val="2"/>
    </font>
    <font>
      <sz val="10"/>
      <color indexed="23"/>
      <name val="Arial"/>
      <family val="2"/>
    </font>
    <font>
      <b/>
      <sz val="12"/>
      <name val="Arial"/>
      <family val="2"/>
    </font>
    <font>
      <u val="single"/>
      <sz val="8"/>
      <color indexed="12"/>
      <name val="Calibri"/>
      <family val="2"/>
    </font>
    <font>
      <sz val="10"/>
      <color indexed="20"/>
      <name val="Arial"/>
      <family val="2"/>
    </font>
    <font>
      <sz val="10"/>
      <color indexed="24"/>
      <name val="Arial"/>
      <family val="2"/>
    </font>
    <font>
      <sz val="8"/>
      <color indexed="10"/>
      <name val="Arial"/>
      <family val="2"/>
    </font>
    <font>
      <b/>
      <i/>
      <sz val="16"/>
      <name val="Helv"/>
      <family val="0"/>
    </font>
    <font>
      <sz val="10"/>
      <name val="Courier"/>
      <family val="3"/>
    </font>
    <font>
      <sz val="12"/>
      <name val="Courier"/>
      <family val="3"/>
    </font>
    <font>
      <sz val="11"/>
      <color indexed="8"/>
      <name val="Arial Narrow"/>
      <family val="2"/>
    </font>
    <font>
      <sz val="10"/>
      <color indexed="8"/>
      <name val="Calibri"/>
      <family val="2"/>
    </font>
    <font>
      <sz val="10"/>
      <name val="Arial CE"/>
      <family val="0"/>
    </font>
    <font>
      <sz val="10"/>
      <name val="Times New Roman CE"/>
      <family val="1"/>
    </font>
    <font>
      <sz val="10"/>
      <name val="Helv"/>
      <family val="0"/>
    </font>
    <font>
      <sz val="10"/>
      <color indexed="10"/>
      <name val="Arial"/>
      <family val="2"/>
    </font>
    <font>
      <i/>
      <sz val="10"/>
      <color indexed="23"/>
      <name val="Arial"/>
      <family val="2"/>
    </font>
    <font>
      <b/>
      <sz val="16"/>
      <color indexed="9"/>
      <name val="Arial"/>
      <family val="2"/>
    </font>
    <font>
      <b/>
      <sz val="14"/>
      <name val="Arial"/>
      <family val="2"/>
    </font>
    <font>
      <b/>
      <sz val="11"/>
      <name val="Arial"/>
      <family val="2"/>
    </font>
    <font>
      <b/>
      <sz val="10"/>
      <name val="Helv"/>
      <family val="0"/>
    </font>
    <font>
      <sz val="9"/>
      <color indexed="10"/>
      <name val="Calibri"/>
      <family val="2"/>
    </font>
    <font>
      <sz val="8"/>
      <color indexed="8"/>
      <name val="Calibri"/>
      <family val="2"/>
    </font>
    <font>
      <b/>
      <sz val="10"/>
      <color indexed="60"/>
      <name val="Arial"/>
      <family val="2"/>
    </font>
    <font>
      <sz val="10"/>
      <color indexed="56"/>
      <name val="Arial"/>
      <family val="2"/>
    </font>
    <font>
      <u val="single"/>
      <sz val="14"/>
      <color indexed="56"/>
      <name val="Calibri"/>
      <family val="2"/>
    </font>
    <font>
      <sz val="11"/>
      <color indexed="56"/>
      <name val="Calibri"/>
      <family val="2"/>
    </font>
    <font>
      <b/>
      <sz val="8"/>
      <name val="Times New Roman"/>
      <family val="1"/>
    </font>
    <font>
      <sz val="9"/>
      <name val="UniversCondLight"/>
      <family val="0"/>
    </font>
    <font>
      <sz val="10"/>
      <color indexed="10"/>
      <name val="Calibri"/>
      <family val="2"/>
    </font>
    <font>
      <i/>
      <sz val="10"/>
      <name val="Calibri"/>
      <family val="2"/>
    </font>
    <font>
      <sz val="10"/>
      <name val="Garamond"/>
      <family val="1"/>
    </font>
    <font>
      <b/>
      <sz val="10"/>
      <color indexed="62"/>
      <name val="Calibri"/>
      <family val="2"/>
    </font>
    <font>
      <u val="single"/>
      <sz val="10"/>
      <color indexed="12"/>
      <name val="Arial"/>
      <family val="2"/>
    </font>
    <font>
      <b/>
      <sz val="20"/>
      <color indexed="9"/>
      <name val="Cambria"/>
      <family val="0"/>
    </font>
    <font>
      <b/>
      <sz val="12"/>
      <color indexed="9"/>
      <name val="Cambria"/>
      <family val="0"/>
    </font>
    <font>
      <sz val="36"/>
      <color indexed="8"/>
      <name val="Corbel"/>
      <family val="0"/>
    </font>
    <font>
      <b/>
      <i/>
      <sz val="20"/>
      <color indexed="8"/>
      <name val="Corbel"/>
      <family val="0"/>
    </font>
    <font>
      <b/>
      <sz val="10"/>
      <color indexed="8"/>
      <name val="Corbel"/>
      <family val="0"/>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sz val="11"/>
      <color rgb="FFFA7D00"/>
      <name val="Calibri"/>
      <family val="2"/>
    </font>
    <font>
      <sz val="11"/>
      <color rgb="FF006100"/>
      <name val="Calibri"/>
      <family val="2"/>
    </font>
    <font>
      <sz val="11"/>
      <color rgb="FF3F3F76"/>
      <name val="Calibri"/>
      <family val="2"/>
    </font>
    <font>
      <u val="single"/>
      <sz val="10"/>
      <color theme="10"/>
      <name val="Arial"/>
      <family val="2"/>
    </font>
    <font>
      <u val="single"/>
      <sz val="11"/>
      <color theme="10"/>
      <name val="Calibri"/>
      <family val="2"/>
    </font>
    <font>
      <u val="single"/>
      <sz val="8"/>
      <color rgb="FF0000FF"/>
      <name val="Calibri"/>
      <family val="2"/>
    </font>
    <font>
      <sz val="11"/>
      <color rgb="FF9C0006"/>
      <name val="Calibri"/>
      <family val="2"/>
    </font>
    <font>
      <sz val="11"/>
      <color rgb="FF9C6500"/>
      <name val="Calibri"/>
      <family val="2"/>
    </font>
    <font>
      <sz val="11"/>
      <color theme="1"/>
      <name val="Arial Narrow"/>
      <family val="2"/>
    </font>
    <font>
      <sz val="10"/>
      <color theme="1"/>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1"/>
      <color theme="1"/>
      <name val="Calibri"/>
      <family val="2"/>
    </font>
    <font>
      <b/>
      <sz val="11"/>
      <color theme="0"/>
      <name val="Calibri"/>
      <family val="2"/>
    </font>
    <font>
      <sz val="9"/>
      <color theme="0"/>
      <name val="Calibri"/>
      <family val="2"/>
    </font>
    <font>
      <sz val="8"/>
      <color rgb="FF0000FF"/>
      <name val="Calibri"/>
      <family val="2"/>
    </font>
    <font>
      <b/>
      <sz val="9"/>
      <color rgb="FF0000FF"/>
      <name val="Calibri"/>
      <family val="2"/>
    </font>
    <font>
      <sz val="8"/>
      <color theme="3"/>
      <name val="Calibri"/>
      <family val="2"/>
    </font>
    <font>
      <b/>
      <sz val="9"/>
      <color theme="3"/>
      <name val="Calibri"/>
      <family val="2"/>
    </font>
    <font>
      <b/>
      <sz val="10"/>
      <color theme="3"/>
      <name val="Calibri"/>
      <family val="2"/>
    </font>
    <font>
      <sz val="10"/>
      <color theme="3"/>
      <name val="Calibri"/>
      <family val="2"/>
    </font>
    <font>
      <sz val="10"/>
      <color rgb="FF000099"/>
      <name val="Calibri"/>
      <family val="2"/>
    </font>
    <font>
      <b/>
      <sz val="14"/>
      <color theme="3"/>
      <name val="Calibri"/>
      <family val="2"/>
    </font>
    <font>
      <sz val="8"/>
      <color rgb="FFFF0000"/>
      <name val="Calibri"/>
      <family val="2"/>
    </font>
    <font>
      <sz val="8"/>
      <color theme="1"/>
      <name val="Calibri"/>
      <family val="2"/>
    </font>
    <font>
      <b/>
      <sz val="10"/>
      <color theme="9" tint="-0.4999699890613556"/>
      <name val="Arial"/>
      <family val="2"/>
    </font>
    <font>
      <b/>
      <sz val="14"/>
      <color rgb="FF002060"/>
      <name val="Calibri"/>
      <family val="2"/>
    </font>
    <font>
      <sz val="10"/>
      <color rgb="FF002060"/>
      <name val="Arial"/>
      <family val="2"/>
    </font>
    <font>
      <b/>
      <sz val="11"/>
      <color rgb="FF002060"/>
      <name val="Calibri"/>
      <family val="2"/>
    </font>
    <font>
      <u val="single"/>
      <sz val="14"/>
      <color rgb="FF002060"/>
      <name val="Calibri"/>
      <family val="2"/>
    </font>
    <font>
      <sz val="11"/>
      <color rgb="FF002060"/>
      <name val="Calibri"/>
      <family val="2"/>
    </font>
    <font>
      <sz val="10"/>
      <color rgb="FFFF0000"/>
      <name val="Arial"/>
      <family val="2"/>
    </font>
    <font>
      <sz val="9"/>
      <color rgb="FFFF0000"/>
      <name val="Calibri"/>
      <family val="2"/>
    </font>
    <font>
      <sz val="10"/>
      <color rgb="FFFF0000"/>
      <name val="Calibri"/>
      <family val="2"/>
    </font>
    <font>
      <b/>
      <sz val="10"/>
      <color theme="4"/>
      <name val="Calibri"/>
      <family val="2"/>
    </font>
  </fonts>
  <fills count="8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4"/>
        <bgColor indexed="64"/>
      </patternFill>
    </fill>
    <fill>
      <patternFill patternType="solid">
        <fgColor indexed="31"/>
        <bgColor indexed="64"/>
      </patternFill>
    </fill>
    <fill>
      <patternFill patternType="solid">
        <fgColor indexed="44"/>
        <bgColor indexed="64"/>
      </patternFill>
    </fill>
    <fill>
      <patternFill patternType="solid">
        <fgColor indexed="2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14"/>
        <bgColor indexed="64"/>
      </patternFill>
    </fill>
    <fill>
      <patternFill patternType="solid">
        <fgColor indexed="54"/>
        <bgColor indexed="64"/>
      </patternFill>
    </fill>
    <fill>
      <patternFill patternType="solid">
        <fgColor indexed="49"/>
        <bgColor indexed="64"/>
      </patternFill>
    </fill>
    <fill>
      <patternFill patternType="solid">
        <fgColor indexed="27"/>
        <bgColor indexed="64"/>
      </patternFill>
    </fill>
    <fill>
      <patternFill patternType="solid">
        <fgColor indexed="52"/>
        <bgColor indexed="64"/>
      </patternFill>
    </fill>
    <fill>
      <patternFill patternType="solid">
        <fgColor indexed="47"/>
        <bgColor indexed="64"/>
      </patternFill>
    </fill>
    <fill>
      <patternFill patternType="solid">
        <fgColor indexed="53"/>
        <bgColor indexed="64"/>
      </patternFill>
    </fill>
    <fill>
      <patternFill patternType="solid">
        <fgColor indexed="45"/>
        <bgColor indexed="64"/>
      </patternFill>
    </fill>
    <fill>
      <patternFill patternType="solid">
        <fgColor indexed="26"/>
        <bgColor indexed="64"/>
      </patternFill>
    </fill>
    <fill>
      <patternFill patternType="solid">
        <fgColor indexed="28"/>
        <bgColor indexed="64"/>
      </patternFill>
    </fill>
    <fill>
      <patternFill patternType="solid">
        <fgColor indexed="22"/>
        <bgColor indexed="64"/>
      </patternFill>
    </fill>
    <fill>
      <patternFill patternType="solid">
        <fgColor indexed="9"/>
        <bgColor indexed="64"/>
      </patternFill>
    </fill>
    <fill>
      <patternFill patternType="solid">
        <fgColor rgb="FFF2F2F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rgb="FFFFCC99"/>
        <bgColor indexed="64"/>
      </patternFill>
    </fill>
    <fill>
      <patternFill patternType="solid">
        <fgColor indexed="43"/>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indexed="24"/>
        <bgColor indexed="64"/>
      </patternFill>
    </fill>
    <fill>
      <patternFill patternType="solid">
        <fgColor rgb="FFA5A5A5"/>
        <bgColor indexed="64"/>
      </patternFill>
    </fill>
    <fill>
      <patternFill patternType="solid">
        <fgColor indexed="55"/>
        <bgColor indexed="64"/>
      </patternFill>
    </fill>
    <fill>
      <patternFill patternType="solid">
        <fgColor indexed="9"/>
        <bgColor indexed="64"/>
      </patternFill>
    </fill>
    <fill>
      <patternFill patternType="solid">
        <fgColor theme="0"/>
        <bgColor indexed="64"/>
      </patternFill>
    </fill>
    <fill>
      <patternFill patternType="lightVertical">
        <fgColor theme="6" tint="0.3999499976634979"/>
        <bgColor theme="0"/>
      </patternFill>
    </fill>
    <fill>
      <patternFill patternType="solid">
        <fgColor theme="0"/>
        <bgColor indexed="64"/>
      </patternFill>
    </fill>
    <fill>
      <patternFill patternType="solid">
        <fgColor theme="3"/>
        <bgColor indexed="64"/>
      </patternFill>
    </fill>
    <fill>
      <patternFill patternType="solid">
        <fgColor rgb="FFFFFF00"/>
        <bgColor indexed="64"/>
      </patternFill>
    </fill>
  </fills>
  <borders count="53">
    <border>
      <left/>
      <right/>
      <top/>
      <bottom/>
      <diagonal/>
    </border>
    <border>
      <left style="hair"/>
      <right style="hair"/>
      <top style="hair"/>
      <bottom style="hair"/>
    </border>
    <border>
      <left style="thin"/>
      <right style="thin"/>
      <top style="thin"/>
      <bottom/>
    </border>
    <border>
      <left/>
      <right/>
      <top/>
      <bottom style="thick">
        <color theme="4"/>
      </bottom>
    </border>
    <border>
      <left/>
      <right/>
      <top/>
      <bottom style="thick">
        <color indexed="62"/>
      </bottom>
    </border>
    <border>
      <left/>
      <right/>
      <top/>
      <bottom style="thick">
        <color indexed="49"/>
      </bottom>
    </border>
    <border>
      <left/>
      <right/>
      <top/>
      <bottom style="thick">
        <color theme="4" tint="0.49998000264167786"/>
      </bottom>
    </border>
    <border>
      <left/>
      <right/>
      <top/>
      <bottom style="thick">
        <color indexed="22"/>
      </bottom>
    </border>
    <border>
      <left/>
      <right/>
      <top/>
      <bottom style="thick">
        <color indexed="47"/>
      </bottom>
    </border>
    <border>
      <left/>
      <right/>
      <top/>
      <bottom style="medium">
        <color theme="4" tint="0.39998000860214233"/>
      </bottom>
    </border>
    <border>
      <left/>
      <right/>
      <top/>
      <bottom style="medium">
        <color indexed="30"/>
      </bottom>
    </border>
    <border>
      <left/>
      <right/>
      <top/>
      <bottom style="medium">
        <color indexed="47"/>
      </bottom>
    </border>
    <border>
      <left style="medium"/>
      <right style="medium"/>
      <top/>
      <bottom style="hair">
        <color theme="3" tint="0.3999499976634979"/>
      </bottom>
    </border>
    <border>
      <left style="dashed">
        <color indexed="63"/>
      </left>
      <right style="dashed">
        <color indexed="63"/>
      </right>
      <top style="dashed">
        <color indexed="63"/>
      </top>
      <bottom style="dashed">
        <color indexed="63"/>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right/>
      <top/>
      <bottom style="double">
        <color rgb="FFFF8001"/>
      </bottom>
    </border>
    <border>
      <left/>
      <right/>
      <top/>
      <bottom style="double">
        <color indexed="52"/>
      </bottom>
    </border>
    <border>
      <left style="double">
        <color indexed="63"/>
      </left>
      <right style="double">
        <color indexed="63"/>
      </right>
      <top style="double">
        <color indexed="63"/>
      </top>
      <bottom style="double">
        <color indexed="63"/>
      </bottom>
    </border>
    <border>
      <left style="dotted">
        <color indexed="28"/>
      </left>
      <right style="dotted">
        <color indexed="28"/>
      </right>
      <top style="dotted">
        <color indexed="28"/>
      </top>
      <bottom style="dotted">
        <color indexed="28"/>
      </bottom>
    </border>
    <border>
      <left style="thin">
        <color indexed="63"/>
      </left>
      <right style="thin">
        <color indexed="63"/>
      </right>
      <top style="thin">
        <color indexed="63"/>
      </top>
      <bottom style="thin">
        <color indexed="63"/>
      </bottom>
    </border>
    <border>
      <left style="dashed">
        <color indexed="55"/>
      </left>
      <right style="dashed">
        <color indexed="55"/>
      </right>
      <top style="dashed">
        <color indexed="55"/>
      </top>
      <bottom style="dashed">
        <color indexed="55"/>
      </bottom>
    </border>
    <border>
      <left style="dashed">
        <color indexed="28"/>
      </left>
      <right style="dashed">
        <color indexed="28"/>
      </right>
      <top style="dashed">
        <color indexed="28"/>
      </top>
      <bottom style="dashed">
        <color indexed="28"/>
      </bottom>
    </border>
    <border>
      <left/>
      <right/>
      <top/>
      <bottom style="thin">
        <color indexed="12"/>
      </bottom>
    </border>
    <border>
      <left style="dotted">
        <color indexed="10"/>
      </left>
      <right style="dotted">
        <color indexed="10"/>
      </right>
      <top style="dotted">
        <color indexed="10"/>
      </top>
      <bottom style="dotted">
        <color indexed="1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dashed"/>
      <bottom/>
    </border>
    <border>
      <left style="thin"/>
      <right/>
      <top style="thin"/>
      <bottom style="thin"/>
    </border>
    <border>
      <left style="thin"/>
      <right style="thin"/>
      <top style="thin"/>
      <bottom style="thin"/>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indexed="49"/>
      </top>
      <bottom style="double">
        <color indexed="49"/>
      </bottom>
    </border>
    <border>
      <left/>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tted">
        <color theme="3"/>
      </left>
      <right style="dotted">
        <color theme="3"/>
      </right>
      <top style="thin">
        <color theme="3"/>
      </top>
      <bottom style="thin">
        <color theme="3"/>
      </bottom>
    </border>
    <border>
      <left style="dotted">
        <color theme="3"/>
      </left>
      <right/>
      <top style="thin">
        <color theme="3"/>
      </top>
      <bottom style="thin">
        <color theme="3"/>
      </bottom>
    </border>
    <border>
      <left style="dotted">
        <color theme="3"/>
      </left>
      <right style="dotted">
        <color theme="3"/>
      </right>
      <top/>
      <bottom style="thin">
        <color theme="3"/>
      </bottom>
    </border>
    <border>
      <left style="dotted">
        <color theme="3"/>
      </left>
      <right/>
      <top/>
      <bottom style="thin">
        <color theme="3"/>
      </bottom>
    </border>
    <border>
      <left/>
      <right/>
      <top/>
      <bottom style="thin">
        <color theme="3"/>
      </bottom>
    </border>
    <border>
      <left/>
      <right/>
      <top style="thin">
        <color theme="3"/>
      </top>
      <bottom/>
    </border>
    <border>
      <left/>
      <right/>
      <top style="thin">
        <color theme="3"/>
      </top>
      <bottom style="thin">
        <color theme="3"/>
      </bottom>
    </border>
    <border>
      <left style="dotted">
        <color theme="3"/>
      </left>
      <right style="dotted">
        <color theme="3"/>
      </right>
      <top style="thin">
        <color theme="3"/>
      </top>
      <bottom/>
    </border>
    <border>
      <left/>
      <right/>
      <top/>
      <bottom style="medium">
        <color theme="3"/>
      </bottom>
    </border>
    <border>
      <left/>
      <right/>
      <top/>
      <bottom style="thin">
        <color rgb="FF000099"/>
      </bottom>
    </border>
    <border>
      <left/>
      <right/>
      <top/>
      <bottom style="thin">
        <color rgb="FF002060"/>
      </bottom>
    </border>
    <border>
      <left/>
      <right/>
      <top style="thin">
        <color theme="4"/>
      </top>
      <bottom style="thin">
        <color theme="4"/>
      </bottom>
    </border>
    <border>
      <left/>
      <right/>
      <top/>
      <bottom style="thin">
        <color theme="4"/>
      </bottom>
    </border>
    <border>
      <left/>
      <right/>
      <top style="thin">
        <color theme="4"/>
      </top>
      <bottom/>
    </border>
    <border>
      <left style="dotted">
        <color theme="3"/>
      </left>
      <right/>
      <top style="thin">
        <color theme="3"/>
      </top>
      <bottom/>
    </border>
    <border>
      <left/>
      <right style="dotted">
        <color theme="3"/>
      </right>
      <top style="thin">
        <color theme="3"/>
      </top>
      <bottom/>
    </border>
    <border>
      <left/>
      <right style="dotted">
        <color theme="3"/>
      </right>
      <top/>
      <bottom style="thin">
        <color theme="3"/>
      </bottom>
    </border>
    <border>
      <left/>
      <right style="dotted">
        <color theme="3"/>
      </right>
      <top style="thin">
        <color theme="3"/>
      </top>
      <bottom style="thin">
        <color theme="3"/>
      </bottom>
    </border>
  </borders>
  <cellStyleXfs count="135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0"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0"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08" fillId="8" borderId="0" applyNumberFormat="0" applyBorder="0" applyAlignment="0" applyProtection="0"/>
    <xf numFmtId="0" fontId="1"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108" fillId="9" borderId="0" applyNumberFormat="0" applyBorder="0" applyAlignment="0" applyProtection="0"/>
    <xf numFmtId="0" fontId="1"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108" fillId="10" borderId="0" applyNumberFormat="0" applyBorder="0" applyAlignment="0" applyProtection="0"/>
    <xf numFmtId="0" fontId="108" fillId="10" borderId="0" applyNumberFormat="0" applyBorder="0" applyAlignment="0" applyProtection="0"/>
    <xf numFmtId="0" fontId="108" fillId="10" borderId="0" applyNumberFormat="0" applyBorder="0" applyAlignment="0" applyProtection="0"/>
    <xf numFmtId="0" fontId="1" fillId="4" borderId="0" applyNumberFormat="0" applyBorder="0" applyAlignment="0" applyProtection="0"/>
    <xf numFmtId="0" fontId="108" fillId="10"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108" fillId="11" borderId="0" applyNumberFormat="0" applyBorder="0" applyAlignment="0" applyProtection="0"/>
    <xf numFmtId="0" fontId="1"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08" fillId="12" borderId="0" applyNumberFormat="0" applyBorder="0" applyAlignment="0" applyProtection="0"/>
    <xf numFmtId="0" fontId="1"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108" fillId="13" borderId="0" applyNumberFormat="0" applyBorder="0" applyAlignment="0" applyProtection="0"/>
    <xf numFmtId="0" fontId="1"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08" fillId="18" borderId="0" applyNumberFormat="0" applyBorder="0" applyAlignment="0" applyProtection="0"/>
    <xf numFmtId="0" fontId="1"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108" fillId="19" borderId="0" applyNumberFormat="0" applyBorder="0" applyAlignment="0" applyProtection="0"/>
    <xf numFmtId="0" fontId="1"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108" fillId="20" borderId="0" applyNumberFormat="0" applyBorder="0" applyAlignment="0" applyProtection="0"/>
    <xf numFmtId="0" fontId="1"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108" fillId="21" borderId="0" applyNumberFormat="0" applyBorder="0" applyAlignment="0" applyProtection="0"/>
    <xf numFmtId="0" fontId="1"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08" fillId="22" borderId="0" applyNumberFormat="0" applyBorder="0" applyAlignment="0" applyProtection="0"/>
    <xf numFmtId="0" fontId="1"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108" fillId="23" borderId="0" applyNumberFormat="0" applyBorder="0" applyAlignment="0" applyProtection="0"/>
    <xf numFmtId="0" fontId="1"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0" fillId="2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109" fillId="28" borderId="0" applyNumberFormat="0" applyBorder="0" applyAlignment="0" applyProtection="0"/>
    <xf numFmtId="0" fontId="20"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109" fillId="29" borderId="0" applyNumberFormat="0" applyBorder="0" applyAlignment="0" applyProtection="0"/>
    <xf numFmtId="0" fontId="20"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109" fillId="30" borderId="0" applyNumberFormat="0" applyBorder="0" applyAlignment="0" applyProtection="0"/>
    <xf numFmtId="0" fontId="20"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109" fillId="31" borderId="0" applyNumberFormat="0" applyBorder="0" applyAlignment="0" applyProtection="0"/>
    <xf numFmtId="0" fontId="20"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109" fillId="32" borderId="0" applyNumberFormat="0" applyBorder="0" applyAlignment="0" applyProtection="0"/>
    <xf numFmtId="0" fontId="20"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109" fillId="33" borderId="0" applyNumberFormat="0" applyBorder="0" applyAlignment="0" applyProtection="0"/>
    <xf numFmtId="0" fontId="20"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34"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1" fillId="36" borderId="0" applyNumberFormat="0" applyBorder="0" applyAlignment="0" applyProtection="0"/>
    <xf numFmtId="0" fontId="20" fillId="26" borderId="0" applyNumberFormat="0" applyBorder="0" applyAlignment="0" applyProtection="0"/>
    <xf numFmtId="0" fontId="21"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1" fillId="40" borderId="0" applyNumberFormat="0" applyBorder="0" applyAlignment="0" applyProtection="0"/>
    <xf numFmtId="0" fontId="20" fillId="41" borderId="0" applyNumberFormat="0" applyBorder="0" applyAlignment="0" applyProtection="0"/>
    <xf numFmtId="0" fontId="21" fillId="40" borderId="0" applyNumberFormat="0" applyBorder="0" applyAlignment="0" applyProtection="0"/>
    <xf numFmtId="0" fontId="22" fillId="38" borderId="0" applyNumberFormat="0" applyBorder="0" applyAlignment="0" applyProtection="0"/>
    <xf numFmtId="0" fontId="22" fillId="42" borderId="0" applyNumberFormat="0" applyBorder="0" applyAlignment="0" applyProtection="0"/>
    <xf numFmtId="0" fontId="21" fillId="39" borderId="0" applyNumberFormat="0" applyBorder="0" applyAlignment="0" applyProtection="0"/>
    <xf numFmtId="0" fontId="20" fillId="43" borderId="0" applyNumberFormat="0" applyBorder="0" applyAlignment="0" applyProtection="0"/>
    <xf numFmtId="0" fontId="21" fillId="34" borderId="0" applyNumberFormat="0" applyBorder="0" applyAlignment="0" applyProtection="0"/>
    <xf numFmtId="0" fontId="22" fillId="35" borderId="0" applyNumberFormat="0" applyBorder="0" applyAlignment="0" applyProtection="0"/>
    <xf numFmtId="0" fontId="22" fillId="39" borderId="0" applyNumberFormat="0" applyBorder="0" applyAlignment="0" applyProtection="0"/>
    <xf numFmtId="0" fontId="21" fillId="39" borderId="0" applyNumberFormat="0" applyBorder="0" applyAlignment="0" applyProtection="0"/>
    <xf numFmtId="0" fontId="20" fillId="44" borderId="0" applyNumberFormat="0" applyBorder="0" applyAlignment="0" applyProtection="0"/>
    <xf numFmtId="0" fontId="21" fillId="45" borderId="0" applyNumberFormat="0" applyBorder="0" applyAlignment="0" applyProtection="0"/>
    <xf numFmtId="0" fontId="22" fillId="46" borderId="0" applyNumberFormat="0" applyBorder="0" applyAlignment="0" applyProtection="0"/>
    <xf numFmtId="0" fontId="22" fillId="35" borderId="0" applyNumberFormat="0" applyBorder="0" applyAlignment="0" applyProtection="0"/>
    <xf numFmtId="0" fontId="21" fillId="36" borderId="0" applyNumberFormat="0" applyBorder="0" applyAlignment="0" applyProtection="0"/>
    <xf numFmtId="0" fontId="20" fillId="26" borderId="0" applyNumberFormat="0" applyBorder="0" applyAlignment="0" applyProtection="0"/>
    <xf numFmtId="0" fontId="21" fillId="47" borderId="0" applyNumberFormat="0" applyBorder="0" applyAlignment="0" applyProtection="0"/>
    <xf numFmtId="0" fontId="22" fillId="38" borderId="0" applyNumberFormat="0" applyBorder="0" applyAlignment="0" applyProtection="0"/>
    <xf numFmtId="0" fontId="22" fillId="48" borderId="0" applyNumberFormat="0" applyBorder="0" applyAlignment="0" applyProtection="0"/>
    <xf numFmtId="0" fontId="21" fillId="48" borderId="0" applyNumberFormat="0" applyBorder="0" applyAlignment="0" applyProtection="0"/>
    <xf numFmtId="0" fontId="20" fillId="49" borderId="0" applyNumberFormat="0" applyBorder="0" applyAlignment="0" applyProtection="0"/>
    <xf numFmtId="174" fontId="53" fillId="0" borderId="1">
      <alignment horizontal="center" vertical="center"/>
      <protection/>
    </xf>
    <xf numFmtId="0" fontId="23" fillId="50" borderId="0" applyNumberFormat="0" applyBorder="0" applyAlignment="0" applyProtection="0"/>
    <xf numFmtId="0" fontId="96" fillId="0" borderId="2" applyNumberFormat="0" applyBorder="0" applyProtection="0">
      <alignment horizontal="center"/>
    </xf>
    <xf numFmtId="0" fontId="110" fillId="0" borderId="3" applyNumberFormat="0" applyFill="0" applyAlignment="0" applyProtection="0"/>
    <xf numFmtId="173" fontId="110" fillId="0" borderId="3" applyNumberFormat="0" applyFill="0" applyAlignment="0" applyProtection="0"/>
    <xf numFmtId="173" fontId="110" fillId="0" borderId="3" applyNumberFormat="0" applyFill="0" applyAlignment="0" applyProtection="0"/>
    <xf numFmtId="0" fontId="54" fillId="0" borderId="0" applyNumberFormat="0" applyFill="0" applyBorder="0" applyAlignment="0" applyProtection="0"/>
    <xf numFmtId="0" fontId="8" fillId="0" borderId="4" applyNumberFormat="0" applyFill="0" applyAlignment="0" applyProtection="0"/>
    <xf numFmtId="173" fontId="55" fillId="0" borderId="5" applyNumberFormat="0" applyFill="0" applyAlignment="0" applyProtection="0"/>
    <xf numFmtId="173" fontId="55" fillId="0" borderId="5" applyNumberFormat="0" applyFill="0" applyAlignment="0" applyProtection="0"/>
    <xf numFmtId="173" fontId="55" fillId="0" borderId="5" applyNumberFormat="0" applyFill="0" applyAlignment="0" applyProtection="0"/>
    <xf numFmtId="173" fontId="55" fillId="0" borderId="5" applyNumberFormat="0" applyFill="0" applyAlignment="0" applyProtection="0"/>
    <xf numFmtId="173" fontId="55" fillId="0" borderId="5" applyNumberFormat="0" applyFill="0" applyAlignment="0" applyProtection="0"/>
    <xf numFmtId="173" fontId="55" fillId="0" borderId="5" applyNumberFormat="0" applyFill="0" applyAlignment="0" applyProtection="0"/>
    <xf numFmtId="173" fontId="55" fillId="0" borderId="5" applyNumberFormat="0" applyFill="0" applyAlignment="0" applyProtection="0"/>
    <xf numFmtId="173" fontId="55" fillId="0" borderId="5" applyNumberFormat="0" applyFill="0" applyAlignment="0" applyProtection="0"/>
    <xf numFmtId="173" fontId="55" fillId="0" borderId="5" applyNumberFormat="0" applyFill="0" applyAlignment="0" applyProtection="0"/>
    <xf numFmtId="173" fontId="55" fillId="0" borderId="5" applyNumberFormat="0" applyFill="0" applyAlignment="0" applyProtection="0"/>
    <xf numFmtId="0" fontId="56" fillId="0" borderId="4" applyNumberFormat="0" applyFill="0" applyAlignment="0" applyProtection="0"/>
    <xf numFmtId="0" fontId="56" fillId="0" borderId="4" applyNumberFormat="0" applyFill="0" applyAlignment="0" applyProtection="0"/>
    <xf numFmtId="0" fontId="110" fillId="0" borderId="3" applyNumberFormat="0" applyFill="0" applyAlignment="0" applyProtection="0"/>
    <xf numFmtId="173" fontId="110" fillId="0" borderId="3" applyNumberFormat="0" applyFill="0" applyAlignment="0" applyProtection="0"/>
    <xf numFmtId="173" fontId="110" fillId="0" borderId="3" applyNumberFormat="0" applyFill="0" applyAlignment="0" applyProtection="0"/>
    <xf numFmtId="173" fontId="110" fillId="0" borderId="3" applyNumberFormat="0" applyFill="0" applyAlignment="0" applyProtection="0"/>
    <xf numFmtId="173" fontId="110" fillId="0" borderId="3" applyNumberFormat="0" applyFill="0" applyAlignment="0" applyProtection="0"/>
    <xf numFmtId="0" fontId="96" fillId="0" borderId="2" applyNumberFormat="0" applyBorder="0" applyProtection="0">
      <alignment horizontal="center"/>
    </xf>
    <xf numFmtId="0" fontId="111" fillId="0" borderId="6" applyNumberFormat="0" applyFill="0" applyAlignment="0" applyProtection="0"/>
    <xf numFmtId="173" fontId="111" fillId="0" borderId="6" applyNumberFormat="0" applyFill="0" applyAlignment="0" applyProtection="0"/>
    <xf numFmtId="173" fontId="111" fillId="0" borderId="6" applyNumberFormat="0" applyFill="0" applyAlignment="0" applyProtection="0"/>
    <xf numFmtId="0" fontId="96" fillId="0" borderId="2" applyNumberFormat="0" applyBorder="0" applyProtection="0">
      <alignment horizontal="center"/>
    </xf>
    <xf numFmtId="0" fontId="24" fillId="0" borderId="7" applyNumberFormat="0" applyFill="0" applyAlignment="0" applyProtection="0"/>
    <xf numFmtId="173" fontId="57" fillId="0" borderId="8" applyNumberFormat="0" applyFill="0" applyAlignment="0" applyProtection="0"/>
    <xf numFmtId="173" fontId="57" fillId="0" borderId="8" applyNumberFormat="0" applyFill="0" applyAlignment="0" applyProtection="0"/>
    <xf numFmtId="173" fontId="57" fillId="0" borderId="8" applyNumberFormat="0" applyFill="0" applyAlignment="0" applyProtection="0"/>
    <xf numFmtId="173" fontId="57" fillId="0" borderId="8" applyNumberFormat="0" applyFill="0" applyAlignment="0" applyProtection="0"/>
    <xf numFmtId="173" fontId="57" fillId="0" borderId="8" applyNumberFormat="0" applyFill="0" applyAlignment="0" applyProtection="0"/>
    <xf numFmtId="173" fontId="57" fillId="0" borderId="8" applyNumberFormat="0" applyFill="0" applyAlignment="0" applyProtection="0"/>
    <xf numFmtId="173" fontId="57" fillId="0" borderId="8" applyNumberFormat="0" applyFill="0" applyAlignment="0" applyProtection="0"/>
    <xf numFmtId="173" fontId="57" fillId="0" borderId="8" applyNumberFormat="0" applyFill="0" applyAlignment="0" applyProtection="0"/>
    <xf numFmtId="173" fontId="57" fillId="0" borderId="8" applyNumberFormat="0" applyFill="0" applyAlignment="0" applyProtection="0"/>
    <xf numFmtId="173" fontId="57" fillId="0" borderId="8" applyNumberFormat="0" applyFill="0" applyAlignment="0" applyProtection="0"/>
    <xf numFmtId="0" fontId="58" fillId="0" borderId="7" applyNumberFormat="0" applyFill="0" applyAlignment="0" applyProtection="0"/>
    <xf numFmtId="0" fontId="58" fillId="0" borderId="7" applyNumberFormat="0" applyFill="0" applyAlignment="0" applyProtection="0"/>
    <xf numFmtId="173" fontId="111" fillId="0" borderId="6" applyNumberFormat="0" applyFill="0" applyAlignment="0" applyProtection="0"/>
    <xf numFmtId="173" fontId="111" fillId="0" borderId="6" applyNumberFormat="0" applyFill="0" applyAlignment="0" applyProtection="0"/>
    <xf numFmtId="173" fontId="111" fillId="0" borderId="6" applyNumberFormat="0" applyFill="0" applyAlignment="0" applyProtection="0"/>
    <xf numFmtId="173" fontId="111" fillId="0" borderId="6" applyNumberFormat="0" applyFill="0" applyAlignment="0" applyProtection="0"/>
    <xf numFmtId="173" fontId="111" fillId="0" borderId="6" applyNumberFormat="0" applyFill="0" applyAlignment="0" applyProtection="0"/>
    <xf numFmtId="0" fontId="96" fillId="0" borderId="2" applyNumberFormat="0" applyBorder="0" applyProtection="0">
      <alignment horizontal="center"/>
    </xf>
    <xf numFmtId="0" fontId="112" fillId="0" borderId="9" applyNumberFormat="0" applyFill="0" applyAlignment="0" applyProtection="0"/>
    <xf numFmtId="173" fontId="112" fillId="0" borderId="9" applyNumberFormat="0" applyFill="0" applyAlignment="0" applyProtection="0"/>
    <xf numFmtId="173" fontId="112" fillId="0" borderId="9" applyNumberFormat="0" applyFill="0" applyAlignment="0" applyProtection="0"/>
    <xf numFmtId="0" fontId="96" fillId="0" borderId="2" applyNumberFormat="0" applyBorder="0" applyProtection="0">
      <alignment horizontal="center"/>
    </xf>
    <xf numFmtId="0" fontId="25" fillId="0" borderId="10" applyNumberFormat="0" applyFill="0" applyAlignment="0" applyProtection="0"/>
    <xf numFmtId="173" fontId="59" fillId="0" borderId="11" applyNumberFormat="0" applyFill="0" applyAlignment="0" applyProtection="0"/>
    <xf numFmtId="173" fontId="59" fillId="0" borderId="11" applyNumberFormat="0" applyFill="0" applyAlignment="0" applyProtection="0"/>
    <xf numFmtId="173" fontId="59" fillId="0" borderId="11" applyNumberFormat="0" applyFill="0" applyAlignment="0" applyProtection="0"/>
    <xf numFmtId="173" fontId="59" fillId="0" borderId="11" applyNumberFormat="0" applyFill="0" applyAlignment="0" applyProtection="0"/>
    <xf numFmtId="173" fontId="59" fillId="0" borderId="11" applyNumberFormat="0" applyFill="0" applyAlignment="0" applyProtection="0"/>
    <xf numFmtId="173" fontId="59" fillId="0" borderId="11" applyNumberFormat="0" applyFill="0" applyAlignment="0" applyProtection="0"/>
    <xf numFmtId="173" fontId="59" fillId="0" borderId="11" applyNumberFormat="0" applyFill="0" applyAlignment="0" applyProtection="0"/>
    <xf numFmtId="173" fontId="59" fillId="0" borderId="11" applyNumberFormat="0" applyFill="0" applyAlignment="0" applyProtection="0"/>
    <xf numFmtId="173" fontId="59" fillId="0" borderId="11" applyNumberFormat="0" applyFill="0" applyAlignment="0" applyProtection="0"/>
    <xf numFmtId="173" fontId="59" fillId="0" borderId="11" applyNumberFormat="0" applyFill="0" applyAlignment="0" applyProtection="0"/>
    <xf numFmtId="0" fontId="60" fillId="0" borderId="10" applyNumberFormat="0" applyFill="0" applyAlignment="0" applyProtection="0"/>
    <xf numFmtId="0" fontId="60" fillId="0" borderId="10" applyNumberFormat="0" applyFill="0" applyAlignment="0" applyProtection="0"/>
    <xf numFmtId="173" fontId="112" fillId="0" borderId="9" applyNumberFormat="0" applyFill="0" applyAlignment="0" applyProtection="0"/>
    <xf numFmtId="173" fontId="112" fillId="0" borderId="9" applyNumberFormat="0" applyFill="0" applyAlignment="0" applyProtection="0"/>
    <xf numFmtId="173" fontId="112" fillId="0" borderId="9" applyNumberFormat="0" applyFill="0" applyAlignment="0" applyProtection="0"/>
    <xf numFmtId="173" fontId="112" fillId="0" borderId="9" applyNumberFormat="0" applyFill="0" applyAlignment="0" applyProtection="0"/>
    <xf numFmtId="173" fontId="112" fillId="0" borderId="9" applyNumberFormat="0" applyFill="0" applyAlignment="0" applyProtection="0"/>
    <xf numFmtId="0" fontId="96" fillId="0" borderId="2" applyNumberFormat="0" applyBorder="0" applyProtection="0">
      <alignment horizontal="center"/>
    </xf>
    <xf numFmtId="0" fontId="112" fillId="0" borderId="0" applyNumberFormat="0" applyFill="0" applyBorder="0" applyAlignment="0" applyProtection="0"/>
    <xf numFmtId="173" fontId="112" fillId="0" borderId="0" applyNumberFormat="0" applyFill="0" applyBorder="0" applyAlignment="0" applyProtection="0"/>
    <xf numFmtId="173" fontId="112" fillId="0" borderId="0" applyNumberFormat="0" applyFill="0" applyBorder="0" applyAlignment="0" applyProtection="0"/>
    <xf numFmtId="0" fontId="96" fillId="0" borderId="2" applyNumberFormat="0" applyBorder="0" applyProtection="0">
      <alignment horizontal="center"/>
    </xf>
    <xf numFmtId="0" fontId="25" fillId="0" borderId="0" applyNumberFormat="0" applyFill="0" applyBorder="0" applyAlignment="0" applyProtection="0"/>
    <xf numFmtId="173" fontId="59" fillId="0" borderId="0" applyNumberFormat="0" applyFill="0" applyBorder="0" applyAlignment="0" applyProtection="0"/>
    <xf numFmtId="173" fontId="59" fillId="0" borderId="0" applyNumberFormat="0" applyFill="0" applyBorder="0" applyAlignment="0" applyProtection="0"/>
    <xf numFmtId="173" fontId="59" fillId="0" borderId="0" applyNumberFormat="0" applyFill="0" applyBorder="0" applyAlignment="0" applyProtection="0"/>
    <xf numFmtId="173" fontId="59" fillId="0" borderId="0" applyNumberFormat="0" applyFill="0" applyBorder="0" applyAlignment="0" applyProtection="0"/>
    <xf numFmtId="173" fontId="59" fillId="0" borderId="0" applyNumberFormat="0" applyFill="0" applyBorder="0" applyAlignment="0" applyProtection="0"/>
    <xf numFmtId="173" fontId="59" fillId="0" borderId="0" applyNumberFormat="0" applyFill="0" applyBorder="0" applyAlignment="0" applyProtection="0"/>
    <xf numFmtId="173" fontId="59" fillId="0" borderId="0" applyNumberFormat="0" applyFill="0" applyBorder="0" applyAlignment="0" applyProtection="0"/>
    <xf numFmtId="173" fontId="59" fillId="0" borderId="0" applyNumberFormat="0" applyFill="0" applyBorder="0" applyAlignment="0" applyProtection="0"/>
    <xf numFmtId="173" fontId="59" fillId="0" borderId="0" applyNumberFormat="0" applyFill="0" applyBorder="0" applyAlignment="0" applyProtection="0"/>
    <xf numFmtId="173" fontId="59"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173" fontId="112" fillId="0" borderId="0" applyNumberFormat="0" applyFill="0" applyBorder="0" applyAlignment="0" applyProtection="0"/>
    <xf numFmtId="173" fontId="112" fillId="0" borderId="0" applyNumberFormat="0" applyFill="0" applyBorder="0" applyAlignment="0" applyProtection="0"/>
    <xf numFmtId="173" fontId="112" fillId="0" borderId="0" applyNumberFormat="0" applyFill="0" applyBorder="0" applyAlignment="0" applyProtection="0"/>
    <xf numFmtId="173" fontId="112" fillId="0" borderId="0" applyNumberFormat="0" applyFill="0" applyBorder="0" applyAlignment="0" applyProtection="0"/>
    <xf numFmtId="173" fontId="112" fillId="0" borderId="0" applyNumberFormat="0" applyFill="0" applyBorder="0" applyAlignment="0" applyProtection="0"/>
    <xf numFmtId="0" fontId="96" fillId="0" borderId="2" applyNumberFormat="0" applyBorder="0" applyProtection="0">
      <alignment horizontal="center"/>
    </xf>
    <xf numFmtId="165" fontId="7" fillId="0" borderId="12">
      <alignment/>
      <protection/>
    </xf>
    <xf numFmtId="175" fontId="0" fillId="6" borderId="13" applyNumberFormat="0">
      <alignment vertical="center"/>
      <protection/>
    </xf>
    <xf numFmtId="176" fontId="0" fillId="51" borderId="13" applyNumberFormat="0">
      <alignment vertical="center"/>
      <protection/>
    </xf>
    <xf numFmtId="175" fontId="0" fillId="52" borderId="13" applyNumberFormat="0">
      <alignment vertical="center"/>
      <protection/>
    </xf>
    <xf numFmtId="175" fontId="0" fillId="53" borderId="13" applyNumberFormat="0">
      <alignment vertical="center"/>
      <protection/>
    </xf>
    <xf numFmtId="3" fontId="0" fillId="0" borderId="13" applyNumberFormat="0">
      <alignment vertical="center"/>
      <protection/>
    </xf>
    <xf numFmtId="0" fontId="26" fillId="54" borderId="14" applyNumberFormat="0" applyAlignment="0" applyProtection="0"/>
    <xf numFmtId="0" fontId="26" fillId="54" borderId="14" applyNumberFormat="0" applyAlignment="0" applyProtection="0"/>
    <xf numFmtId="0" fontId="26" fillId="54" borderId="14" applyNumberFormat="0" applyAlignment="0" applyProtection="0"/>
    <xf numFmtId="0" fontId="26" fillId="54" borderId="14" applyNumberFormat="0" applyAlignment="0" applyProtection="0"/>
    <xf numFmtId="0" fontId="26" fillId="54" borderId="14" applyNumberFormat="0" applyAlignment="0" applyProtection="0"/>
    <xf numFmtId="0" fontId="26" fillId="54" borderId="14" applyNumberFormat="0" applyAlignment="0" applyProtection="0"/>
    <xf numFmtId="0" fontId="26" fillId="54" borderId="14" applyNumberFormat="0" applyAlignment="0" applyProtection="0"/>
    <xf numFmtId="0" fontId="26" fillId="54" borderId="14" applyNumberFormat="0" applyAlignment="0" applyProtection="0"/>
    <xf numFmtId="0" fontId="113" fillId="55" borderId="15" applyNumberFormat="0" applyAlignment="0" applyProtection="0"/>
    <xf numFmtId="0" fontId="113" fillId="55" borderId="15" applyNumberFormat="0" applyAlignment="0" applyProtection="0"/>
    <xf numFmtId="0" fontId="5" fillId="53" borderId="14" applyNumberFormat="0" applyAlignment="0" applyProtection="0"/>
    <xf numFmtId="0" fontId="5" fillId="53" borderId="14" applyNumberFormat="0" applyAlignment="0" applyProtection="0"/>
    <xf numFmtId="0" fontId="5" fillId="53" borderId="14" applyNumberFormat="0" applyAlignment="0" applyProtection="0"/>
    <xf numFmtId="0" fontId="5" fillId="53" borderId="14" applyNumberFormat="0" applyAlignment="0" applyProtection="0"/>
    <xf numFmtId="0" fontId="5" fillId="53" borderId="14" applyNumberFormat="0" applyAlignment="0" applyProtection="0"/>
    <xf numFmtId="0" fontId="61" fillId="53" borderId="14" applyNumberFormat="0" applyAlignment="0" applyProtection="0"/>
    <xf numFmtId="0" fontId="61" fillId="53" borderId="14" applyNumberFormat="0" applyAlignment="0" applyProtection="0"/>
    <xf numFmtId="0" fontId="114" fillId="0" borderId="16" applyNumberFormat="0" applyFill="0" applyAlignment="0" applyProtection="0"/>
    <xf numFmtId="173" fontId="114" fillId="0" borderId="16" applyNumberFormat="0" applyFill="0" applyAlignment="0" applyProtection="0"/>
    <xf numFmtId="173" fontId="114" fillId="0" borderId="16" applyNumberFormat="0" applyFill="0" applyAlignment="0" applyProtection="0"/>
    <xf numFmtId="0" fontId="27" fillId="0" borderId="17" applyNumberFormat="0" applyFill="0" applyAlignment="0" applyProtection="0"/>
    <xf numFmtId="173" fontId="27" fillId="0" borderId="17" applyNumberFormat="0" applyFill="0" applyAlignment="0" applyProtection="0"/>
    <xf numFmtId="173" fontId="27" fillId="0" borderId="17" applyNumberFormat="0" applyFill="0" applyAlignment="0" applyProtection="0"/>
    <xf numFmtId="173" fontId="27" fillId="0" borderId="17" applyNumberFormat="0" applyFill="0" applyAlignment="0" applyProtection="0"/>
    <xf numFmtId="173" fontId="27" fillId="0" borderId="17" applyNumberFormat="0" applyFill="0" applyAlignment="0" applyProtection="0"/>
    <xf numFmtId="173" fontId="27" fillId="0" borderId="17" applyNumberFormat="0" applyFill="0" applyAlignment="0" applyProtection="0"/>
    <xf numFmtId="173" fontId="27" fillId="0" borderId="17" applyNumberFormat="0" applyFill="0" applyAlignment="0" applyProtection="0"/>
    <xf numFmtId="173" fontId="27" fillId="0" borderId="17" applyNumberFormat="0" applyFill="0" applyAlignment="0" applyProtection="0"/>
    <xf numFmtId="173" fontId="27" fillId="0" borderId="17" applyNumberFormat="0" applyFill="0" applyAlignment="0" applyProtection="0"/>
    <xf numFmtId="173" fontId="27" fillId="0" borderId="17" applyNumberFormat="0" applyFill="0" applyAlignment="0" applyProtection="0"/>
    <xf numFmtId="173" fontId="27"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173" fontId="114" fillId="0" borderId="16" applyNumberFormat="0" applyFill="0" applyAlignment="0" applyProtection="0"/>
    <xf numFmtId="173" fontId="114" fillId="0" borderId="16" applyNumberFormat="0" applyFill="0" applyAlignment="0" applyProtection="0"/>
    <xf numFmtId="173" fontId="114" fillId="0" borderId="16" applyNumberFormat="0" applyFill="0" applyAlignment="0" applyProtection="0"/>
    <xf numFmtId="173" fontId="114" fillId="0" borderId="16" applyNumberFormat="0" applyFill="0" applyAlignment="0" applyProtection="0"/>
    <xf numFmtId="173" fontId="114" fillId="0" borderId="16" applyNumberFormat="0" applyFill="0" applyAlignment="0" applyProtection="0"/>
    <xf numFmtId="0" fontId="28" fillId="40" borderId="18" applyNumberFormat="0" applyAlignment="0" applyProtection="0"/>
    <xf numFmtId="165" fontId="63" fillId="0" borderId="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9" fontId="0" fillId="0" borderId="0" applyFont="0" applyFill="0" applyBorder="0" applyAlignment="0" applyProtection="0"/>
    <xf numFmtId="174" fontId="0" fillId="0" borderId="0" applyFont="0" applyFill="0" applyBorder="0" applyAlignment="0" applyProtection="0"/>
    <xf numFmtId="180"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81"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80"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43" fontId="1" fillId="0" borderId="0" applyFont="0" applyFill="0" applyBorder="0" applyAlignment="0" applyProtection="0"/>
    <xf numFmtId="170" fontId="108" fillId="0" borderId="0" applyFont="0" applyFill="0" applyBorder="0" applyAlignment="0" applyProtection="0"/>
    <xf numFmtId="170" fontId="108" fillId="0" borderId="0" applyFont="0" applyFill="0" applyBorder="0" applyAlignment="0" applyProtection="0"/>
    <xf numFmtId="170" fontId="108" fillId="0" borderId="0" applyFont="0" applyFill="0" applyBorder="0" applyAlignment="0" applyProtection="0"/>
    <xf numFmtId="170" fontId="108" fillId="0" borderId="0" applyFont="0" applyFill="0" applyBorder="0" applyAlignment="0" applyProtection="0"/>
    <xf numFmtId="170" fontId="108" fillId="0" borderId="0" applyFont="0" applyFill="0" applyBorder="0" applyAlignment="0" applyProtection="0"/>
    <xf numFmtId="170" fontId="108" fillId="0" borderId="0" applyFont="0" applyFill="0" applyBorder="0" applyAlignment="0" applyProtection="0"/>
    <xf numFmtId="170" fontId="108" fillId="0" borderId="0" applyFont="0" applyFill="0" applyBorder="0" applyAlignment="0" applyProtection="0"/>
    <xf numFmtId="170" fontId="108" fillId="0" borderId="0" applyFont="0" applyFill="0" applyBorder="0" applyAlignment="0" applyProtection="0"/>
    <xf numFmtId="170" fontId="108" fillId="0" borderId="0" applyFont="0" applyFill="0" applyBorder="0" applyAlignment="0" applyProtection="0"/>
    <xf numFmtId="170" fontId="108" fillId="0" borderId="0" applyFont="0" applyFill="0" applyBorder="0" applyAlignment="0" applyProtection="0"/>
    <xf numFmtId="170" fontId="108" fillId="0" borderId="0" applyFont="0" applyFill="0" applyBorder="0" applyAlignment="0" applyProtection="0"/>
    <xf numFmtId="170" fontId="108" fillId="0" borderId="0" applyFont="0" applyFill="0" applyBorder="0" applyAlignment="0" applyProtection="0"/>
    <xf numFmtId="170" fontId="108" fillId="0" borderId="0" applyFont="0" applyFill="0" applyBorder="0" applyAlignment="0" applyProtection="0"/>
    <xf numFmtId="170" fontId="108" fillId="0" borderId="0" applyFont="0" applyFill="0" applyBorder="0" applyAlignment="0" applyProtection="0"/>
    <xf numFmtId="170" fontId="108" fillId="0" borderId="0" applyFont="0" applyFill="0" applyBorder="0" applyAlignment="0" applyProtection="0"/>
    <xf numFmtId="170" fontId="10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08" fillId="0" borderId="0" applyFont="0" applyFill="0" applyBorder="0" applyAlignment="0" applyProtection="0"/>
    <xf numFmtId="170" fontId="108" fillId="0" borderId="0" applyFont="0" applyFill="0" applyBorder="0" applyAlignment="0" applyProtection="0"/>
    <xf numFmtId="170" fontId="108" fillId="0" borderId="0" applyFont="0" applyFill="0" applyBorder="0" applyAlignment="0" applyProtection="0"/>
    <xf numFmtId="170" fontId="108" fillId="0" borderId="0" applyFont="0" applyFill="0" applyBorder="0" applyAlignment="0" applyProtection="0"/>
    <xf numFmtId="170" fontId="108" fillId="0" borderId="0" applyFont="0" applyFill="0" applyBorder="0" applyAlignment="0" applyProtection="0"/>
    <xf numFmtId="43" fontId="0" fillId="0" borderId="0" applyFont="0" applyFill="0" applyBorder="0" applyAlignment="0" applyProtection="0"/>
    <xf numFmtId="182"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0" fillId="0" borderId="0" applyFill="0" applyBorder="0" applyAlignment="0" applyProtection="0"/>
    <xf numFmtId="0" fontId="109" fillId="56" borderId="0" applyNumberFormat="0" applyBorder="0" applyAlignment="0" applyProtection="0"/>
    <xf numFmtId="0" fontId="20" fillId="57" borderId="0" applyNumberFormat="0" applyBorder="0" applyAlignment="0" applyProtection="0"/>
    <xf numFmtId="0" fontId="21" fillId="57" borderId="0" applyNumberFormat="0" applyBorder="0" applyAlignment="0" applyProtection="0"/>
    <xf numFmtId="0" fontId="21" fillId="57" borderId="0" applyNumberFormat="0" applyBorder="0" applyAlignment="0" applyProtection="0"/>
    <xf numFmtId="0" fontId="109" fillId="58" borderId="0" applyNumberFormat="0" applyBorder="0" applyAlignment="0" applyProtection="0"/>
    <xf numFmtId="0" fontId="20"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109" fillId="59" borderId="0" applyNumberFormat="0" applyBorder="0" applyAlignment="0" applyProtection="0"/>
    <xf numFmtId="0" fontId="20" fillId="60" borderId="0" applyNumberFormat="0" applyBorder="0" applyAlignment="0" applyProtection="0"/>
    <xf numFmtId="0" fontId="21" fillId="60" borderId="0" applyNumberFormat="0" applyBorder="0" applyAlignment="0" applyProtection="0"/>
    <xf numFmtId="0" fontId="21" fillId="60" borderId="0" applyNumberFormat="0" applyBorder="0" applyAlignment="0" applyProtection="0"/>
    <xf numFmtId="0" fontId="109" fillId="61" borderId="0" applyNumberFormat="0" applyBorder="0" applyAlignment="0" applyProtection="0"/>
    <xf numFmtId="0" fontId="20"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109" fillId="62" borderId="0" applyNumberFormat="0" applyBorder="0" applyAlignment="0" applyProtection="0"/>
    <xf numFmtId="0" fontId="20"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109" fillId="63" borderId="0" applyNumberFormat="0" applyBorder="0" applyAlignment="0" applyProtection="0"/>
    <xf numFmtId="0" fontId="20"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115" fillId="64" borderId="0" applyNumberFormat="0" applyBorder="0" applyAlignment="0" applyProtection="0"/>
    <xf numFmtId="173" fontId="115" fillId="64" borderId="0" applyNumberFormat="0" applyBorder="0" applyAlignment="0" applyProtection="0"/>
    <xf numFmtId="173" fontId="115" fillId="64" borderId="0" applyNumberFormat="0" applyBorder="0" applyAlignment="0" applyProtection="0"/>
    <xf numFmtId="0" fontId="115" fillId="64" borderId="0" applyNumberFormat="0" applyBorder="0" applyAlignment="0" applyProtection="0"/>
    <xf numFmtId="173" fontId="2" fillId="4" borderId="0" applyNumberFormat="0" applyBorder="0" applyAlignment="0" applyProtection="0"/>
    <xf numFmtId="173" fontId="2" fillId="4" borderId="0" applyNumberFormat="0" applyBorder="0" applyAlignment="0" applyProtection="0"/>
    <xf numFmtId="0" fontId="2" fillId="4" borderId="0" applyNumberFormat="0" applyBorder="0" applyAlignment="0" applyProtection="0"/>
    <xf numFmtId="173" fontId="2" fillId="4" borderId="0" applyNumberFormat="0" applyBorder="0" applyAlignment="0" applyProtection="0"/>
    <xf numFmtId="173" fontId="2" fillId="4" borderId="0" applyNumberFormat="0" applyBorder="0" applyAlignment="0" applyProtection="0"/>
    <xf numFmtId="173" fontId="2" fillId="4" borderId="0" applyNumberFormat="0" applyBorder="0" applyAlignment="0" applyProtection="0"/>
    <xf numFmtId="173" fontId="2" fillId="4" borderId="0" applyNumberFormat="0" applyBorder="0" applyAlignment="0" applyProtection="0"/>
    <xf numFmtId="173" fontId="2" fillId="4" borderId="0" applyNumberFormat="0" applyBorder="0" applyAlignment="0" applyProtection="0"/>
    <xf numFmtId="173" fontId="2" fillId="4" borderId="0" applyNumberFormat="0" applyBorder="0" applyAlignment="0" applyProtection="0"/>
    <xf numFmtId="173" fontId="2" fillId="4" borderId="0" applyNumberFormat="0" applyBorder="0" applyAlignment="0" applyProtection="0"/>
    <xf numFmtId="173" fontId="2"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173" fontId="115" fillId="64" borderId="0" applyNumberFormat="0" applyBorder="0" applyAlignment="0" applyProtection="0"/>
    <xf numFmtId="173" fontId="115" fillId="64" borderId="0" applyNumberFormat="0" applyBorder="0" applyAlignment="0" applyProtection="0"/>
    <xf numFmtId="173" fontId="115" fillId="64" borderId="0" applyNumberFormat="0" applyBorder="0" applyAlignment="0" applyProtection="0"/>
    <xf numFmtId="173" fontId="115" fillId="64" borderId="0" applyNumberFormat="0" applyBorder="0" applyAlignment="0" applyProtection="0"/>
    <xf numFmtId="173" fontId="115" fillId="64" borderId="0" applyNumberFormat="0" applyBorder="0" applyAlignment="0" applyProtection="0"/>
    <xf numFmtId="183" fontId="63" fillId="0" borderId="0" applyFill="0" applyBorder="0" applyAlignment="0" applyProtection="0"/>
    <xf numFmtId="177" fontId="0" fillId="0" borderId="0" applyFont="0" applyFill="0" applyBorder="0" applyAlignment="0">
      <protection/>
    </xf>
    <xf numFmtId="184" fontId="108" fillId="0" borderId="0" applyFont="0" applyFill="0" applyBorder="0" applyAlignment="0" applyProtection="0"/>
    <xf numFmtId="184" fontId="108" fillId="0" borderId="0" applyFont="0" applyFill="0" applyBorder="0" applyAlignment="0" applyProtection="0"/>
    <xf numFmtId="184" fontId="108" fillId="0" borderId="0" applyFont="0" applyFill="0" applyBorder="0" applyAlignment="0" applyProtection="0"/>
    <xf numFmtId="184" fontId="108" fillId="0" borderId="0" applyFont="0" applyFill="0" applyBorder="0" applyAlignment="0" applyProtection="0"/>
    <xf numFmtId="184" fontId="108" fillId="0" borderId="0" applyFont="0" applyFill="0" applyBorder="0" applyAlignment="0" applyProtection="0"/>
    <xf numFmtId="184" fontId="108" fillId="0" borderId="0" applyFont="0" applyFill="0" applyBorder="0" applyAlignment="0" applyProtection="0"/>
    <xf numFmtId="184" fontId="108" fillId="0" borderId="0" applyFont="0" applyFill="0" applyBorder="0" applyAlignment="0" applyProtection="0"/>
    <xf numFmtId="184" fontId="108" fillId="0" borderId="0" applyFont="0" applyFill="0" applyBorder="0" applyAlignment="0" applyProtection="0"/>
    <xf numFmtId="184" fontId="108" fillId="0" borderId="0" applyFont="0" applyFill="0" applyBorder="0" applyAlignment="0" applyProtection="0"/>
    <xf numFmtId="184" fontId="108" fillId="0" borderId="0" applyFont="0" applyFill="0" applyBorder="0" applyAlignment="0" applyProtection="0"/>
    <xf numFmtId="184" fontId="108" fillId="0" borderId="0" applyFont="0" applyFill="0" applyBorder="0" applyAlignment="0" applyProtection="0"/>
    <xf numFmtId="184" fontId="108" fillId="0" borderId="0" applyFont="0" applyFill="0" applyBorder="0" applyAlignment="0" applyProtection="0"/>
    <xf numFmtId="184" fontId="108" fillId="0" borderId="0" applyFont="0" applyFill="0" applyBorder="0" applyAlignment="0" applyProtection="0"/>
    <xf numFmtId="184" fontId="108" fillId="0" borderId="0" applyFont="0" applyFill="0" applyBorder="0" applyAlignment="0" applyProtection="0"/>
    <xf numFmtId="184" fontId="108" fillId="0" borderId="0" applyFont="0" applyFill="0" applyBorder="0" applyAlignment="0" applyProtection="0"/>
    <xf numFmtId="184" fontId="108" fillId="0" borderId="0" applyFont="0" applyFill="0" applyBorder="0" applyAlignment="0" applyProtection="0"/>
    <xf numFmtId="184" fontId="108" fillId="0" borderId="0" applyFont="0" applyFill="0" applyBorder="0" applyAlignment="0" applyProtection="0"/>
    <xf numFmtId="184" fontId="108" fillId="0" borderId="0" applyFont="0" applyFill="0" applyBorder="0" applyAlignment="0" applyProtection="0"/>
    <xf numFmtId="184" fontId="108" fillId="0" borderId="0" applyFont="0" applyFill="0" applyBorder="0" applyAlignment="0" applyProtection="0"/>
    <xf numFmtId="184" fontId="108" fillId="0" borderId="0" applyFont="0" applyFill="0" applyBorder="0" applyAlignment="0" applyProtection="0"/>
    <xf numFmtId="184" fontId="108" fillId="0" borderId="0" applyFont="0" applyFill="0" applyBorder="0" applyAlignment="0" applyProtection="0"/>
    <xf numFmtId="184" fontId="108" fillId="0" borderId="0" applyFont="0" applyFill="0" applyBorder="0" applyAlignment="0" applyProtection="0"/>
    <xf numFmtId="184" fontId="108" fillId="0" borderId="0" applyFont="0" applyFill="0" applyBorder="0" applyAlignment="0" applyProtection="0"/>
    <xf numFmtId="184" fontId="108" fillId="0" borderId="0" applyFont="0" applyFill="0" applyBorder="0" applyAlignment="0" applyProtection="0"/>
    <xf numFmtId="185" fontId="0" fillId="0" borderId="0" applyFill="0" applyBorder="0" applyAlignment="0" applyProtection="0"/>
    <xf numFmtId="186" fontId="63" fillId="0" borderId="0" applyFill="0" applyBorder="0" applyAlignment="0" applyProtection="0"/>
    <xf numFmtId="17" fontId="65" fillId="0" borderId="0" applyFill="0" applyBorder="0">
      <alignment horizontal="right"/>
      <protection/>
    </xf>
    <xf numFmtId="174" fontId="66" fillId="0" borderId="2" applyBorder="0">
      <alignment vertical="center"/>
      <protection/>
    </xf>
    <xf numFmtId="174" fontId="66" fillId="0" borderId="2" applyBorder="0">
      <alignment vertical="center"/>
      <protection/>
    </xf>
    <xf numFmtId="0" fontId="29" fillId="65" borderId="0" applyNumberFormat="0" applyBorder="0" applyAlignment="0" applyProtection="0"/>
    <xf numFmtId="0" fontId="29" fillId="66" borderId="0" applyNumberFormat="0" applyBorder="0" applyAlignment="0" applyProtection="0"/>
    <xf numFmtId="0" fontId="29" fillId="67" borderId="0" applyNumberFormat="0" applyBorder="0" applyAlignment="0" applyProtection="0"/>
    <xf numFmtId="0" fontId="116" fillId="68" borderId="15" applyNumberFormat="0" applyAlignment="0" applyProtection="0"/>
    <xf numFmtId="173" fontId="116" fillId="68" borderId="15" applyNumberFormat="0" applyAlignment="0" applyProtection="0"/>
    <xf numFmtId="173" fontId="116" fillId="68" borderId="15" applyNumberFormat="0" applyAlignment="0" applyProtection="0"/>
    <xf numFmtId="0" fontId="116" fillId="68" borderId="15" applyNumberFormat="0" applyAlignment="0" applyProtection="0"/>
    <xf numFmtId="173" fontId="4" fillId="69" borderId="14" applyNumberFormat="0" applyAlignment="0" applyProtection="0"/>
    <xf numFmtId="173" fontId="4" fillId="69" borderId="14" applyNumberFormat="0" applyAlignment="0" applyProtection="0"/>
    <xf numFmtId="0" fontId="4" fillId="7" borderId="14" applyNumberFormat="0" applyAlignment="0" applyProtection="0"/>
    <xf numFmtId="0" fontId="4" fillId="7" borderId="14" applyNumberFormat="0" applyAlignment="0" applyProtection="0"/>
    <xf numFmtId="173" fontId="4" fillId="69" borderId="14" applyNumberFormat="0" applyAlignment="0" applyProtection="0"/>
    <xf numFmtId="173" fontId="4" fillId="69" borderId="14" applyNumberFormat="0" applyAlignment="0" applyProtection="0"/>
    <xf numFmtId="173" fontId="4" fillId="69" borderId="14" applyNumberFormat="0" applyAlignment="0" applyProtection="0"/>
    <xf numFmtId="173" fontId="4" fillId="69" borderId="14" applyNumberFormat="0" applyAlignment="0" applyProtection="0"/>
    <xf numFmtId="173" fontId="4" fillId="69" borderId="14" applyNumberFormat="0" applyAlignment="0" applyProtection="0"/>
    <xf numFmtId="173" fontId="4" fillId="69" borderId="14" applyNumberFormat="0" applyAlignment="0" applyProtection="0"/>
    <xf numFmtId="173" fontId="4" fillId="69" borderId="14" applyNumberFormat="0" applyAlignment="0" applyProtection="0"/>
    <xf numFmtId="173" fontId="4" fillId="69" borderId="14" applyNumberFormat="0" applyAlignment="0" applyProtection="0"/>
    <xf numFmtId="0" fontId="67" fillId="7" borderId="14" applyNumberFormat="0" applyAlignment="0" applyProtection="0"/>
    <xf numFmtId="0" fontId="67" fillId="7" borderId="14" applyNumberFormat="0" applyAlignment="0" applyProtection="0"/>
    <xf numFmtId="173" fontId="116" fillId="68" borderId="15" applyNumberFormat="0" applyAlignment="0" applyProtection="0"/>
    <xf numFmtId="173" fontId="116" fillId="68" borderId="15" applyNumberFormat="0" applyAlignment="0" applyProtection="0"/>
    <xf numFmtId="173" fontId="116" fillId="68" borderId="15" applyNumberFormat="0" applyAlignment="0" applyProtection="0"/>
    <xf numFmtId="173" fontId="116" fillId="68" borderId="15" applyNumberFormat="0" applyAlignment="0" applyProtection="0"/>
    <xf numFmtId="173" fontId="116" fillId="68" borderId="15" applyNumberFormat="0" applyAlignment="0" applyProtection="0"/>
    <xf numFmtId="0"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67" fontId="0"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87" fontId="0" fillId="0" borderId="0" applyFont="0" applyFill="0" applyBorder="0" applyAlignment="0" applyProtection="0"/>
    <xf numFmtId="44" fontId="0" fillId="0" borderId="0" applyFont="0" applyFill="0" applyBorder="0" applyAlignment="0" applyProtection="0"/>
    <xf numFmtId="174" fontId="68" fillId="17" borderId="19" applyNumberFormat="0">
      <alignment/>
      <protection/>
    </xf>
    <xf numFmtId="0" fontId="30" fillId="0" borderId="0" applyNumberFormat="0" applyFill="0" applyBorder="0" applyAlignment="0" applyProtection="0"/>
    <xf numFmtId="174" fontId="13" fillId="53" borderId="20" applyNumberFormat="0">
      <alignment vertical="center"/>
      <protection/>
    </xf>
    <xf numFmtId="2" fontId="63" fillId="0" borderId="0" applyFill="0" applyBorder="0" applyAlignment="0" applyProtection="0"/>
    <xf numFmtId="0" fontId="2" fillId="4" borderId="0" applyNumberFormat="0" applyBorder="0" applyAlignment="0" applyProtection="0"/>
    <xf numFmtId="38" fontId="69" fillId="53" borderId="0" applyNumberFormat="0" applyFont="0" applyBorder="0" applyAlignment="0">
      <protection hidden="1"/>
    </xf>
    <xf numFmtId="174" fontId="70" fillId="53" borderId="21" applyNumberFormat="0">
      <alignment vertical="center"/>
      <protection/>
    </xf>
    <xf numFmtId="0" fontId="8" fillId="0" borderId="4" applyNumberFormat="0" applyFill="0" applyAlignment="0" applyProtection="0"/>
    <xf numFmtId="0" fontId="24" fillId="0" borderId="7" applyNumberFormat="0" applyFill="0" applyAlignment="0" applyProtection="0"/>
    <xf numFmtId="0" fontId="25" fillId="0" borderId="10" applyNumberFormat="0" applyFill="0" applyAlignment="0" applyProtection="0"/>
    <xf numFmtId="0" fontId="25" fillId="0" borderId="0" applyNumberFormat="0" applyFill="0" applyBorder="0" applyAlignment="0" applyProtection="0"/>
    <xf numFmtId="0" fontId="54" fillId="0" borderId="0" applyNumberFormat="0" applyFill="0" applyBorder="0" applyAlignment="0" applyProtection="0"/>
    <xf numFmtId="0" fontId="71" fillId="0" borderId="0" applyNumberForma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31"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120" fillId="70" borderId="0" applyNumberFormat="0" applyBorder="0" applyAlignment="0" applyProtection="0"/>
    <xf numFmtId="0" fontId="32"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4" fillId="7" borderId="14" applyNumberFormat="0" applyAlignment="0" applyProtection="0"/>
    <xf numFmtId="175" fontId="74" fillId="69" borderId="22" applyNumberFormat="0">
      <alignment vertical="center"/>
      <protection/>
    </xf>
    <xf numFmtId="0" fontId="4" fillId="7" borderId="14" applyNumberFormat="0" applyAlignment="0" applyProtection="0"/>
    <xf numFmtId="0" fontId="4" fillId="7" borderId="14" applyNumberFormat="0" applyAlignment="0" applyProtection="0"/>
    <xf numFmtId="0" fontId="4" fillId="7" borderId="14" applyNumberFormat="0" applyAlignment="0" applyProtection="0"/>
    <xf numFmtId="0" fontId="67" fillId="48" borderId="14" applyNumberFormat="0" applyAlignment="0" applyProtection="0"/>
    <xf numFmtId="0" fontId="67" fillId="48" borderId="14" applyNumberFormat="0" applyAlignment="0" applyProtection="0"/>
    <xf numFmtId="0" fontId="4" fillId="7" borderId="14" applyNumberFormat="0" applyAlignment="0" applyProtection="0"/>
    <xf numFmtId="0" fontId="4" fillId="7" borderId="14" applyNumberFormat="0" applyAlignment="0" applyProtection="0"/>
    <xf numFmtId="188" fontId="69" fillId="51" borderId="0" applyFont="0" applyBorder="0" applyAlignment="0" applyProtection="0"/>
    <xf numFmtId="189" fontId="69" fillId="51" borderId="0">
      <alignment/>
      <protection locked="0"/>
    </xf>
    <xf numFmtId="190" fontId="69" fillId="51" borderId="0" applyFont="0" applyBorder="0" applyAlignment="0">
      <protection locked="0"/>
    </xf>
    <xf numFmtId="10" fontId="69" fillId="51" borderId="0">
      <alignment/>
      <protection locked="0"/>
    </xf>
    <xf numFmtId="197" fontId="97" fillId="0" borderId="23" applyNumberFormat="0" applyFont="0" applyFill="0" applyAlignment="0" applyProtection="0"/>
    <xf numFmtId="0" fontId="27" fillId="0" borderId="17" applyNumberFormat="0" applyFill="0" applyAlignment="0" applyProtection="0"/>
    <xf numFmtId="19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9" fontId="0" fillId="0" borderId="0" applyFont="0" applyFill="0" applyBorder="0" applyAlignment="0" applyProtection="0"/>
    <xf numFmtId="44" fontId="108" fillId="0" borderId="0" applyFont="0" applyFill="0" applyBorder="0" applyAlignment="0" applyProtection="0"/>
    <xf numFmtId="44" fontId="108" fillId="0" borderId="0" applyFont="0" applyFill="0" applyBorder="0" applyAlignment="0" applyProtection="0"/>
    <xf numFmtId="44" fontId="108" fillId="0" borderId="0" applyFont="0" applyFill="0" applyBorder="0" applyAlignment="0" applyProtection="0"/>
    <xf numFmtId="44" fontId="108" fillId="0" borderId="0" applyFont="0" applyFill="0" applyBorder="0" applyAlignment="0" applyProtection="0"/>
    <xf numFmtId="44" fontId="108" fillId="0" borderId="0" applyFont="0" applyFill="0" applyBorder="0" applyAlignment="0" applyProtection="0"/>
    <xf numFmtId="44" fontId="108"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92" fontId="0" fillId="0" borderId="0" applyFont="0" applyFill="0" applyBorder="0" applyAlignment="0" applyProtection="0"/>
    <xf numFmtId="193" fontId="0" fillId="0" borderId="0">
      <alignment/>
      <protection/>
    </xf>
    <xf numFmtId="174" fontId="74" fillId="6" borderId="24" applyNumberFormat="0">
      <alignment vertical="center"/>
      <protection locked="0"/>
    </xf>
    <xf numFmtId="174" fontId="75" fillId="0" borderId="0" applyNumberFormat="0" applyBorder="0">
      <alignment horizontal="left" vertical="top"/>
      <protection/>
    </xf>
    <xf numFmtId="0" fontId="33" fillId="71" borderId="0" applyNumberFormat="0" applyBorder="0" applyAlignment="0" applyProtection="0"/>
    <xf numFmtId="0" fontId="121" fillId="72" borderId="0" applyNumberFormat="0" applyBorder="0" applyAlignment="0" applyProtection="0"/>
    <xf numFmtId="0" fontId="121" fillId="72" borderId="0" applyNumberFormat="0" applyBorder="0" applyAlignment="0" applyProtection="0"/>
    <xf numFmtId="0" fontId="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194" fontId="76" fillId="0" borderId="0">
      <alignment/>
      <protection/>
    </xf>
    <xf numFmtId="189" fontId="0" fillId="0" borderId="0" applyFont="0" applyFill="0" applyBorder="0" applyAlignment="0">
      <protection/>
    </xf>
    <xf numFmtId="40" fontId="69" fillId="0" borderId="0" applyFont="0" applyFill="0" applyBorder="0" applyAlignment="0">
      <protection/>
    </xf>
    <xf numFmtId="195" fontId="69" fillId="0" borderId="0" applyFont="0" applyFill="0" applyBorder="0" applyAlignment="0">
      <protection/>
    </xf>
    <xf numFmtId="0" fontId="108" fillId="0" borderId="0">
      <alignment/>
      <protection/>
    </xf>
    <xf numFmtId="196" fontId="0" fillId="0" borderId="0">
      <alignment/>
      <protection/>
    </xf>
    <xf numFmtId="173" fontId="0"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0" fillId="0" borderId="0">
      <alignment/>
      <protection/>
    </xf>
    <xf numFmtId="0" fontId="108" fillId="0" borderId="0">
      <alignment/>
      <protection/>
    </xf>
    <xf numFmtId="0" fontId="108" fillId="0" borderId="0">
      <alignment/>
      <protection/>
    </xf>
    <xf numFmtId="0" fontId="108" fillId="0" borderId="0">
      <alignment/>
      <protection/>
    </xf>
    <xf numFmtId="0"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0" fontId="108" fillId="0" borderId="0">
      <alignment/>
      <protection/>
    </xf>
    <xf numFmtId="0" fontId="0" fillId="0" borderId="0">
      <alignment/>
      <protection/>
    </xf>
    <xf numFmtId="1" fontId="77" fillId="0" borderId="0">
      <alignment/>
      <protection/>
    </xf>
    <xf numFmtId="0" fontId="0" fillId="0" borderId="0">
      <alignment/>
      <protection/>
    </xf>
    <xf numFmtId="0" fontId="0"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0"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6" fillId="0" borderId="0">
      <alignment/>
      <protection/>
    </xf>
    <xf numFmtId="0" fontId="6" fillId="0" borderId="0">
      <alignment/>
      <protection/>
    </xf>
    <xf numFmtId="0" fontId="0"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108" fillId="0" borderId="0">
      <alignment/>
      <protection/>
    </xf>
    <xf numFmtId="194" fontId="78" fillId="0" borderId="0">
      <alignment/>
      <protection/>
    </xf>
    <xf numFmtId="194" fontId="78" fillId="0" borderId="0">
      <alignment/>
      <protection/>
    </xf>
    <xf numFmtId="194" fontId="7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08"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0" fillId="0" borderId="0">
      <alignment/>
      <protection/>
    </xf>
    <xf numFmtId="0" fontId="0" fillId="0" borderId="0">
      <alignment/>
      <protection/>
    </xf>
    <xf numFmtId="0" fontId="6" fillId="0" borderId="0">
      <alignment/>
      <protection/>
    </xf>
    <xf numFmtId="0" fontId="108" fillId="0" borderId="0">
      <alignment/>
      <protection/>
    </xf>
    <xf numFmtId="0" fontId="1" fillId="0" borderId="0">
      <alignment/>
      <protection/>
    </xf>
    <xf numFmtId="0" fontId="108" fillId="0" borderId="0">
      <alignment/>
      <protection/>
    </xf>
    <xf numFmtId="0" fontId="108" fillId="0" borderId="0">
      <alignment/>
      <protection/>
    </xf>
    <xf numFmtId="0" fontId="34"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0" fillId="0" borderId="0">
      <alignment/>
      <protection/>
    </xf>
    <xf numFmtId="175" fontId="7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8" fillId="0" borderId="0">
      <alignment/>
      <protection/>
    </xf>
    <xf numFmtId="0" fontId="108" fillId="0" borderId="0">
      <alignment/>
      <protection/>
    </xf>
    <xf numFmtId="0" fontId="0" fillId="0" borderId="0">
      <alignment/>
      <protection/>
    </xf>
    <xf numFmtId="0" fontId="6" fillId="0" borderId="0">
      <alignment/>
      <protection/>
    </xf>
    <xf numFmtId="164" fontId="78" fillId="0" borderId="0">
      <alignment/>
      <protection/>
    </xf>
    <xf numFmtId="164" fontId="78" fillId="0" borderId="0">
      <alignment/>
      <protection/>
    </xf>
    <xf numFmtId="164" fontId="78" fillId="0" borderId="0">
      <alignment/>
      <protection/>
    </xf>
    <xf numFmtId="164" fontId="78" fillId="0" borderId="0">
      <alignment/>
      <protection/>
    </xf>
    <xf numFmtId="164" fontId="7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164" fontId="78" fillId="0" borderId="0">
      <alignment/>
      <protection/>
    </xf>
    <xf numFmtId="164" fontId="78" fillId="0" borderId="0">
      <alignment/>
      <protection/>
    </xf>
    <xf numFmtId="164" fontId="78"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108" fillId="0" borderId="0">
      <alignment/>
      <protection/>
    </xf>
    <xf numFmtId="0" fontId="108" fillId="0" borderId="0">
      <alignment/>
      <protection/>
    </xf>
    <xf numFmtId="0" fontId="10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8" fillId="0" borderId="0">
      <alignment/>
      <protection/>
    </xf>
    <xf numFmtId="0" fontId="10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0" fontId="6" fillId="0" borderId="0">
      <alignment/>
      <protection/>
    </xf>
    <xf numFmtId="0" fontId="6" fillId="0" borderId="0">
      <alignment/>
      <protection/>
    </xf>
    <xf numFmtId="0" fontId="6" fillId="0" borderId="0">
      <alignment/>
      <protection/>
    </xf>
    <xf numFmtId="0" fontId="108" fillId="0" borderId="0">
      <alignment/>
      <protection/>
    </xf>
    <xf numFmtId="0" fontId="108" fillId="0" borderId="0">
      <alignment/>
      <protection/>
    </xf>
    <xf numFmtId="0" fontId="108" fillId="0" borderId="0">
      <alignment/>
      <protection/>
    </xf>
    <xf numFmtId="0" fontId="0" fillId="0" borderId="0">
      <alignment/>
      <protection/>
    </xf>
    <xf numFmtId="0" fontId="108" fillId="0" borderId="0">
      <alignment/>
      <protection/>
    </xf>
    <xf numFmtId="0" fontId="108" fillId="0" borderId="0">
      <alignment/>
      <protection/>
    </xf>
    <xf numFmtId="0" fontId="10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8" fillId="0" borderId="0">
      <alignment/>
      <protection/>
    </xf>
    <xf numFmtId="0" fontId="108" fillId="0" borderId="0">
      <alignment/>
      <protection/>
    </xf>
    <xf numFmtId="0" fontId="108" fillId="0" borderId="0">
      <alignment/>
      <protection/>
    </xf>
    <xf numFmtId="0" fontId="0" fillId="0" borderId="0">
      <alignment/>
      <protection/>
    </xf>
    <xf numFmtId="0" fontId="34" fillId="0" borderId="0">
      <alignment/>
      <protection/>
    </xf>
    <xf numFmtId="0" fontId="108" fillId="0" borderId="0">
      <alignment/>
      <protection/>
    </xf>
    <xf numFmtId="0" fontId="108" fillId="0" borderId="0">
      <alignment/>
      <protection/>
    </xf>
    <xf numFmtId="0" fontId="108" fillId="0" borderId="0">
      <alignment/>
      <protection/>
    </xf>
    <xf numFmtId="0" fontId="122" fillId="0" borderId="0">
      <alignment/>
      <protection/>
    </xf>
    <xf numFmtId="0" fontId="123" fillId="0" borderId="0">
      <alignment/>
      <protection/>
    </xf>
    <xf numFmtId="0" fontId="108" fillId="0" borderId="0">
      <alignment/>
      <protection/>
    </xf>
    <xf numFmtId="0" fontId="0" fillId="0" borderId="0">
      <alignment/>
      <protection/>
    </xf>
    <xf numFmtId="173" fontId="0" fillId="0" borderId="0">
      <alignment/>
      <protection/>
    </xf>
    <xf numFmtId="173" fontId="0"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 fillId="0" borderId="0">
      <alignment/>
      <protection/>
    </xf>
    <xf numFmtId="0" fontId="108" fillId="0" borderId="0">
      <alignment/>
      <protection/>
    </xf>
    <xf numFmtId="0" fontId="108" fillId="0" borderId="0">
      <alignment/>
      <protection/>
    </xf>
    <xf numFmtId="0" fontId="108" fillId="0" borderId="0">
      <alignment/>
      <protection/>
    </xf>
    <xf numFmtId="0" fontId="0" fillId="0" borderId="0">
      <alignment/>
      <protection/>
    </xf>
    <xf numFmtId="0" fontId="108" fillId="0" borderId="0">
      <alignment/>
      <protection/>
    </xf>
    <xf numFmtId="0" fontId="108" fillId="0" borderId="0">
      <alignment/>
      <protection/>
    </xf>
    <xf numFmtId="0" fontId="1"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6"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0" fillId="0" borderId="0">
      <alignment/>
      <protection/>
    </xf>
    <xf numFmtId="0" fontId="108" fillId="0" borderId="0">
      <alignment/>
      <protection/>
    </xf>
    <xf numFmtId="0" fontId="108" fillId="0" borderId="0">
      <alignment/>
      <protection/>
    </xf>
    <xf numFmtId="0" fontId="6" fillId="0" borderId="0">
      <alignment/>
      <protection/>
    </xf>
    <xf numFmtId="0" fontId="6" fillId="0" borderId="0">
      <alignment/>
      <protection/>
    </xf>
    <xf numFmtId="0" fontId="34" fillId="0" borderId="0">
      <alignment/>
      <protection/>
    </xf>
    <xf numFmtId="189" fontId="65" fillId="0" borderId="0" applyNumberFormat="0" applyFill="0" applyBorder="0" applyAlignment="0" applyProtection="0"/>
    <xf numFmtId="165" fontId="81" fillId="0" borderId="0">
      <alignment/>
      <protection/>
    </xf>
    <xf numFmtId="0" fontId="0" fillId="73" borderId="25" applyNumberFormat="0" applyFont="0" applyAlignment="0" applyProtection="0"/>
    <xf numFmtId="173" fontId="108" fillId="73" borderId="25" applyNumberFormat="0" applyFont="0" applyAlignment="0" applyProtection="0"/>
    <xf numFmtId="173" fontId="108" fillId="73" borderId="25" applyNumberFormat="0" applyFont="0" applyAlignment="0" applyProtection="0"/>
    <xf numFmtId="173" fontId="108" fillId="73" borderId="25" applyNumberFormat="0" applyFont="0" applyAlignment="0" applyProtection="0"/>
    <xf numFmtId="173" fontId="108" fillId="73" borderId="25" applyNumberFormat="0" applyFont="0" applyAlignment="0" applyProtection="0"/>
    <xf numFmtId="173" fontId="108" fillId="73" borderId="25" applyNumberFormat="0" applyFont="0" applyAlignment="0" applyProtection="0"/>
    <xf numFmtId="173" fontId="108" fillId="73" borderId="25" applyNumberFormat="0" applyFont="0" applyAlignment="0" applyProtection="0"/>
    <xf numFmtId="173" fontId="0" fillId="51" borderId="26" applyNumberFormat="0" applyFont="0" applyAlignment="0" applyProtection="0"/>
    <xf numFmtId="0" fontId="0" fillId="51" borderId="26" applyNumberFormat="0" applyFont="0" applyAlignment="0" applyProtection="0"/>
    <xf numFmtId="173" fontId="0" fillId="51" borderId="26" applyNumberFormat="0" applyFont="0" applyAlignment="0" applyProtection="0"/>
    <xf numFmtId="173" fontId="0" fillId="51" borderId="26" applyNumberFormat="0" applyFont="0" applyAlignment="0" applyProtection="0"/>
    <xf numFmtId="0" fontId="0" fillId="51" borderId="26" applyNumberFormat="0" applyFont="0" applyAlignment="0" applyProtection="0"/>
    <xf numFmtId="0" fontId="0" fillId="51" borderId="26" applyNumberFormat="0" applyFont="0" applyAlignment="0" applyProtection="0"/>
    <xf numFmtId="173" fontId="0" fillId="51" borderId="26" applyNumberFormat="0" applyFont="0" applyAlignment="0" applyProtection="0"/>
    <xf numFmtId="173" fontId="0" fillId="51" borderId="26" applyNumberFormat="0" applyFont="0" applyAlignment="0" applyProtection="0"/>
    <xf numFmtId="173" fontId="0" fillId="51" borderId="26" applyNumberFormat="0" applyFont="0" applyAlignment="0" applyProtection="0"/>
    <xf numFmtId="173" fontId="0" fillId="51" borderId="26" applyNumberFormat="0" applyFont="0" applyAlignment="0" applyProtection="0"/>
    <xf numFmtId="173" fontId="0" fillId="51" borderId="26" applyNumberFormat="0" applyFont="0" applyAlignment="0" applyProtection="0"/>
    <xf numFmtId="173" fontId="0" fillId="51" borderId="26" applyNumberFormat="0" applyFont="0" applyAlignment="0" applyProtection="0"/>
    <xf numFmtId="173" fontId="0" fillId="51" borderId="26" applyNumberFormat="0" applyFont="0" applyAlignment="0" applyProtection="0"/>
    <xf numFmtId="173" fontId="0" fillId="51" borderId="26" applyNumberFormat="0" applyFont="0" applyAlignment="0" applyProtection="0"/>
    <xf numFmtId="0" fontId="22" fillId="51" borderId="26" applyNumberFormat="0" applyFont="0" applyAlignment="0" applyProtection="0"/>
    <xf numFmtId="0" fontId="22" fillId="51" borderId="26" applyNumberFormat="0" applyFont="0" applyAlignment="0" applyProtection="0"/>
    <xf numFmtId="173" fontId="108" fillId="73" borderId="25" applyNumberFormat="0" applyFont="0" applyAlignment="0" applyProtection="0"/>
    <xf numFmtId="173" fontId="108" fillId="73" borderId="25" applyNumberFormat="0" applyFont="0" applyAlignment="0" applyProtection="0"/>
    <xf numFmtId="173" fontId="108" fillId="73" borderId="25" applyNumberFormat="0" applyFont="0" applyAlignment="0" applyProtection="0"/>
    <xf numFmtId="173" fontId="108" fillId="73" borderId="25" applyNumberFormat="0" applyFont="0" applyAlignment="0" applyProtection="0"/>
    <xf numFmtId="173" fontId="108" fillId="73" borderId="25" applyNumberFormat="0" applyFont="0" applyAlignment="0" applyProtection="0"/>
    <xf numFmtId="173" fontId="108" fillId="73" borderId="25" applyNumberFormat="0" applyFont="0" applyAlignment="0" applyProtection="0"/>
    <xf numFmtId="173" fontId="108" fillId="73" borderId="25" applyNumberFormat="0" applyFont="0" applyAlignment="0" applyProtection="0"/>
    <xf numFmtId="173" fontId="108" fillId="73" borderId="25" applyNumberFormat="0" applyFont="0" applyAlignment="0" applyProtection="0"/>
    <xf numFmtId="173" fontId="108" fillId="73" borderId="25" applyNumberFormat="0" applyFont="0" applyAlignment="0" applyProtection="0"/>
    <xf numFmtId="173" fontId="108" fillId="73" borderId="25" applyNumberFormat="0" applyFont="0" applyAlignment="0" applyProtection="0"/>
    <xf numFmtId="173" fontId="108" fillId="73" borderId="25" applyNumberFormat="0" applyFont="0" applyAlignment="0" applyProtection="0"/>
    <xf numFmtId="173" fontId="108" fillId="73" borderId="25" applyNumberFormat="0" applyFont="0" applyAlignment="0" applyProtection="0"/>
    <xf numFmtId="173" fontId="108" fillId="73" borderId="25" applyNumberFormat="0" applyFont="0" applyAlignment="0" applyProtection="0"/>
    <xf numFmtId="173" fontId="108" fillId="73" borderId="25" applyNumberFormat="0" applyFont="0" applyAlignment="0" applyProtection="0"/>
    <xf numFmtId="173" fontId="108" fillId="73" borderId="25" applyNumberFormat="0" applyFont="0" applyAlignment="0" applyProtection="0"/>
    <xf numFmtId="0" fontId="0" fillId="51" borderId="26" applyNumberFormat="0" applyFont="0" applyAlignment="0" applyProtection="0"/>
    <xf numFmtId="0" fontId="0" fillId="51" borderId="26" applyNumberFormat="0" applyFont="0" applyAlignment="0" applyProtection="0"/>
    <xf numFmtId="0" fontId="0" fillId="51" borderId="26" applyNumberFormat="0" applyFont="0" applyAlignment="0" applyProtection="0"/>
    <xf numFmtId="0" fontId="0" fillId="51" borderId="26" applyNumberFormat="0" applyFont="0" applyAlignment="0" applyProtection="0"/>
    <xf numFmtId="0" fontId="0" fillId="38" borderId="26" applyNumberFormat="0" applyFont="0" applyAlignment="0" applyProtection="0"/>
    <xf numFmtId="0" fontId="0" fillId="38" borderId="26" applyNumberFormat="0" applyFont="0" applyAlignment="0" applyProtection="0"/>
    <xf numFmtId="0" fontId="0" fillId="51" borderId="26" applyNumberFormat="0" applyFont="0" applyAlignment="0" applyProtection="0"/>
    <xf numFmtId="0" fontId="0" fillId="51" borderId="26" applyNumberFormat="0" applyFont="0" applyAlignment="0" applyProtection="0"/>
    <xf numFmtId="3" fontId="0" fillId="0" borderId="0" applyFont="0" applyFill="0" applyBorder="0" applyAlignment="0" applyProtection="0"/>
    <xf numFmtId="0" fontId="82" fillId="0" borderId="27" applyNumberFormat="0" applyFill="0" applyBorder="0" applyProtection="0">
      <alignment vertical="top" wrapText="1"/>
    </xf>
    <xf numFmtId="0" fontId="35" fillId="54" borderId="20" applyNumberFormat="0" applyAlignment="0" applyProtection="0"/>
    <xf numFmtId="0" fontId="35" fillId="54" borderId="20" applyNumberFormat="0" applyAlignment="0" applyProtection="0"/>
    <xf numFmtId="0" fontId="35" fillId="54" borderId="20" applyNumberFormat="0" applyAlignment="0" applyProtection="0"/>
    <xf numFmtId="0" fontId="35" fillId="54" borderId="20" applyNumberFormat="0" applyAlignment="0" applyProtection="0"/>
    <xf numFmtId="0" fontId="35" fillId="54" borderId="20" applyNumberFormat="0" applyAlignment="0" applyProtection="0"/>
    <xf numFmtId="0" fontId="35" fillId="54" borderId="20" applyNumberFormat="0" applyAlignment="0" applyProtection="0"/>
    <xf numFmtId="0" fontId="35" fillId="54" borderId="20" applyNumberFormat="0" applyAlignment="0" applyProtection="0"/>
    <xf numFmtId="0" fontId="35" fillId="54" borderId="20" applyNumberFormat="0" applyAlignment="0" applyProtection="0"/>
    <xf numFmtId="197" fontId="69" fillId="0" borderId="28" applyNumberFormat="0" applyFill="0" applyBorder="0" applyAlignment="0" applyProtection="0"/>
    <xf numFmtId="9" fontId="0" fillId="0" borderId="0" applyFont="0" applyFill="0" applyBorder="0" applyAlignment="0" applyProtection="0"/>
    <xf numFmtId="198" fontId="0" fillId="0" borderId="0" applyFont="0" applyFill="0" applyBorder="0" applyAlignment="0">
      <protection/>
    </xf>
    <xf numFmtId="9" fontId="108"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83" fillId="0" borderId="0" applyFont="0" applyFill="0" applyBorder="0" applyAlignment="0" applyProtection="0"/>
    <xf numFmtId="9" fontId="68"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0"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0" fillId="0" borderId="0" applyFont="0" applyFill="0" applyBorder="0" applyAlignment="0" applyProtection="0"/>
    <xf numFmtId="9" fontId="108" fillId="0" borderId="0" applyFont="0" applyFill="0" applyBorder="0" applyAlignment="0" applyProtection="0"/>
    <xf numFmtId="9" fontId="6" fillId="0" borderId="0" applyFont="0" applyFill="0" applyBorder="0" applyAlignment="0" applyProtection="0"/>
    <xf numFmtId="9" fontId="10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8" fillId="0" borderId="0" applyFont="0" applyFill="0" applyBorder="0" applyAlignment="0" applyProtection="0"/>
    <xf numFmtId="9" fontId="34"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199" fontId="69" fillId="0" borderId="0" applyFont="0" applyFill="0" applyBorder="0" applyAlignment="0" applyProtection="0"/>
    <xf numFmtId="174" fontId="63" fillId="0" borderId="0" applyFont="0" applyFill="0" applyBorder="0" applyAlignment="0" applyProtection="0"/>
    <xf numFmtId="189" fontId="75" fillId="0" borderId="0" applyNumberFormat="0" applyFill="0" applyBorder="0" applyAlignment="0" applyProtection="0"/>
    <xf numFmtId="0" fontId="65" fillId="4" borderId="29" applyNumberFormat="0" applyFont="0" applyBorder="0" applyAlignment="0">
      <protection/>
    </xf>
    <xf numFmtId="0" fontId="124" fillId="55" borderId="30" applyNumberFormat="0" applyAlignment="0" applyProtection="0"/>
    <xf numFmtId="0" fontId="36" fillId="53" borderId="20" applyNumberFormat="0" applyAlignment="0" applyProtection="0"/>
    <xf numFmtId="0" fontId="36" fillId="53" borderId="20" applyNumberFormat="0" applyAlignment="0" applyProtection="0"/>
    <xf numFmtId="0" fontId="36" fillId="53" borderId="20" applyNumberFormat="0" applyAlignment="0" applyProtection="0"/>
    <xf numFmtId="0" fontId="36" fillId="53" borderId="20" applyNumberFormat="0" applyAlignment="0" applyProtection="0"/>
    <xf numFmtId="0" fontId="36" fillId="53" borderId="20" applyNumberFormat="0" applyAlignment="0" applyProtection="0"/>
    <xf numFmtId="0" fontId="36" fillId="53" borderId="20" applyNumberFormat="0" applyAlignment="0" applyProtection="0"/>
    <xf numFmtId="0" fontId="35" fillId="53" borderId="20" applyNumberFormat="0" applyAlignment="0" applyProtection="0"/>
    <xf numFmtId="0" fontId="35" fillId="53" borderId="20" applyNumberFormat="0" applyAlignment="0" applyProtection="0"/>
    <xf numFmtId="41" fontId="0" fillId="0" borderId="0" applyFont="0" applyFill="0" applyBorder="0" applyAlignment="0" applyProtection="0"/>
    <xf numFmtId="0" fontId="37" fillId="0" borderId="0" applyNumberFormat="0" applyFill="0" applyBorder="0" applyAlignment="0" applyProtection="0"/>
    <xf numFmtId="174" fontId="0" fillId="53" borderId="0">
      <alignment horizontal="center" vertical="center"/>
      <protection/>
    </xf>
    <xf numFmtId="197" fontId="9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5" fillId="0" borderId="0" applyNumberFormat="0" applyFill="0" applyBorder="0" applyAlignment="0" applyProtection="0"/>
    <xf numFmtId="173" fontId="125" fillId="0" borderId="0" applyNumberFormat="0" applyFill="0" applyBorder="0" applyAlignment="0" applyProtection="0"/>
    <xf numFmtId="173" fontId="125" fillId="0" borderId="0" applyNumberFormat="0" applyFill="0" applyBorder="0" applyAlignment="0" applyProtection="0"/>
    <xf numFmtId="0" fontId="38" fillId="0" borderId="0" applyNumberFormat="0" applyFill="0" applyBorder="0" applyAlignment="0" applyProtection="0"/>
    <xf numFmtId="173" fontId="38" fillId="0" borderId="0" applyNumberFormat="0" applyFill="0" applyBorder="0" applyAlignment="0" applyProtection="0"/>
    <xf numFmtId="173" fontId="38" fillId="0" borderId="0" applyNumberFormat="0" applyFill="0" applyBorder="0" applyAlignment="0" applyProtection="0"/>
    <xf numFmtId="173" fontId="38" fillId="0" borderId="0" applyNumberFormat="0" applyFill="0" applyBorder="0" applyAlignment="0" applyProtection="0"/>
    <xf numFmtId="173" fontId="38" fillId="0" borderId="0" applyNumberFormat="0" applyFill="0" applyBorder="0" applyAlignment="0" applyProtection="0"/>
    <xf numFmtId="173" fontId="38" fillId="0" borderId="0" applyNumberFormat="0" applyFill="0" applyBorder="0" applyAlignment="0" applyProtection="0"/>
    <xf numFmtId="173" fontId="38" fillId="0" borderId="0" applyNumberFormat="0" applyFill="0" applyBorder="0" applyAlignment="0" applyProtection="0"/>
    <xf numFmtId="173" fontId="38" fillId="0" borderId="0" applyNumberFormat="0" applyFill="0" applyBorder="0" applyAlignment="0" applyProtection="0"/>
    <xf numFmtId="173" fontId="38" fillId="0" borderId="0" applyNumberFormat="0" applyFill="0" applyBorder="0" applyAlignment="0" applyProtection="0"/>
    <xf numFmtId="173" fontId="38" fillId="0" borderId="0" applyNumberFormat="0" applyFill="0" applyBorder="0" applyAlignment="0" applyProtection="0"/>
    <xf numFmtId="173" fontId="38"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173" fontId="125" fillId="0" borderId="0" applyNumberFormat="0" applyFill="0" applyBorder="0" applyAlignment="0" applyProtection="0"/>
    <xf numFmtId="173" fontId="125" fillId="0" borderId="0" applyNumberFormat="0" applyFill="0" applyBorder="0" applyAlignment="0" applyProtection="0"/>
    <xf numFmtId="173" fontId="125" fillId="0" borderId="0" applyNumberFormat="0" applyFill="0" applyBorder="0" applyAlignment="0" applyProtection="0"/>
    <xf numFmtId="173" fontId="125" fillId="0" borderId="0" applyNumberFormat="0" applyFill="0" applyBorder="0" applyAlignment="0" applyProtection="0"/>
    <xf numFmtId="173" fontId="125" fillId="0" borderId="0" applyNumberFormat="0" applyFill="0" applyBorder="0" applyAlignment="0" applyProtection="0"/>
    <xf numFmtId="0" fontId="126" fillId="0" borderId="0" applyNumberFormat="0" applyFill="0" applyBorder="0" applyAlignment="0" applyProtection="0"/>
    <xf numFmtId="0" fontId="30"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39" fillId="0" borderId="0" applyNumberFormat="0" applyFill="0" applyBorder="0" applyAlignment="0" applyProtection="0"/>
    <xf numFmtId="175" fontId="86" fillId="74" borderId="0" applyNumberFormat="0">
      <alignment vertical="center"/>
      <protection/>
    </xf>
    <xf numFmtId="175" fontId="87" fillId="0" borderId="0" applyNumberFormat="0">
      <alignment vertical="center"/>
      <protection/>
    </xf>
    <xf numFmtId="175" fontId="88" fillId="0" borderId="0" applyNumberFormat="0">
      <alignment vertical="center"/>
      <protection/>
    </xf>
    <xf numFmtId="174" fontId="89" fillId="0" borderId="0">
      <alignment vertical="center"/>
      <protection/>
    </xf>
    <xf numFmtId="0" fontId="127"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128" fillId="0" borderId="31" applyNumberFormat="0" applyFill="0" applyAlignment="0" applyProtection="0"/>
    <xf numFmtId="0" fontId="36" fillId="0" borderId="32" applyNumberFormat="0" applyFill="0" applyAlignment="0" applyProtection="0"/>
    <xf numFmtId="0" fontId="36" fillId="0" borderId="32" applyNumberFormat="0" applyFill="0" applyAlignment="0" applyProtection="0"/>
    <xf numFmtId="0" fontId="36" fillId="0" borderId="32" applyNumberFormat="0" applyFill="0" applyAlignment="0" applyProtection="0"/>
    <xf numFmtId="0" fontId="36" fillId="0" borderId="32" applyNumberFormat="0" applyFill="0" applyAlignment="0" applyProtection="0"/>
    <xf numFmtId="0" fontId="36" fillId="0" borderId="32" applyNumberFormat="0" applyFill="0" applyAlignment="0" applyProtection="0"/>
    <xf numFmtId="0" fontId="36" fillId="0" borderId="32" applyNumberFormat="0" applyFill="0" applyAlignment="0" applyProtection="0"/>
    <xf numFmtId="0" fontId="36" fillId="0" borderId="32" applyNumberFormat="0" applyFill="0" applyAlignment="0" applyProtection="0"/>
    <xf numFmtId="0" fontId="36" fillId="0" borderId="32" applyNumberFormat="0" applyFill="0" applyAlignment="0" applyProtection="0"/>
    <xf numFmtId="0" fontId="36" fillId="0" borderId="32" applyNumberFormat="0" applyFill="0" applyAlignment="0" applyProtection="0"/>
    <xf numFmtId="0" fontId="40" fillId="0" borderId="33" applyNumberFormat="0" applyFill="0" applyAlignment="0" applyProtection="0"/>
    <xf numFmtId="173" fontId="36" fillId="0" borderId="32" applyNumberFormat="0" applyFill="0" applyAlignment="0" applyProtection="0"/>
    <xf numFmtId="173" fontId="36" fillId="0" borderId="32" applyNumberFormat="0" applyFill="0" applyAlignment="0" applyProtection="0"/>
    <xf numFmtId="0" fontId="40" fillId="0" borderId="33" applyNumberFormat="0" applyFill="0" applyAlignment="0" applyProtection="0"/>
    <xf numFmtId="0" fontId="40" fillId="0" borderId="33" applyNumberFormat="0" applyFill="0" applyAlignment="0" applyProtection="0"/>
    <xf numFmtId="0" fontId="36"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36" fillId="0" borderId="32" applyNumberFormat="0" applyFill="0" applyAlignment="0" applyProtection="0"/>
    <xf numFmtId="173" fontId="36" fillId="0" borderId="32" applyNumberFormat="0" applyFill="0" applyAlignment="0" applyProtection="0"/>
    <xf numFmtId="173" fontId="36" fillId="0" borderId="32" applyNumberFormat="0" applyFill="0" applyAlignment="0" applyProtection="0"/>
    <xf numFmtId="173" fontId="36" fillId="0" borderId="32" applyNumberFormat="0" applyFill="0" applyAlignment="0" applyProtection="0"/>
    <xf numFmtId="173" fontId="36" fillId="0" borderId="32" applyNumberFormat="0" applyFill="0" applyAlignment="0" applyProtection="0"/>
    <xf numFmtId="173" fontId="36" fillId="0" borderId="32" applyNumberFormat="0" applyFill="0" applyAlignment="0" applyProtection="0"/>
    <xf numFmtId="173" fontId="36" fillId="0" borderId="32" applyNumberFormat="0" applyFill="0" applyAlignment="0" applyProtection="0"/>
    <xf numFmtId="0" fontId="29" fillId="0" borderId="33" applyNumberFormat="0" applyFill="0" applyAlignment="0" applyProtection="0"/>
    <xf numFmtId="0" fontId="29" fillId="0" borderId="33" applyNumberFormat="0" applyFill="0" applyAlignment="0" applyProtection="0"/>
    <xf numFmtId="0" fontId="36" fillId="0" borderId="32" applyNumberFormat="0" applyFill="0" applyAlignment="0" applyProtection="0"/>
    <xf numFmtId="0" fontId="36" fillId="0" borderId="32" applyNumberFormat="0" applyFill="0" applyAlignment="0" applyProtection="0"/>
    <xf numFmtId="0" fontId="36" fillId="0" borderId="32" applyNumberFormat="0" applyFill="0" applyAlignment="0" applyProtection="0"/>
    <xf numFmtId="0" fontId="36" fillId="0" borderId="32" applyNumberFormat="0" applyFill="0" applyAlignment="0" applyProtection="0"/>
    <xf numFmtId="0" fontId="36" fillId="0" borderId="32" applyNumberFormat="0" applyFill="0" applyAlignment="0" applyProtection="0"/>
    <xf numFmtId="0" fontId="129" fillId="75" borderId="34" applyNumberFormat="0" applyAlignment="0" applyProtection="0"/>
    <xf numFmtId="0" fontId="41" fillId="76" borderId="18" applyNumberFormat="0" applyAlignment="0" applyProtection="0"/>
    <xf numFmtId="0" fontId="28" fillId="76" borderId="18" applyNumberFormat="0" applyAlignment="0" applyProtection="0"/>
    <xf numFmtId="0" fontId="28" fillId="76" borderId="18" applyNumberFormat="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70" fontId="42" fillId="0" borderId="0" applyFont="0" applyFill="0" applyBorder="0" applyAlignment="0" applyProtection="0"/>
    <xf numFmtId="206" fontId="34"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3" fontId="108" fillId="0" borderId="0" applyFont="0" applyFill="0" applyBorder="0" applyAlignment="0" applyProtection="0"/>
    <xf numFmtId="171" fontId="6"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7" fontId="34" fillId="0" borderId="0" applyFont="0" applyFill="0" applyBorder="0" applyAlignment="0" applyProtection="0"/>
    <xf numFmtId="187"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34" fillId="0" borderId="0" applyFont="0" applyFill="0" applyBorder="0" applyAlignment="0" applyProtection="0"/>
    <xf numFmtId="43" fontId="10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0" fontId="38" fillId="0" borderId="0" applyNumberFormat="0" applyFill="0" applyBorder="0" applyAlignment="0" applyProtection="0"/>
  </cellStyleXfs>
  <cellXfs count="365">
    <xf numFmtId="0" fontId="0" fillId="0" borderId="0" xfId="0" applyAlignment="1">
      <alignment/>
    </xf>
    <xf numFmtId="164" fontId="7" fillId="77" borderId="0" xfId="1165" applyNumberFormat="1" applyFont="1" applyFill="1" applyAlignment="1">
      <alignment horizontal="right" vertical="center" wrapText="1"/>
    </xf>
    <xf numFmtId="165" fontId="7" fillId="77" borderId="0" xfId="916" applyNumberFormat="1" applyFont="1" applyFill="1" applyAlignment="1">
      <alignment vertical="center"/>
      <protection/>
    </xf>
    <xf numFmtId="164" fontId="7" fillId="77" borderId="0" xfId="1165" applyNumberFormat="1" applyFont="1" applyFill="1" applyAlignment="1">
      <alignment vertical="center"/>
    </xf>
    <xf numFmtId="165" fontId="7" fillId="78" borderId="0" xfId="916" applyNumberFormat="1" applyFont="1" applyFill="1" applyAlignment="1">
      <alignment vertical="center"/>
      <protection/>
    </xf>
    <xf numFmtId="165" fontId="7" fillId="79" borderId="0" xfId="916" applyNumberFormat="1" applyFont="1" applyFill="1" applyAlignment="1">
      <alignment vertical="center"/>
      <protection/>
    </xf>
    <xf numFmtId="165" fontId="9" fillId="78" borderId="0" xfId="177" applyNumberFormat="1" applyFont="1" applyFill="1" applyBorder="1" applyAlignment="1">
      <alignment vertical="center"/>
    </xf>
    <xf numFmtId="165" fontId="9" fillId="77" borderId="0" xfId="177" applyNumberFormat="1" applyFont="1" applyFill="1" applyBorder="1" applyAlignment="1">
      <alignment vertical="center"/>
    </xf>
    <xf numFmtId="165" fontId="10" fillId="77" borderId="0" xfId="880" applyNumberFormat="1" applyFont="1" applyFill="1" applyAlignment="1">
      <alignment vertical="center"/>
      <protection/>
    </xf>
    <xf numFmtId="3" fontId="130" fillId="78" borderId="0" xfId="916" applyNumberFormat="1" applyFont="1" applyFill="1" applyAlignment="1">
      <alignment vertical="center"/>
      <protection/>
    </xf>
    <xf numFmtId="165" fontId="130" fillId="78" borderId="0" xfId="916" applyNumberFormat="1" applyFont="1" applyFill="1" applyAlignment="1">
      <alignment vertical="center"/>
      <protection/>
    </xf>
    <xf numFmtId="3" fontId="7" fillId="77" borderId="0" xfId="916" applyNumberFormat="1" applyFont="1" applyFill="1" applyAlignment="1">
      <alignment vertical="center"/>
      <protection/>
    </xf>
    <xf numFmtId="165" fontId="10" fillId="77" borderId="0" xfId="1164" applyNumberFormat="1" applyFont="1" applyFill="1" applyAlignment="1">
      <alignment vertical="center"/>
    </xf>
    <xf numFmtId="165" fontId="10" fillId="78" borderId="0" xfId="880" applyNumberFormat="1" applyFont="1" applyFill="1" applyAlignment="1">
      <alignment vertical="center"/>
      <protection/>
    </xf>
    <xf numFmtId="165" fontId="12" fillId="77" borderId="0" xfId="880" applyNumberFormat="1" applyFont="1" applyFill="1" applyAlignment="1">
      <alignment vertical="center"/>
      <protection/>
    </xf>
    <xf numFmtId="164" fontId="10" fillId="77" borderId="0" xfId="1164" applyNumberFormat="1" applyFont="1" applyFill="1" applyAlignment="1">
      <alignment vertical="center"/>
    </xf>
    <xf numFmtId="165" fontId="14" fillId="77" borderId="0" xfId="880" applyNumberFormat="1" applyFont="1" applyFill="1" applyAlignment="1">
      <alignment vertical="center"/>
      <protection/>
    </xf>
    <xf numFmtId="165" fontId="14" fillId="78" borderId="0" xfId="880" applyNumberFormat="1" applyFont="1" applyFill="1" applyAlignment="1">
      <alignment vertical="center"/>
      <protection/>
    </xf>
    <xf numFmtId="165" fontId="14" fillId="77" borderId="0" xfId="880" applyNumberFormat="1" applyFont="1" applyFill="1" applyBorder="1" applyAlignment="1">
      <alignment horizontal="center" vertical="center"/>
      <protection/>
    </xf>
    <xf numFmtId="165" fontId="14" fillId="77" borderId="0" xfId="880" applyNumberFormat="1" applyFont="1" applyFill="1" applyBorder="1" applyAlignment="1">
      <alignment horizontal="center" vertical="center" wrapText="1"/>
      <protection/>
    </xf>
    <xf numFmtId="164" fontId="14" fillId="77" borderId="0" xfId="1164" applyNumberFormat="1" applyFont="1" applyFill="1" applyBorder="1" applyAlignment="1">
      <alignment horizontal="center" vertical="center"/>
    </xf>
    <xf numFmtId="49" fontId="14" fillId="77" borderId="0" xfId="880" applyNumberFormat="1" applyFont="1" applyFill="1" applyBorder="1" applyAlignment="1">
      <alignment vertical="center"/>
      <protection/>
    </xf>
    <xf numFmtId="165" fontId="10" fillId="80" borderId="0" xfId="0" applyNumberFormat="1" applyFont="1" applyFill="1" applyAlignment="1">
      <alignment vertical="center"/>
    </xf>
    <xf numFmtId="164" fontId="10" fillId="77" borderId="0" xfId="1164" applyNumberFormat="1" applyFont="1" applyFill="1" applyAlignment="1">
      <alignment horizontal="right" vertical="center"/>
    </xf>
    <xf numFmtId="165" fontId="14" fillId="77" borderId="0" xfId="880" applyNumberFormat="1" applyFont="1" applyFill="1" applyBorder="1" applyAlignment="1">
      <alignment vertical="center"/>
      <protection/>
    </xf>
    <xf numFmtId="165" fontId="10" fillId="77" borderId="0" xfId="880" applyNumberFormat="1" applyFont="1" applyFill="1" applyBorder="1" applyAlignment="1">
      <alignment vertical="center"/>
      <protection/>
    </xf>
    <xf numFmtId="164" fontId="10" fillId="77" borderId="0" xfId="1164" applyNumberFormat="1" applyFont="1" applyFill="1" applyBorder="1" applyAlignment="1">
      <alignment horizontal="right" vertical="center"/>
    </xf>
    <xf numFmtId="165" fontId="7" fillId="77" borderId="0" xfId="916" applyNumberFormat="1" applyFont="1" applyFill="1" applyAlignment="1">
      <alignment/>
      <protection/>
    </xf>
    <xf numFmtId="165" fontId="10" fillId="78" borderId="0" xfId="0" applyNumberFormat="1" applyFont="1" applyFill="1" applyAlignment="1">
      <alignment vertical="center"/>
    </xf>
    <xf numFmtId="165" fontId="10" fillId="78" borderId="0" xfId="880" applyNumberFormat="1" applyFont="1" applyFill="1" applyBorder="1" applyAlignment="1">
      <alignment vertical="center"/>
      <protection/>
    </xf>
    <xf numFmtId="165" fontId="10" fillId="78" borderId="0" xfId="1164" applyNumberFormat="1" applyFont="1" applyFill="1" applyAlignment="1">
      <alignment vertical="center"/>
    </xf>
    <xf numFmtId="165" fontId="15" fillId="78" borderId="0" xfId="916" applyNumberFormat="1" applyFont="1" applyFill="1" applyAlignment="1">
      <alignment horizontal="center" vertical="center"/>
      <protection/>
    </xf>
    <xf numFmtId="164" fontId="10" fillId="77" borderId="0" xfId="1136" applyNumberFormat="1" applyFont="1" applyFill="1" applyAlignment="1">
      <alignment vertical="center"/>
    </xf>
    <xf numFmtId="165" fontId="10" fillId="0" borderId="0" xfId="880" applyNumberFormat="1" applyFont="1" applyFill="1" applyAlignment="1">
      <alignment vertical="center"/>
      <protection/>
    </xf>
    <xf numFmtId="165" fontId="10" fillId="0" borderId="0" xfId="880" applyNumberFormat="1" applyFont="1" applyFill="1" applyBorder="1" applyAlignment="1">
      <alignment vertical="center"/>
      <protection/>
    </xf>
    <xf numFmtId="164" fontId="10" fillId="0" borderId="0" xfId="1164" applyNumberFormat="1" applyFont="1" applyFill="1" applyAlignment="1">
      <alignment horizontal="right" vertical="center"/>
    </xf>
    <xf numFmtId="165" fontId="10" fillId="0" borderId="0" xfId="880" applyNumberFormat="1" applyFont="1" applyAlignment="1">
      <alignment vertical="center"/>
      <protection/>
    </xf>
    <xf numFmtId="165" fontId="17" fillId="77" borderId="0" xfId="692" applyNumberFormat="1" applyFont="1" applyFill="1" applyAlignment="1">
      <alignment vertical="center"/>
      <protection/>
    </xf>
    <xf numFmtId="165" fontId="10" fillId="77" borderId="0" xfId="880" applyNumberFormat="1" applyFont="1" applyFill="1" applyAlignment="1">
      <alignment/>
      <protection/>
    </xf>
    <xf numFmtId="164" fontId="10" fillId="77" borderId="0" xfId="1164" applyNumberFormat="1" applyFont="1" applyFill="1" applyAlignment="1">
      <alignment/>
    </xf>
    <xf numFmtId="164" fontId="10" fillId="0" borderId="0" xfId="1136" applyNumberFormat="1" applyFont="1" applyFill="1" applyAlignment="1">
      <alignment vertical="center"/>
    </xf>
    <xf numFmtId="165" fontId="15" fillId="0" borderId="0" xfId="916" applyNumberFormat="1" applyFont="1" applyFill="1" applyAlignment="1">
      <alignment horizontal="center" vertical="center"/>
      <protection/>
    </xf>
    <xf numFmtId="165" fontId="7" fillId="0" borderId="0" xfId="916" applyNumberFormat="1" applyFont="1" applyFill="1" applyAlignment="1">
      <alignment vertical="center"/>
      <protection/>
    </xf>
    <xf numFmtId="165" fontId="7" fillId="77" borderId="0" xfId="916" applyNumberFormat="1" applyFont="1" applyFill="1" applyBorder="1" applyAlignment="1">
      <alignment vertical="center"/>
      <protection/>
    </xf>
    <xf numFmtId="0" fontId="10" fillId="0" borderId="0" xfId="692" applyFont="1" applyFill="1" applyBorder="1" applyAlignment="1">
      <alignment vertical="top" wrapText="1"/>
      <protection/>
    </xf>
    <xf numFmtId="165" fontId="10" fillId="77" borderId="0" xfId="880" applyNumberFormat="1" applyFont="1" applyFill="1" applyAlignment="1">
      <alignment horizontal="left" vertical="center" wrapText="1"/>
      <protection/>
    </xf>
    <xf numFmtId="165" fontId="10" fillId="0" borderId="0" xfId="0" applyNumberFormat="1" applyFont="1" applyFill="1" applyAlignment="1">
      <alignment vertical="center"/>
    </xf>
    <xf numFmtId="164" fontId="10" fillId="77" borderId="0" xfId="1164" applyNumberFormat="1" applyFont="1" applyFill="1" applyAlignment="1">
      <alignment horizontal="center" vertical="center"/>
    </xf>
    <xf numFmtId="0" fontId="15" fillId="0" borderId="0" xfId="0" applyFont="1" applyAlignment="1">
      <alignment horizontal="center"/>
    </xf>
    <xf numFmtId="0" fontId="0" fillId="77" borderId="0" xfId="0" applyFill="1" applyAlignment="1">
      <alignment horizontal="center"/>
    </xf>
    <xf numFmtId="0" fontId="15" fillId="0" borderId="0" xfId="0" applyFont="1" applyFill="1" applyAlignment="1">
      <alignment horizontal="center"/>
    </xf>
    <xf numFmtId="49" fontId="14" fillId="0" borderId="0" xfId="880" applyNumberFormat="1" applyFont="1" applyFill="1" applyBorder="1" applyAlignment="1">
      <alignment vertical="center"/>
      <protection/>
    </xf>
    <xf numFmtId="0" fontId="0" fillId="78" borderId="0" xfId="0" applyFill="1" applyBorder="1" applyAlignment="1">
      <alignment horizontal="center"/>
    </xf>
    <xf numFmtId="164" fontId="10" fillId="78" borderId="0" xfId="1164" applyNumberFormat="1" applyFont="1" applyFill="1" applyAlignment="1">
      <alignment horizontal="right" vertical="center"/>
    </xf>
    <xf numFmtId="164" fontId="10" fillId="78" borderId="0" xfId="1136" applyNumberFormat="1" applyFont="1" applyFill="1" applyAlignment="1">
      <alignment horizontal="right" vertical="center"/>
    </xf>
    <xf numFmtId="165" fontId="10" fillId="77" borderId="0" xfId="880" applyNumberFormat="1" applyFont="1" applyFill="1" applyAlignment="1">
      <alignment horizontal="justify" vertical="center" wrapText="1"/>
      <protection/>
    </xf>
    <xf numFmtId="165" fontId="131" fillId="78" borderId="0" xfId="880" applyNumberFormat="1" applyFont="1" applyFill="1" applyAlignment="1">
      <alignment vertical="center"/>
      <protection/>
    </xf>
    <xf numFmtId="164" fontId="10" fillId="0" borderId="0" xfId="1164" applyNumberFormat="1" applyFont="1" applyFill="1" applyBorder="1" applyAlignment="1">
      <alignment horizontal="right" vertical="center"/>
    </xf>
    <xf numFmtId="165" fontId="132" fillId="78" borderId="0" xfId="916" applyNumberFormat="1" applyFont="1" applyFill="1" applyAlignment="1">
      <alignment horizontal="center" vertical="center"/>
      <protection/>
    </xf>
    <xf numFmtId="165" fontId="132" fillId="0" borderId="0" xfId="916" applyNumberFormat="1" applyFont="1" applyFill="1" applyAlignment="1">
      <alignment horizontal="center" vertical="center"/>
      <protection/>
    </xf>
    <xf numFmtId="165" fontId="10" fillId="77" borderId="0" xfId="880" applyNumberFormat="1" applyFont="1" applyFill="1" applyAlignment="1">
      <alignment vertical="center" wrapText="1"/>
      <protection/>
    </xf>
    <xf numFmtId="165" fontId="10" fillId="78" borderId="0" xfId="880" applyNumberFormat="1" applyFont="1" applyFill="1" applyAlignment="1">
      <alignment vertical="center" wrapText="1"/>
      <protection/>
    </xf>
    <xf numFmtId="165" fontId="7" fillId="77" borderId="0" xfId="916" applyNumberFormat="1" applyFont="1" applyFill="1" applyAlignment="1">
      <alignment vertical="center" wrapText="1"/>
      <protection/>
    </xf>
    <xf numFmtId="164" fontId="10" fillId="77" borderId="0" xfId="1136" applyNumberFormat="1" applyFont="1" applyFill="1" applyAlignment="1">
      <alignment horizontal="right" vertical="center"/>
    </xf>
    <xf numFmtId="164" fontId="10" fillId="0" borderId="0" xfId="1136" applyNumberFormat="1" applyFont="1" applyFill="1" applyAlignment="1">
      <alignment horizontal="right" vertical="center"/>
    </xf>
    <xf numFmtId="165" fontId="10" fillId="77" borderId="0" xfId="880" applyNumberFormat="1" applyFont="1" applyFill="1" applyAlignment="1">
      <alignment horizontal="left" vertical="center"/>
      <protection/>
    </xf>
    <xf numFmtId="164" fontId="14" fillId="77" borderId="35" xfId="1164" applyNumberFormat="1" applyFont="1" applyFill="1" applyBorder="1" applyAlignment="1">
      <alignment horizontal="center" vertical="center"/>
    </xf>
    <xf numFmtId="164" fontId="14" fillId="77" borderId="36" xfId="1164" applyNumberFormat="1" applyFont="1" applyFill="1" applyBorder="1" applyAlignment="1">
      <alignment horizontal="center" vertical="center"/>
    </xf>
    <xf numFmtId="165" fontId="10" fillId="77" borderId="0" xfId="1164" applyNumberFormat="1" applyFont="1" applyFill="1" applyBorder="1" applyAlignment="1">
      <alignment vertical="center"/>
    </xf>
    <xf numFmtId="165" fontId="133" fillId="77" borderId="37" xfId="880" applyNumberFormat="1" applyFont="1" applyFill="1" applyBorder="1" applyAlignment="1">
      <alignment vertical="center"/>
      <protection/>
    </xf>
    <xf numFmtId="165" fontId="133" fillId="77" borderId="38" xfId="880" applyNumberFormat="1" applyFont="1" applyFill="1" applyBorder="1" applyAlignment="1">
      <alignment vertical="center"/>
      <protection/>
    </xf>
    <xf numFmtId="165" fontId="133" fillId="77" borderId="39" xfId="880" applyNumberFormat="1" applyFont="1" applyFill="1" applyBorder="1" applyAlignment="1">
      <alignment vertical="center"/>
      <protection/>
    </xf>
    <xf numFmtId="165" fontId="133" fillId="77" borderId="39" xfId="1164" applyNumberFormat="1" applyFont="1" applyFill="1" applyBorder="1" applyAlignment="1">
      <alignment vertical="center"/>
    </xf>
    <xf numFmtId="164" fontId="133" fillId="77" borderId="39" xfId="1164" applyNumberFormat="1" applyFont="1" applyFill="1" applyBorder="1" applyAlignment="1">
      <alignment vertical="center"/>
    </xf>
    <xf numFmtId="165" fontId="134" fillId="0" borderId="39" xfId="692" applyNumberFormat="1" applyFont="1" applyBorder="1" applyAlignment="1">
      <alignment horizontal="right" vertical="center"/>
      <protection/>
    </xf>
    <xf numFmtId="165" fontId="134" fillId="78" borderId="0" xfId="916" applyNumberFormat="1" applyFont="1" applyFill="1" applyAlignment="1">
      <alignment horizontal="center" vertical="center"/>
      <protection/>
    </xf>
    <xf numFmtId="165" fontId="133" fillId="78" borderId="0" xfId="880" applyNumberFormat="1" applyFont="1" applyFill="1" applyAlignment="1">
      <alignment vertical="center"/>
      <protection/>
    </xf>
    <xf numFmtId="164" fontId="7" fillId="77" borderId="0" xfId="1165" applyNumberFormat="1" applyFont="1" applyFill="1" applyAlignment="1">
      <alignment horizontal="right" vertical="center" wrapText="1"/>
    </xf>
    <xf numFmtId="165" fontId="134" fillId="0" borderId="0" xfId="692" applyNumberFormat="1" applyFont="1" applyAlignment="1">
      <alignment/>
      <protection/>
    </xf>
    <xf numFmtId="165" fontId="10" fillId="0" borderId="0" xfId="880" applyNumberFormat="1" applyFont="1" applyBorder="1" applyAlignment="1">
      <alignment vertical="center"/>
      <protection/>
    </xf>
    <xf numFmtId="165" fontId="14" fillId="77" borderId="40" xfId="880" applyNumberFormat="1" applyFont="1" applyFill="1" applyBorder="1" applyAlignment="1">
      <alignment vertical="center"/>
      <protection/>
    </xf>
    <xf numFmtId="165" fontId="14" fillId="77" borderId="39" xfId="880" applyNumberFormat="1" applyFont="1" applyFill="1" applyBorder="1" applyAlignment="1">
      <alignment vertical="center"/>
      <protection/>
    </xf>
    <xf numFmtId="164" fontId="14" fillId="77" borderId="41" xfId="1164" applyNumberFormat="1" applyFont="1" applyFill="1" applyBorder="1" applyAlignment="1">
      <alignment horizontal="center" vertical="center"/>
    </xf>
    <xf numFmtId="165" fontId="10" fillId="77" borderId="39" xfId="880" applyNumberFormat="1" applyFont="1" applyFill="1" applyBorder="1" applyAlignment="1">
      <alignment vertical="center"/>
      <protection/>
    </xf>
    <xf numFmtId="0" fontId="10" fillId="0" borderId="0" xfId="692" applyFont="1" applyFill="1" applyBorder="1" applyAlignment="1">
      <alignment vertical="top"/>
      <protection/>
    </xf>
    <xf numFmtId="165" fontId="134" fillId="77" borderId="0" xfId="692" applyNumberFormat="1" applyFont="1" applyFill="1" applyAlignment="1">
      <alignment/>
      <protection/>
    </xf>
    <xf numFmtId="165" fontId="14" fillId="77" borderId="42" xfId="880" applyNumberFormat="1" applyFont="1" applyFill="1" applyBorder="1" applyAlignment="1">
      <alignment vertical="center"/>
      <protection/>
    </xf>
    <xf numFmtId="165" fontId="10" fillId="77" borderId="37" xfId="880" applyNumberFormat="1" applyFont="1" applyFill="1" applyBorder="1" applyAlignment="1">
      <alignment vertical="center"/>
      <protection/>
    </xf>
    <xf numFmtId="165" fontId="134" fillId="0" borderId="0" xfId="692" applyNumberFormat="1" applyFont="1" applyAlignment="1">
      <alignment horizontal="right" vertical="center"/>
      <protection/>
    </xf>
    <xf numFmtId="165" fontId="134" fillId="0" borderId="0" xfId="692" applyNumberFormat="1" applyFont="1" applyAlignment="1">
      <alignment horizontal="right"/>
      <protection/>
    </xf>
    <xf numFmtId="165" fontId="134" fillId="0" borderId="0" xfId="692" applyNumberFormat="1" applyFont="1" applyAlignment="1">
      <alignment vertical="center"/>
      <protection/>
    </xf>
    <xf numFmtId="165" fontId="133" fillId="77" borderId="0" xfId="880" applyNumberFormat="1" applyFont="1" applyFill="1" applyAlignment="1">
      <alignment vertical="center"/>
      <protection/>
    </xf>
    <xf numFmtId="164" fontId="133" fillId="77" borderId="0" xfId="1164" applyNumberFormat="1" applyFont="1" applyFill="1" applyAlignment="1">
      <alignment vertical="center"/>
    </xf>
    <xf numFmtId="165" fontId="10" fillId="0" borderId="39" xfId="880" applyNumberFormat="1" applyFont="1" applyFill="1" applyBorder="1" applyAlignment="1">
      <alignment vertical="center"/>
      <protection/>
    </xf>
    <xf numFmtId="165" fontId="10" fillId="77" borderId="40" xfId="638" applyNumberFormat="1" applyFont="1" applyFill="1" applyBorder="1" applyAlignment="1">
      <alignment vertical="center"/>
      <protection/>
    </xf>
    <xf numFmtId="165" fontId="10" fillId="77" borderId="40" xfId="880" applyNumberFormat="1" applyFont="1" applyFill="1" applyBorder="1" applyAlignment="1">
      <alignment vertical="center"/>
      <protection/>
    </xf>
    <xf numFmtId="164" fontId="10" fillId="77" borderId="40" xfId="1164" applyNumberFormat="1" applyFont="1" applyFill="1" applyBorder="1" applyAlignment="1">
      <alignment horizontal="right" vertical="center"/>
    </xf>
    <xf numFmtId="165" fontId="46" fillId="79" borderId="0" xfId="916" applyNumberFormat="1" applyFont="1" applyFill="1" applyAlignment="1">
      <alignment vertical="center"/>
      <protection/>
    </xf>
    <xf numFmtId="165" fontId="135" fillId="0" borderId="43" xfId="177" applyNumberFormat="1" applyFont="1" applyFill="1" applyBorder="1" applyAlignment="1">
      <alignment vertical="center"/>
    </xf>
    <xf numFmtId="165" fontId="136" fillId="0" borderId="43" xfId="0" applyNumberFormat="1" applyFont="1" applyFill="1" applyBorder="1" applyAlignment="1">
      <alignment vertical="center"/>
    </xf>
    <xf numFmtId="165" fontId="46" fillId="0" borderId="0" xfId="0" applyNumberFormat="1" applyFont="1" applyFill="1" applyAlignment="1">
      <alignment vertical="center"/>
    </xf>
    <xf numFmtId="3" fontId="46" fillId="77" borderId="0" xfId="916" applyNumberFormat="1" applyFont="1" applyFill="1" applyAlignment="1">
      <alignment vertical="center"/>
      <protection/>
    </xf>
    <xf numFmtId="165" fontId="46" fillId="77" borderId="0" xfId="916" applyNumberFormat="1" applyFont="1" applyFill="1" applyAlignment="1">
      <alignment vertical="center"/>
      <protection/>
    </xf>
    <xf numFmtId="3" fontId="46" fillId="0" borderId="0" xfId="0" applyNumberFormat="1" applyFont="1" applyFill="1" applyAlignment="1">
      <alignment vertical="center"/>
    </xf>
    <xf numFmtId="165" fontId="46" fillId="77" borderId="0" xfId="880" applyNumberFormat="1" applyFont="1" applyFill="1" applyAlignment="1">
      <alignment vertical="center"/>
      <protection/>
    </xf>
    <xf numFmtId="165" fontId="137" fillId="77" borderId="44" xfId="880" applyNumberFormat="1" applyFont="1" applyFill="1" applyBorder="1" applyAlignment="1">
      <alignment vertical="center"/>
      <protection/>
    </xf>
    <xf numFmtId="165" fontId="137" fillId="77" borderId="0" xfId="880" applyNumberFormat="1" applyFont="1" applyFill="1" applyBorder="1" applyAlignment="1">
      <alignment vertical="center"/>
      <protection/>
    </xf>
    <xf numFmtId="165" fontId="46" fillId="77" borderId="0" xfId="880" applyNumberFormat="1" applyFont="1" applyFill="1" applyAlignment="1">
      <alignment horizontal="center" vertical="center" wrapText="1"/>
      <protection/>
    </xf>
    <xf numFmtId="0" fontId="46" fillId="0" borderId="0" xfId="0" applyFont="1" applyAlignment="1">
      <alignment/>
    </xf>
    <xf numFmtId="165" fontId="46" fillId="78" borderId="0" xfId="859" applyNumberFormat="1" applyFont="1" applyFill="1" applyAlignment="1">
      <alignment horizontal="center" vertical="center" wrapText="1"/>
      <protection/>
    </xf>
    <xf numFmtId="165" fontId="46" fillId="77" borderId="0" xfId="880" applyNumberFormat="1" applyFont="1" applyFill="1" applyAlignment="1">
      <alignment horizontal="center" vertical="center"/>
      <protection/>
    </xf>
    <xf numFmtId="49" fontId="50" fillId="77" borderId="0" xfId="880" applyNumberFormat="1" applyFont="1" applyFill="1" applyBorder="1" applyAlignment="1">
      <alignment vertical="center"/>
      <protection/>
    </xf>
    <xf numFmtId="165" fontId="46" fillId="0" borderId="0" xfId="0" applyNumberFormat="1" applyFont="1" applyAlignment="1">
      <alignment/>
    </xf>
    <xf numFmtId="165" fontId="46" fillId="78" borderId="0" xfId="859" applyNumberFormat="1" applyFont="1" applyFill="1">
      <alignment/>
      <protection/>
    </xf>
    <xf numFmtId="165" fontId="46" fillId="0" borderId="0" xfId="880" applyNumberFormat="1" applyFont="1" applyFill="1" applyAlignment="1">
      <alignment vertical="center"/>
      <protection/>
    </xf>
    <xf numFmtId="165" fontId="51" fillId="78" borderId="0" xfId="859" applyNumberFormat="1" applyFont="1" applyFill="1">
      <alignment/>
      <protection/>
    </xf>
    <xf numFmtId="165" fontId="50" fillId="77" borderId="0" xfId="880" applyNumberFormat="1" applyFont="1" applyFill="1" applyAlignment="1">
      <alignment vertical="center"/>
      <protection/>
    </xf>
    <xf numFmtId="165" fontId="50" fillId="0" borderId="0" xfId="0" applyNumberFormat="1" applyFont="1" applyAlignment="1">
      <alignment/>
    </xf>
    <xf numFmtId="165" fontId="50" fillId="77" borderId="0" xfId="1164" applyNumberFormat="1" applyFont="1" applyFill="1" applyAlignment="1">
      <alignment vertical="center"/>
    </xf>
    <xf numFmtId="165" fontId="50" fillId="78" borderId="0" xfId="880" applyNumberFormat="1" applyFont="1" applyFill="1" applyAlignment="1">
      <alignment vertical="center"/>
      <protection/>
    </xf>
    <xf numFmtId="165" fontId="46" fillId="78" borderId="0" xfId="880" applyNumberFormat="1" applyFont="1" applyFill="1" applyAlignment="1">
      <alignment vertical="center"/>
      <protection/>
    </xf>
    <xf numFmtId="165" fontId="46" fillId="78" borderId="0" xfId="880" applyNumberFormat="1" applyFont="1" applyFill="1" applyBorder="1" applyAlignment="1">
      <alignment vertical="center"/>
      <protection/>
    </xf>
    <xf numFmtId="165" fontId="46" fillId="77" borderId="0" xfId="1164" applyNumberFormat="1" applyFont="1" applyFill="1" applyAlignment="1">
      <alignment vertical="center"/>
    </xf>
    <xf numFmtId="172" fontId="46" fillId="0" borderId="0" xfId="0" applyNumberFormat="1" applyFont="1" applyAlignment="1">
      <alignment/>
    </xf>
    <xf numFmtId="165" fontId="46" fillId="77" borderId="0" xfId="880" applyNumberFormat="1" applyFont="1" applyFill="1" applyBorder="1" applyAlignment="1">
      <alignment vertical="center"/>
      <protection/>
    </xf>
    <xf numFmtId="165" fontId="52" fillId="78" borderId="0" xfId="859" applyNumberFormat="1" applyFont="1" applyFill="1">
      <alignment/>
      <protection/>
    </xf>
    <xf numFmtId="0" fontId="50" fillId="0" borderId="0" xfId="0" applyFont="1" applyAlignment="1">
      <alignment/>
    </xf>
    <xf numFmtId="4" fontId="46" fillId="0" borderId="0" xfId="0" applyNumberFormat="1" applyFont="1" applyAlignment="1">
      <alignment/>
    </xf>
    <xf numFmtId="165" fontId="136" fillId="77" borderId="0" xfId="880" applyNumberFormat="1" applyFont="1" applyFill="1" applyBorder="1" applyAlignment="1">
      <alignment vertical="center"/>
      <protection/>
    </xf>
    <xf numFmtId="165" fontId="136" fillId="77" borderId="44" xfId="880" applyNumberFormat="1" applyFont="1" applyFill="1" applyBorder="1" applyAlignment="1">
      <alignment vertical="center"/>
      <protection/>
    </xf>
    <xf numFmtId="165" fontId="136" fillId="77" borderId="0" xfId="1164" applyNumberFormat="1" applyFont="1" applyFill="1" applyBorder="1" applyAlignment="1">
      <alignment vertical="center"/>
    </xf>
    <xf numFmtId="164" fontId="136" fillId="77" borderId="0" xfId="1164" applyNumberFormat="1" applyFont="1" applyFill="1" applyBorder="1" applyAlignment="1">
      <alignment vertical="center"/>
    </xf>
    <xf numFmtId="165" fontId="136" fillId="78" borderId="0" xfId="880" applyNumberFormat="1" applyFont="1" applyFill="1" applyBorder="1" applyAlignment="1">
      <alignment vertical="center"/>
      <protection/>
    </xf>
    <xf numFmtId="165" fontId="136" fillId="78" borderId="44" xfId="880" applyNumberFormat="1" applyFont="1" applyFill="1" applyBorder="1" applyAlignment="1">
      <alignment vertical="center"/>
      <protection/>
    </xf>
    <xf numFmtId="165" fontId="135" fillId="0" borderId="0" xfId="692" applyNumberFormat="1" applyFont="1" applyBorder="1" applyAlignment="1">
      <alignment horizontal="right" vertical="center"/>
      <protection/>
    </xf>
    <xf numFmtId="165" fontId="138" fillId="0" borderId="43" xfId="177" applyNumberFormat="1" applyFont="1" applyFill="1" applyBorder="1" applyAlignment="1">
      <alignment vertical="center"/>
    </xf>
    <xf numFmtId="165" fontId="138" fillId="0" borderId="43" xfId="177" applyNumberFormat="1" applyFont="1" applyFill="1" applyBorder="1" applyAlignment="1">
      <alignment vertical="center"/>
    </xf>
    <xf numFmtId="165" fontId="10" fillId="0" borderId="0" xfId="859" applyNumberFormat="1" applyFont="1" applyAlignment="1">
      <alignment vertical="center"/>
      <protection/>
    </xf>
    <xf numFmtId="165" fontId="139" fillId="78" borderId="0" xfId="859" applyNumberFormat="1" applyFont="1" applyFill="1" applyAlignment="1">
      <alignment vertical="center"/>
      <protection/>
    </xf>
    <xf numFmtId="165" fontId="14" fillId="0" borderId="0" xfId="859" applyNumberFormat="1" applyFont="1" applyAlignment="1">
      <alignment vertical="center"/>
      <protection/>
    </xf>
    <xf numFmtId="165" fontId="10" fillId="0" borderId="0" xfId="658" applyNumberFormat="1" applyFont="1" applyAlignment="1">
      <alignment vertical="center"/>
      <protection/>
    </xf>
    <xf numFmtId="165" fontId="140" fillId="78" borderId="0" xfId="859" applyNumberFormat="1" applyFont="1" applyFill="1" applyBorder="1" applyAlignment="1">
      <alignment vertical="center"/>
      <protection/>
    </xf>
    <xf numFmtId="0" fontId="141" fillId="0" borderId="0" xfId="0" applyFont="1" applyAlignment="1">
      <alignment vertical="center"/>
    </xf>
    <xf numFmtId="0" fontId="0" fillId="77" borderId="0" xfId="0" applyFill="1" applyAlignment="1">
      <alignment vertical="center"/>
    </xf>
    <xf numFmtId="165" fontId="142" fillId="78" borderId="45" xfId="177" applyNumberFormat="1" applyFont="1" applyFill="1" applyBorder="1" applyAlignment="1">
      <alignment vertical="center"/>
    </xf>
    <xf numFmtId="0" fontId="143" fillId="78" borderId="45" xfId="0" applyFont="1" applyFill="1" applyBorder="1" applyAlignment="1">
      <alignment vertical="center"/>
    </xf>
    <xf numFmtId="165" fontId="144" fillId="78" borderId="45" xfId="177" applyNumberFormat="1" applyFont="1" applyFill="1" applyBorder="1" applyAlignment="1">
      <alignment horizontal="center" vertical="center" wrapText="1"/>
    </xf>
    <xf numFmtId="0" fontId="143" fillId="78" borderId="0" xfId="0" applyFont="1" applyFill="1" applyAlignment="1">
      <alignment vertical="center"/>
    </xf>
    <xf numFmtId="165" fontId="145" fillId="78" borderId="0" xfId="513" applyNumberFormat="1" applyFont="1" applyFill="1" applyBorder="1" applyAlignment="1" applyProtection="1">
      <alignment vertical="center"/>
      <protection/>
    </xf>
    <xf numFmtId="204" fontId="146" fillId="78" borderId="0" xfId="0" applyNumberFormat="1" applyFont="1" applyFill="1" applyAlignment="1">
      <alignment horizontal="right" vertical="center"/>
    </xf>
    <xf numFmtId="205" fontId="146" fillId="78" borderId="0" xfId="0" applyNumberFormat="1" applyFont="1" applyFill="1" applyAlignment="1" quotePrefix="1">
      <alignment horizontal="right" vertical="center"/>
    </xf>
    <xf numFmtId="0" fontId="147" fillId="0" borderId="0" xfId="0" applyFont="1" applyAlignment="1">
      <alignment/>
    </xf>
    <xf numFmtId="165" fontId="139" fillId="0" borderId="0" xfId="859" applyNumberFormat="1" applyFont="1" applyAlignment="1">
      <alignment vertical="center"/>
      <protection/>
    </xf>
    <xf numFmtId="165" fontId="148" fillId="77" borderId="0" xfId="916" applyNumberFormat="1" applyFont="1" applyFill="1" applyAlignment="1">
      <alignment vertical="center"/>
      <protection/>
    </xf>
    <xf numFmtId="165" fontId="148" fillId="77" borderId="0" xfId="916" applyNumberFormat="1" applyFont="1" applyFill="1" applyAlignment="1">
      <alignment/>
      <protection/>
    </xf>
    <xf numFmtId="165" fontId="139" fillId="0" borderId="0" xfId="658" applyNumberFormat="1" applyFont="1" applyAlignment="1">
      <alignment vertical="center"/>
      <protection/>
    </xf>
    <xf numFmtId="0" fontId="147" fillId="78" borderId="0" xfId="0" applyFont="1" applyFill="1" applyAlignment="1">
      <alignment/>
    </xf>
    <xf numFmtId="165" fontId="51" fillId="77" borderId="0" xfId="658" applyNumberFormat="1" applyFont="1" applyFill="1" applyBorder="1" applyAlignment="1">
      <alignment vertical="center" wrapText="1"/>
      <protection/>
    </xf>
    <xf numFmtId="165" fontId="51" fillId="0" borderId="46" xfId="658" applyNumberFormat="1" applyFont="1" applyFill="1" applyBorder="1" applyAlignment="1">
      <alignment vertical="center"/>
      <protection/>
    </xf>
    <xf numFmtId="165" fontId="51" fillId="81" borderId="46" xfId="658" applyNumberFormat="1" applyFont="1" applyFill="1" applyBorder="1" applyAlignment="1">
      <alignment vertical="center"/>
      <protection/>
    </xf>
    <xf numFmtId="165" fontId="46" fillId="0" borderId="0" xfId="859" applyNumberFormat="1" applyFont="1" applyBorder="1" applyAlignment="1">
      <alignment vertical="center"/>
      <protection/>
    </xf>
    <xf numFmtId="165" fontId="46" fillId="78" borderId="0" xfId="859" applyNumberFormat="1" applyFont="1" applyFill="1" applyBorder="1" applyAlignment="1" quotePrefix="1">
      <alignment horizontal="center" vertical="center" wrapText="1"/>
      <protection/>
    </xf>
    <xf numFmtId="165" fontId="46" fillId="78" borderId="0" xfId="859" applyNumberFormat="1" applyFont="1" applyFill="1" applyBorder="1" applyAlignment="1">
      <alignment horizontal="center" vertical="center" wrapText="1"/>
      <protection/>
    </xf>
    <xf numFmtId="165" fontId="46" fillId="81" borderId="0" xfId="859" applyNumberFormat="1" applyFont="1" applyFill="1" applyBorder="1" applyAlignment="1">
      <alignment vertical="center"/>
      <protection/>
    </xf>
    <xf numFmtId="165" fontId="46" fillId="0" borderId="0" xfId="859" applyNumberFormat="1" applyFont="1" applyBorder="1" applyAlignment="1" quotePrefix="1">
      <alignment horizontal="center" vertical="center" wrapText="1"/>
      <protection/>
    </xf>
    <xf numFmtId="165" fontId="149" fillId="78" borderId="0" xfId="859" applyNumberFormat="1" applyFont="1" applyFill="1" applyAlignment="1">
      <alignment vertical="center"/>
      <protection/>
    </xf>
    <xf numFmtId="165" fontId="149" fillId="0" borderId="0" xfId="859" applyNumberFormat="1" applyFont="1" applyAlignment="1">
      <alignment vertical="center"/>
      <protection/>
    </xf>
    <xf numFmtId="165" fontId="135" fillId="78" borderId="40" xfId="658" applyNumberFormat="1" applyFont="1" applyFill="1" applyBorder="1" applyAlignment="1">
      <alignment vertical="center"/>
      <protection/>
    </xf>
    <xf numFmtId="165" fontId="136" fillId="81" borderId="40" xfId="859" applyNumberFormat="1" applyFont="1" applyFill="1" applyBorder="1" applyAlignment="1">
      <alignment vertical="center"/>
      <protection/>
    </xf>
    <xf numFmtId="165" fontId="135" fillId="0" borderId="40" xfId="859" applyNumberFormat="1" applyFont="1" applyFill="1" applyBorder="1" applyAlignment="1">
      <alignment horizontal="right" vertical="center"/>
      <protection/>
    </xf>
    <xf numFmtId="165" fontId="135" fillId="78" borderId="40" xfId="859" applyNumberFormat="1" applyFont="1" applyFill="1" applyBorder="1" applyAlignment="1">
      <alignment horizontal="right" vertical="center"/>
      <protection/>
    </xf>
    <xf numFmtId="165" fontId="46" fillId="78" borderId="0" xfId="658" applyNumberFormat="1" applyFont="1" applyFill="1" applyBorder="1" applyAlignment="1">
      <alignment horizontal="left" vertical="center" indent="1"/>
      <protection/>
    </xf>
    <xf numFmtId="165" fontId="46" fillId="0" borderId="0" xfId="859" applyNumberFormat="1" applyFont="1" applyFill="1" applyAlignment="1">
      <alignment horizontal="right" vertical="center"/>
      <protection/>
    </xf>
    <xf numFmtId="165" fontId="46" fillId="78" borderId="0" xfId="859" applyNumberFormat="1" applyFont="1" applyFill="1" applyAlignment="1">
      <alignment horizontal="right" vertical="center"/>
      <protection/>
    </xf>
    <xf numFmtId="165" fontId="46" fillId="78" borderId="0" xfId="658" applyNumberFormat="1" applyFont="1" applyFill="1" applyBorder="1" applyAlignment="1">
      <alignment horizontal="left" vertical="center" indent="2"/>
      <protection/>
    </xf>
    <xf numFmtId="200" fontId="149" fillId="78" borderId="0" xfId="859" applyNumberFormat="1" applyFont="1" applyFill="1" applyAlignment="1">
      <alignment vertical="center"/>
      <protection/>
    </xf>
    <xf numFmtId="201" fontId="149" fillId="78" borderId="0" xfId="859" applyNumberFormat="1" applyFont="1" applyFill="1" applyAlignment="1">
      <alignment vertical="center"/>
      <protection/>
    </xf>
    <xf numFmtId="165" fontId="46" fillId="78" borderId="0" xfId="859" applyNumberFormat="1" applyFont="1" applyFill="1" applyAlignment="1">
      <alignment horizontal="left" vertical="center" indent="2"/>
      <protection/>
    </xf>
    <xf numFmtId="165" fontId="46" fillId="78" borderId="0" xfId="658" applyNumberFormat="1" applyFont="1" applyFill="1" applyBorder="1" applyAlignment="1">
      <alignment horizontal="left" vertical="center" indent="3"/>
      <protection/>
    </xf>
    <xf numFmtId="165" fontId="46" fillId="78" borderId="0" xfId="658" applyNumberFormat="1" applyFont="1" applyFill="1" applyBorder="1" applyAlignment="1">
      <alignment vertical="center"/>
      <protection/>
    </xf>
    <xf numFmtId="165" fontId="135" fillId="78" borderId="0" xfId="658" applyNumberFormat="1" applyFont="1" applyFill="1" applyBorder="1" applyAlignment="1">
      <alignment vertical="center"/>
      <protection/>
    </xf>
    <xf numFmtId="165" fontId="136" fillId="81" borderId="0" xfId="859" applyNumberFormat="1" applyFont="1" applyFill="1" applyBorder="1" applyAlignment="1">
      <alignment vertical="center"/>
      <protection/>
    </xf>
    <xf numFmtId="165" fontId="135" fillId="0" borderId="0" xfId="859" applyNumberFormat="1" applyFont="1" applyFill="1" applyAlignment="1">
      <alignment horizontal="right" vertical="center"/>
      <protection/>
    </xf>
    <xf numFmtId="165" fontId="135" fillId="78" borderId="0" xfId="859" applyNumberFormat="1" applyFont="1" applyFill="1" applyAlignment="1">
      <alignment horizontal="right" vertical="center"/>
      <protection/>
    </xf>
    <xf numFmtId="202" fontId="149" fillId="78" borderId="0" xfId="859" applyNumberFormat="1" applyFont="1" applyFill="1" applyAlignment="1">
      <alignment vertical="center"/>
      <protection/>
    </xf>
    <xf numFmtId="165" fontId="46" fillId="0" borderId="0" xfId="658" applyNumberFormat="1" applyFont="1" applyFill="1" applyBorder="1" applyAlignment="1">
      <alignment horizontal="left" vertical="center" indent="2"/>
      <protection/>
    </xf>
    <xf numFmtId="165" fontId="46" fillId="0" borderId="0" xfId="658" applyNumberFormat="1" applyFont="1" applyFill="1" applyBorder="1" applyAlignment="1">
      <alignment vertical="center"/>
      <protection/>
    </xf>
    <xf numFmtId="165" fontId="135" fillId="78" borderId="41" xfId="658" applyNumberFormat="1" applyFont="1" applyFill="1" applyBorder="1" applyAlignment="1">
      <alignment vertical="center"/>
      <protection/>
    </xf>
    <xf numFmtId="165" fontId="136" fillId="81" borderId="41" xfId="859" applyNumberFormat="1" applyFont="1" applyFill="1" applyBorder="1" applyAlignment="1">
      <alignment vertical="center"/>
      <protection/>
    </xf>
    <xf numFmtId="165" fontId="135" fillId="0" borderId="41" xfId="859" applyNumberFormat="1" applyFont="1" applyFill="1" applyBorder="1" applyAlignment="1">
      <alignment horizontal="right" vertical="center"/>
      <protection/>
    </xf>
    <xf numFmtId="165" fontId="135" fillId="78" borderId="41" xfId="859" applyNumberFormat="1" applyFont="1" applyFill="1" applyBorder="1" applyAlignment="1">
      <alignment horizontal="right" vertical="center"/>
      <protection/>
    </xf>
    <xf numFmtId="165" fontId="99" fillId="78" borderId="0" xfId="859" applyNumberFormat="1" applyFont="1" applyFill="1" applyAlignment="1">
      <alignment vertical="center"/>
      <protection/>
    </xf>
    <xf numFmtId="165" fontId="46" fillId="0" borderId="0" xfId="859" applyNumberFormat="1" applyFont="1" applyAlignment="1">
      <alignment horizontal="right" vertical="center"/>
      <protection/>
    </xf>
    <xf numFmtId="165" fontId="46" fillId="78" borderId="0" xfId="859" applyNumberFormat="1" applyFont="1" applyFill="1" applyAlignment="1">
      <alignment horizontal="left" vertical="center" indent="1"/>
      <protection/>
    </xf>
    <xf numFmtId="165" fontId="46" fillId="81" borderId="0" xfId="859" applyNumberFormat="1" applyFont="1" applyFill="1" applyBorder="1" applyAlignment="1">
      <alignment vertical="center"/>
      <protection/>
    </xf>
    <xf numFmtId="165" fontId="46" fillId="78" borderId="39" xfId="859" applyNumberFormat="1" applyFont="1" applyFill="1" applyBorder="1" applyAlignment="1">
      <alignment horizontal="left" vertical="center" wrapText="1" indent="1"/>
      <protection/>
    </xf>
    <xf numFmtId="165" fontId="46" fillId="81" borderId="39" xfId="859" applyNumberFormat="1" applyFont="1" applyFill="1" applyBorder="1" applyAlignment="1">
      <alignment vertical="center"/>
      <protection/>
    </xf>
    <xf numFmtId="165" fontId="46" fillId="0" borderId="39" xfId="859" applyNumberFormat="1" applyFont="1" applyFill="1" applyBorder="1" applyAlignment="1">
      <alignment horizontal="right" vertical="center"/>
      <protection/>
    </xf>
    <xf numFmtId="165" fontId="46" fillId="0" borderId="39" xfId="859" applyNumberFormat="1" applyFont="1" applyBorder="1" applyAlignment="1">
      <alignment horizontal="right" vertical="center"/>
      <protection/>
    </xf>
    <xf numFmtId="165" fontId="46" fillId="0" borderId="0" xfId="658" applyNumberFormat="1" applyFont="1" applyAlignment="1">
      <alignment vertical="center"/>
      <protection/>
    </xf>
    <xf numFmtId="165" fontId="46" fillId="77" borderId="0" xfId="658" applyNumberFormat="1" applyFont="1" applyFill="1" applyAlignment="1">
      <alignment vertical="center"/>
      <protection/>
    </xf>
    <xf numFmtId="0" fontId="0" fillId="77" borderId="0" xfId="0" applyFont="1" applyFill="1" applyAlignment="1">
      <alignment/>
    </xf>
    <xf numFmtId="0" fontId="46" fillId="77" borderId="0" xfId="658" applyFont="1" applyFill="1">
      <alignment/>
      <protection/>
    </xf>
    <xf numFmtId="203" fontId="50" fillId="0" borderId="0" xfId="658" applyNumberFormat="1" applyFont="1" applyBorder="1" applyAlignment="1">
      <alignment vertical="center"/>
      <protection/>
    </xf>
    <xf numFmtId="165" fontId="46" fillId="77" borderId="0" xfId="916" applyNumberFormat="1" applyFont="1" applyFill="1" applyAlignment="1">
      <alignment vertical="center"/>
      <protection/>
    </xf>
    <xf numFmtId="165" fontId="149" fillId="78" borderId="0" xfId="658" applyNumberFormat="1" applyFont="1" applyFill="1" applyAlignment="1">
      <alignment vertical="center"/>
      <protection/>
    </xf>
    <xf numFmtId="165" fontId="149" fillId="0" borderId="0" xfId="658" applyNumberFormat="1" applyFont="1" applyAlignment="1">
      <alignment vertical="center"/>
      <protection/>
    </xf>
    <xf numFmtId="165" fontId="46" fillId="0" borderId="0" xfId="859" applyNumberFormat="1" applyFont="1" applyAlignment="1">
      <alignment vertical="center"/>
      <protection/>
    </xf>
    <xf numFmtId="165" fontId="46" fillId="78" borderId="0" xfId="859" applyNumberFormat="1" applyFont="1" applyFill="1" applyBorder="1" applyAlignment="1">
      <alignment vertical="center"/>
      <protection/>
    </xf>
    <xf numFmtId="165" fontId="123" fillId="78" borderId="0" xfId="859" applyNumberFormat="1" applyFont="1" applyFill="1" applyBorder="1" applyAlignment="1">
      <alignment vertical="center"/>
      <protection/>
    </xf>
    <xf numFmtId="165" fontId="100" fillId="0" borderId="0" xfId="0" applyNumberFormat="1" applyFont="1" applyAlignment="1">
      <alignment vertical="center"/>
    </xf>
    <xf numFmtId="165" fontId="51" fillId="0" borderId="0" xfId="658" applyNumberFormat="1" applyFont="1" applyFill="1" applyBorder="1" applyAlignment="1">
      <alignment horizontal="right" vertical="center"/>
      <protection/>
    </xf>
    <xf numFmtId="165" fontId="10" fillId="0" borderId="0" xfId="859" applyNumberFormat="1" applyFont="1" applyAlignment="1">
      <alignment horizontal="left" vertical="center"/>
      <protection/>
    </xf>
    <xf numFmtId="165" fontId="10" fillId="78" borderId="0" xfId="658" applyNumberFormat="1" applyFont="1" applyFill="1" applyAlignment="1">
      <alignment horizontal="left" vertical="center"/>
      <protection/>
    </xf>
    <xf numFmtId="165" fontId="135" fillId="77" borderId="0" xfId="658" applyNumberFormat="1" applyFont="1" applyFill="1" applyBorder="1" applyAlignment="1">
      <alignment horizontal="right"/>
      <protection/>
    </xf>
    <xf numFmtId="164" fontId="14" fillId="77" borderId="36" xfId="1164" applyNumberFormat="1" applyFont="1" applyFill="1" applyBorder="1" applyAlignment="1">
      <alignment horizontal="center" vertical="center"/>
    </xf>
    <xf numFmtId="0" fontId="10" fillId="0" borderId="0" xfId="692" applyFont="1" applyFill="1" applyAlignment="1">
      <alignment vertical="top" wrapText="1"/>
      <protection/>
    </xf>
    <xf numFmtId="0" fontId="10" fillId="0" borderId="0" xfId="692" applyFont="1" applyFill="1" applyAlignment="1">
      <alignment vertical="top"/>
      <protection/>
    </xf>
    <xf numFmtId="165" fontId="10" fillId="77" borderId="0" xfId="880" applyNumberFormat="1" applyFont="1" applyFill="1" applyAlignment="1">
      <alignment horizontal="justify" vertical="center"/>
      <protection/>
    </xf>
    <xf numFmtId="165" fontId="46" fillId="77" borderId="47" xfId="880" applyNumberFormat="1" applyFont="1" applyFill="1" applyBorder="1" applyAlignment="1">
      <alignment horizontal="center" vertical="center"/>
      <protection/>
    </xf>
    <xf numFmtId="165" fontId="46" fillId="78" borderId="47" xfId="859" applyNumberFormat="1" applyFont="1" applyFill="1" applyBorder="1" applyAlignment="1">
      <alignment horizontal="center" vertical="center" wrapText="1"/>
      <protection/>
    </xf>
    <xf numFmtId="0" fontId="46" fillId="0" borderId="47" xfId="0" applyFont="1" applyBorder="1" applyAlignment="1">
      <alignment/>
    </xf>
    <xf numFmtId="165" fontId="46" fillId="78" borderId="46" xfId="859" applyNumberFormat="1" applyFont="1" applyFill="1" applyBorder="1" applyAlignment="1">
      <alignment horizontal="center" vertical="center" wrapText="1"/>
      <protection/>
    </xf>
    <xf numFmtId="165" fontId="137" fillId="77" borderId="48" xfId="880" applyNumberFormat="1" applyFont="1" applyFill="1" applyBorder="1" applyAlignment="1">
      <alignment vertical="center"/>
      <protection/>
    </xf>
    <xf numFmtId="165" fontId="135" fillId="77" borderId="48" xfId="880" applyNumberFormat="1" applyFont="1" applyFill="1" applyBorder="1" applyAlignment="1">
      <alignment horizontal="center" vertical="center"/>
      <protection/>
    </xf>
    <xf numFmtId="165" fontId="135" fillId="78" borderId="48" xfId="859" applyNumberFormat="1" applyFont="1" applyFill="1" applyBorder="1" applyAlignment="1">
      <alignment horizontal="center" vertical="center" wrapText="1"/>
      <protection/>
    </xf>
    <xf numFmtId="165" fontId="46" fillId="78" borderId="47" xfId="880" applyNumberFormat="1" applyFont="1" applyFill="1" applyBorder="1" applyAlignment="1">
      <alignment vertical="center"/>
      <protection/>
    </xf>
    <xf numFmtId="165" fontId="135" fillId="77" borderId="48" xfId="880" applyNumberFormat="1" applyFont="1" applyFill="1" applyBorder="1" applyAlignment="1">
      <alignment horizontal="center" vertical="center"/>
      <protection/>
    </xf>
    <xf numFmtId="165" fontId="135" fillId="78" borderId="48" xfId="859" applyNumberFormat="1" applyFont="1" applyFill="1" applyBorder="1" applyAlignment="1">
      <alignment horizontal="center" vertical="center" wrapText="1"/>
      <protection/>
    </xf>
    <xf numFmtId="165" fontId="135" fillId="0" borderId="46" xfId="692" applyNumberFormat="1" applyFont="1" applyBorder="1" applyAlignment="1">
      <alignment horizontal="right" vertical="center"/>
      <protection/>
    </xf>
    <xf numFmtId="165" fontId="46" fillId="0" borderId="47" xfId="0" applyNumberFormat="1" applyFont="1" applyBorder="1" applyAlignment="1">
      <alignment/>
    </xf>
    <xf numFmtId="165" fontId="0" fillId="0" borderId="0" xfId="0" applyNumberFormat="1" applyAlignment="1">
      <alignment/>
    </xf>
    <xf numFmtId="164" fontId="10" fillId="0" borderId="0" xfId="1136" applyNumberFormat="1" applyFont="1" applyBorder="1" applyAlignment="1">
      <alignment vertical="center"/>
    </xf>
    <xf numFmtId="164" fontId="10" fillId="77" borderId="0" xfId="1136" applyNumberFormat="1" applyFont="1" applyFill="1" applyBorder="1" applyAlignment="1">
      <alignment vertical="center"/>
    </xf>
    <xf numFmtId="164" fontId="10" fillId="0" borderId="0" xfId="1136" applyNumberFormat="1" applyFont="1" applyFill="1" applyBorder="1" applyAlignment="1">
      <alignment vertical="center"/>
    </xf>
    <xf numFmtId="43" fontId="10" fillId="77" borderId="0" xfId="1302" applyFont="1" applyFill="1" applyAlignment="1">
      <alignment vertical="center" wrapText="1"/>
    </xf>
    <xf numFmtId="165" fontId="12" fillId="0" borderId="0" xfId="916" applyNumberFormat="1" applyFont="1" applyFill="1" applyAlignment="1">
      <alignment horizontal="center" vertical="center"/>
      <protection/>
    </xf>
    <xf numFmtId="43" fontId="10" fillId="78" borderId="0" xfId="1302" applyFont="1" applyFill="1" applyAlignment="1">
      <alignment vertical="center"/>
    </xf>
    <xf numFmtId="43" fontId="10" fillId="77" borderId="0" xfId="1302" applyFont="1" applyFill="1" applyBorder="1" applyAlignment="1">
      <alignment vertical="center"/>
    </xf>
    <xf numFmtId="43" fontId="10" fillId="77" borderId="0" xfId="1302" applyFont="1" applyFill="1" applyAlignment="1">
      <alignment vertical="center"/>
    </xf>
    <xf numFmtId="209" fontId="10" fillId="0" borderId="0" xfId="1302" applyNumberFormat="1" applyFont="1" applyFill="1" applyBorder="1" applyAlignment="1">
      <alignment vertical="top" wrapText="1"/>
    </xf>
    <xf numFmtId="208" fontId="10" fillId="78" borderId="0" xfId="1302" applyNumberFormat="1" applyFont="1" applyFill="1" applyAlignment="1">
      <alignment vertical="center"/>
    </xf>
    <xf numFmtId="165" fontId="10" fillId="0" borderId="0" xfId="692" applyNumberFormat="1" applyFont="1" applyFill="1" applyAlignment="1">
      <alignment vertical="top" wrapText="1"/>
      <protection/>
    </xf>
    <xf numFmtId="165" fontId="46" fillId="0" borderId="0" xfId="859" applyNumberFormat="1" applyFont="1" applyFill="1" applyBorder="1" applyAlignment="1">
      <alignment horizontal="right" vertical="center"/>
      <protection/>
    </xf>
    <xf numFmtId="165" fontId="46" fillId="0" borderId="0" xfId="859" applyNumberFormat="1" applyFont="1" applyBorder="1" applyAlignment="1">
      <alignment horizontal="right" vertical="center"/>
      <protection/>
    </xf>
    <xf numFmtId="3" fontId="99" fillId="78" borderId="0" xfId="859" applyNumberFormat="1" applyFont="1" applyFill="1" applyBorder="1" applyAlignment="1">
      <alignment horizontal="left" vertical="center" wrapText="1" indent="2"/>
      <protection/>
    </xf>
    <xf numFmtId="3" fontId="99" fillId="78" borderId="39" xfId="859" applyNumberFormat="1" applyFont="1" applyFill="1" applyBorder="1" applyAlignment="1">
      <alignment horizontal="left" vertical="center" wrapText="1" indent="2"/>
      <protection/>
    </xf>
    <xf numFmtId="165" fontId="10" fillId="77" borderId="0" xfId="880" applyNumberFormat="1" applyFont="1" applyFill="1" applyAlignment="1">
      <alignment vertical="center"/>
      <protection/>
    </xf>
    <xf numFmtId="165" fontId="14" fillId="77" borderId="0" xfId="880" applyNumberFormat="1" applyFont="1" applyFill="1" applyBorder="1" applyAlignment="1" quotePrefix="1">
      <alignment vertical="center"/>
      <protection/>
    </xf>
    <xf numFmtId="165" fontId="10" fillId="78" borderId="0" xfId="859" applyNumberFormat="1" applyFont="1" applyFill="1">
      <alignment/>
      <protection/>
    </xf>
    <xf numFmtId="165" fontId="10" fillId="0" borderId="0" xfId="0" applyNumberFormat="1" applyFont="1" applyAlignment="1">
      <alignment/>
    </xf>
    <xf numFmtId="165" fontId="69" fillId="0" borderId="0" xfId="0" applyNumberFormat="1" applyFont="1" applyAlignment="1">
      <alignment/>
    </xf>
    <xf numFmtId="165" fontId="10" fillId="0" borderId="0" xfId="880" applyNumberFormat="1" applyFont="1" applyFill="1" applyAlignment="1">
      <alignment vertical="center"/>
      <protection/>
    </xf>
    <xf numFmtId="165" fontId="14" fillId="77" borderId="0" xfId="880" applyNumberFormat="1" applyFont="1" applyFill="1" applyBorder="1" applyAlignment="1">
      <alignment vertical="center"/>
      <protection/>
    </xf>
    <xf numFmtId="165" fontId="10" fillId="77" borderId="0" xfId="916" applyNumberFormat="1" applyFont="1" applyFill="1" applyAlignment="1">
      <alignment vertical="center"/>
      <protection/>
    </xf>
    <xf numFmtId="165" fontId="14" fillId="77" borderId="0" xfId="880" applyNumberFormat="1" applyFont="1" applyFill="1" applyAlignment="1">
      <alignment vertical="center"/>
      <protection/>
    </xf>
    <xf numFmtId="165" fontId="14" fillId="0" borderId="0" xfId="0" applyNumberFormat="1" applyFont="1" applyAlignment="1">
      <alignment/>
    </xf>
    <xf numFmtId="165" fontId="14" fillId="77" borderId="0" xfId="1164" applyNumberFormat="1" applyFont="1" applyFill="1" applyAlignment="1">
      <alignment vertical="center"/>
    </xf>
    <xf numFmtId="165" fontId="14" fillId="78" borderId="0" xfId="880" applyNumberFormat="1" applyFont="1" applyFill="1" applyAlignment="1">
      <alignment vertical="center"/>
      <protection/>
    </xf>
    <xf numFmtId="165" fontId="10" fillId="78" borderId="0" xfId="880" applyNumberFormat="1" applyFont="1" applyFill="1" applyBorder="1" applyAlignment="1">
      <alignment vertical="center"/>
      <protection/>
    </xf>
    <xf numFmtId="165" fontId="10" fillId="77" borderId="0" xfId="1164" applyNumberFormat="1" applyFont="1" applyFill="1" applyAlignment="1">
      <alignment vertical="center"/>
    </xf>
    <xf numFmtId="165" fontId="10" fillId="78" borderId="0" xfId="880" applyNumberFormat="1" applyFont="1" applyFill="1" applyAlignment="1">
      <alignment vertical="center"/>
      <protection/>
    </xf>
    <xf numFmtId="165" fontId="10" fillId="77" borderId="0" xfId="880" applyNumberFormat="1" applyFont="1" applyFill="1" applyBorder="1" applyAlignment="1">
      <alignment vertical="center"/>
      <protection/>
    </xf>
    <xf numFmtId="165" fontId="69" fillId="0" borderId="0" xfId="0" applyNumberFormat="1" applyFont="1" applyBorder="1" applyAlignment="1">
      <alignment/>
    </xf>
    <xf numFmtId="165" fontId="10" fillId="78" borderId="47" xfId="880" applyNumberFormat="1" applyFont="1" applyFill="1" applyBorder="1" applyAlignment="1">
      <alignment vertical="center"/>
      <protection/>
    </xf>
    <xf numFmtId="165" fontId="46" fillId="0" borderId="0" xfId="880" applyNumberFormat="1" applyFont="1" applyFill="1" applyBorder="1" applyAlignment="1">
      <alignment vertical="center"/>
      <protection/>
    </xf>
    <xf numFmtId="0" fontId="0" fillId="0" borderId="0" xfId="0" applyBorder="1" applyAlignment="1">
      <alignment/>
    </xf>
    <xf numFmtId="166" fontId="10" fillId="0" borderId="0" xfId="859" applyNumberFormat="1" applyFont="1" applyAlignment="1">
      <alignment vertical="center"/>
      <protection/>
    </xf>
    <xf numFmtId="165" fontId="10" fillId="77" borderId="0" xfId="880" applyNumberFormat="1" applyFont="1" applyFill="1" applyBorder="1" applyAlignment="1">
      <alignment horizontal="left" vertical="center" wrapText="1"/>
      <protection/>
    </xf>
    <xf numFmtId="165" fontId="10" fillId="0" borderId="0" xfId="880" applyNumberFormat="1" applyFont="1" applyFill="1" applyBorder="1" applyAlignment="1">
      <alignment vertical="center"/>
      <protection/>
    </xf>
    <xf numFmtId="164" fontId="10" fillId="0" borderId="0" xfId="1136" applyNumberFormat="1" applyFont="1" applyFill="1" applyBorder="1" applyAlignment="1">
      <alignment horizontal="right" vertical="center"/>
    </xf>
    <xf numFmtId="43" fontId="10" fillId="0" borderId="0" xfId="1302" applyFont="1" applyAlignment="1">
      <alignment vertical="center"/>
    </xf>
    <xf numFmtId="210" fontId="46" fillId="0" borderId="0" xfId="1302" applyNumberFormat="1" applyFont="1" applyAlignment="1">
      <alignment/>
    </xf>
    <xf numFmtId="43" fontId="46" fillId="0" borderId="0" xfId="1302" applyFont="1" applyAlignment="1">
      <alignment/>
    </xf>
    <xf numFmtId="43" fontId="46" fillId="77" borderId="0" xfId="1302" applyFont="1" applyFill="1" applyBorder="1" applyAlignment="1">
      <alignment vertical="center"/>
    </xf>
    <xf numFmtId="0" fontId="46" fillId="78" borderId="0" xfId="0" applyFont="1" applyFill="1" applyAlignment="1">
      <alignment/>
    </xf>
    <xf numFmtId="49" fontId="50" fillId="78" borderId="0" xfId="880" applyNumberFormat="1" applyFont="1" applyFill="1" applyBorder="1" applyAlignment="1">
      <alignment vertical="center"/>
      <protection/>
    </xf>
    <xf numFmtId="165" fontId="46" fillId="78" borderId="0" xfId="0" applyNumberFormat="1" applyFont="1" applyFill="1" applyAlignment="1">
      <alignment/>
    </xf>
    <xf numFmtId="165" fontId="46" fillId="78" borderId="0" xfId="1164" applyNumberFormat="1" applyFont="1" applyFill="1" applyAlignment="1">
      <alignment vertical="center"/>
    </xf>
    <xf numFmtId="0" fontId="0" fillId="78" borderId="0" xfId="0" applyFill="1" applyAlignment="1">
      <alignment/>
    </xf>
    <xf numFmtId="165" fontId="46" fillId="78" borderId="0" xfId="916" applyNumberFormat="1" applyFont="1" applyFill="1" applyAlignment="1">
      <alignment vertical="center"/>
      <protection/>
    </xf>
    <xf numFmtId="43" fontId="46" fillId="78" borderId="0" xfId="1302" applyFont="1" applyFill="1" applyAlignment="1">
      <alignment vertical="center"/>
    </xf>
    <xf numFmtId="164" fontId="10" fillId="78" borderId="0" xfId="1136" applyNumberFormat="1" applyFont="1" applyFill="1" applyAlignment="1">
      <alignment vertical="center"/>
    </xf>
    <xf numFmtId="164" fontId="10" fillId="78" borderId="0" xfId="1136" applyNumberFormat="1" applyFont="1" applyFill="1" applyBorder="1" applyAlignment="1">
      <alignment vertical="center"/>
    </xf>
    <xf numFmtId="165" fontId="10" fillId="0" borderId="0" xfId="638" applyNumberFormat="1" applyFont="1" applyFill="1" applyBorder="1" applyAlignment="1">
      <alignment horizontal="left" vertical="center" wrapText="1"/>
      <protection/>
    </xf>
    <xf numFmtId="165" fontId="10" fillId="77" borderId="0" xfId="880" applyNumberFormat="1" applyFont="1" applyFill="1" applyAlignment="1" quotePrefix="1">
      <alignment vertical="center"/>
      <protection/>
    </xf>
    <xf numFmtId="0" fontId="91" fillId="78" borderId="0" xfId="749" applyFont="1" applyFill="1" applyBorder="1" applyAlignment="1">
      <alignment horizontal="left" wrapText="1"/>
      <protection/>
    </xf>
    <xf numFmtId="165" fontId="69" fillId="78" borderId="0" xfId="0" applyNumberFormat="1" applyFont="1" applyFill="1" applyAlignment="1">
      <alignment/>
    </xf>
    <xf numFmtId="165" fontId="46" fillId="78" borderId="0" xfId="859" applyNumberFormat="1" applyFont="1" applyFill="1" applyAlignment="1">
      <alignment horizontal="right" vertical="center"/>
      <protection/>
    </xf>
    <xf numFmtId="165" fontId="135" fillId="78" borderId="40" xfId="859" applyNumberFormat="1" applyFont="1" applyFill="1" applyBorder="1" applyAlignment="1">
      <alignment horizontal="right" vertical="center"/>
      <protection/>
    </xf>
    <xf numFmtId="165" fontId="46" fillId="78" borderId="0" xfId="859" applyNumberFormat="1" applyFont="1" applyFill="1" applyBorder="1" applyAlignment="1">
      <alignment horizontal="right" vertical="center"/>
      <protection/>
    </xf>
    <xf numFmtId="165" fontId="46" fillId="78" borderId="0" xfId="859" applyNumberFormat="1" applyFont="1" applyFill="1" applyAlignment="1" quotePrefix="1">
      <alignment horizontal="right" vertical="center"/>
      <protection/>
    </xf>
    <xf numFmtId="165" fontId="46" fillId="78" borderId="0" xfId="859" applyNumberFormat="1" applyFont="1" applyFill="1" applyBorder="1" applyAlignment="1" quotePrefix="1">
      <alignment horizontal="right" vertical="center"/>
      <protection/>
    </xf>
    <xf numFmtId="165" fontId="135" fillId="78" borderId="0" xfId="859" applyNumberFormat="1" applyFont="1" applyFill="1" applyAlignment="1">
      <alignment horizontal="right" vertical="center"/>
      <protection/>
    </xf>
    <xf numFmtId="165" fontId="135" fillId="78" borderId="41" xfId="859" applyNumberFormat="1" applyFont="1" applyFill="1" applyBorder="1" applyAlignment="1">
      <alignment horizontal="right" vertical="center"/>
      <protection/>
    </xf>
    <xf numFmtId="165" fontId="46" fillId="78" borderId="39" xfId="859" applyNumberFormat="1" applyFont="1" applyFill="1" applyBorder="1" applyAlignment="1">
      <alignment horizontal="right" vertical="center"/>
      <protection/>
    </xf>
    <xf numFmtId="0" fontId="0" fillId="78" borderId="0" xfId="0" applyFill="1" applyBorder="1" applyAlignment="1">
      <alignment/>
    </xf>
    <xf numFmtId="43" fontId="10" fillId="0" borderId="0" xfId="1302" applyFont="1" applyFill="1" applyAlignment="1">
      <alignment vertical="top" wrapText="1"/>
    </xf>
    <xf numFmtId="3" fontId="46" fillId="77" borderId="0" xfId="880" applyNumberFormat="1" applyFont="1" applyFill="1" applyBorder="1" applyAlignment="1">
      <alignment vertical="center"/>
      <protection/>
    </xf>
    <xf numFmtId="165" fontId="69" fillId="0" borderId="0" xfId="0" applyNumberFormat="1" applyFont="1" applyFill="1" applyBorder="1" applyAlignment="1">
      <alignment/>
    </xf>
    <xf numFmtId="165" fontId="46" fillId="0" borderId="0" xfId="859" applyNumberFormat="1" applyFont="1" applyFill="1" applyAlignment="1">
      <alignment vertical="center"/>
      <protection/>
    </xf>
    <xf numFmtId="165" fontId="46" fillId="0" borderId="0" xfId="859" applyNumberFormat="1" applyFont="1" applyFill="1" applyAlignment="1">
      <alignment horizontal="right" vertical="center"/>
      <protection/>
    </xf>
    <xf numFmtId="165" fontId="135" fillId="0" borderId="0" xfId="859" applyNumberFormat="1" applyFont="1" applyFill="1" applyAlignment="1">
      <alignment horizontal="right" vertical="center"/>
      <protection/>
    </xf>
    <xf numFmtId="165" fontId="135" fillId="0" borderId="41" xfId="859" applyNumberFormat="1" applyFont="1" applyFill="1" applyBorder="1" applyAlignment="1">
      <alignment horizontal="right" vertical="center"/>
      <protection/>
    </xf>
    <xf numFmtId="165" fontId="46" fillId="0" borderId="39" xfId="859" applyNumberFormat="1" applyFont="1" applyFill="1" applyBorder="1" applyAlignment="1">
      <alignment horizontal="right" vertical="center"/>
      <protection/>
    </xf>
    <xf numFmtId="165" fontId="46" fillId="0" borderId="0" xfId="859" applyNumberFormat="1" applyFont="1" applyFill="1" applyBorder="1" applyAlignment="1">
      <alignment horizontal="right" vertical="center"/>
      <protection/>
    </xf>
    <xf numFmtId="165" fontId="46" fillId="0" borderId="0" xfId="859" applyNumberFormat="1" applyFont="1" applyFill="1" applyAlignment="1" quotePrefix="1">
      <alignment horizontal="right" vertical="center"/>
      <protection/>
    </xf>
    <xf numFmtId="165" fontId="46" fillId="0" borderId="0" xfId="859" applyNumberFormat="1" applyFont="1" applyFill="1" applyBorder="1" applyAlignment="1" quotePrefix="1">
      <alignment horizontal="right" vertical="center"/>
      <protection/>
    </xf>
    <xf numFmtId="203" fontId="50" fillId="0" borderId="0" xfId="658" applyNumberFormat="1" applyFont="1" applyFill="1" applyBorder="1" applyAlignment="1">
      <alignment vertical="center"/>
      <protection/>
    </xf>
    <xf numFmtId="165" fontId="46" fillId="0" borderId="47" xfId="880" applyNumberFormat="1" applyFont="1" applyFill="1" applyBorder="1" applyAlignment="1">
      <alignment vertical="center"/>
      <protection/>
    </xf>
    <xf numFmtId="165" fontId="46" fillId="0" borderId="0" xfId="916" applyNumberFormat="1" applyFont="1" applyFill="1" applyAlignment="1">
      <alignment vertical="center"/>
      <protection/>
    </xf>
    <xf numFmtId="0" fontId="46" fillId="0" borderId="0" xfId="0" applyFont="1" applyAlignment="1">
      <alignment/>
    </xf>
    <xf numFmtId="165" fontId="135" fillId="0" borderId="0" xfId="658" applyNumberFormat="1" applyFont="1" applyFill="1" applyBorder="1" applyAlignment="1">
      <alignment/>
      <protection/>
    </xf>
    <xf numFmtId="49" fontId="14" fillId="0" borderId="39" xfId="880" applyNumberFormat="1" applyFont="1" applyFill="1" applyBorder="1" applyAlignment="1">
      <alignment vertical="center"/>
      <protection/>
    </xf>
    <xf numFmtId="43" fontId="46" fillId="78" borderId="0" xfId="1302" applyFont="1" applyFill="1" applyBorder="1" applyAlignment="1">
      <alignment vertical="center"/>
    </xf>
    <xf numFmtId="0" fontId="46" fillId="0" borderId="0" xfId="0" applyFont="1" applyFill="1" applyAlignment="1">
      <alignment/>
    </xf>
    <xf numFmtId="165" fontId="46" fillId="0" borderId="0" xfId="859" applyNumberFormat="1" applyFont="1" applyFill="1" applyBorder="1" applyAlignment="1" quotePrefix="1">
      <alignment horizontal="center" vertical="center" wrapText="1"/>
      <protection/>
    </xf>
    <xf numFmtId="165" fontId="46" fillId="0" borderId="0" xfId="859" applyNumberFormat="1" applyFont="1" applyFill="1" applyBorder="1" applyAlignment="1">
      <alignment horizontal="center" vertical="center" wrapText="1"/>
      <protection/>
    </xf>
    <xf numFmtId="165" fontId="10" fillId="77" borderId="0" xfId="880" applyNumberFormat="1" applyFont="1" applyFill="1" applyBorder="1" applyAlignment="1">
      <alignment vertical="center" wrapText="1"/>
      <protection/>
    </xf>
    <xf numFmtId="165" fontId="10" fillId="78" borderId="0" xfId="880" applyNumberFormat="1" applyFont="1" applyFill="1" applyBorder="1" applyAlignment="1">
      <alignment vertical="center" wrapText="1"/>
      <protection/>
    </xf>
    <xf numFmtId="43" fontId="10" fillId="77" borderId="0" xfId="1302" applyFont="1" applyFill="1" applyBorder="1" applyAlignment="1">
      <alignment vertical="center" wrapText="1"/>
    </xf>
    <xf numFmtId="165" fontId="7" fillId="77" borderId="0" xfId="916" applyNumberFormat="1" applyFont="1" applyFill="1" applyBorder="1" applyAlignment="1">
      <alignment vertical="center" wrapText="1"/>
      <protection/>
    </xf>
    <xf numFmtId="172" fontId="0" fillId="0" borderId="0" xfId="0" applyNumberFormat="1" applyAlignment="1">
      <alignment/>
    </xf>
    <xf numFmtId="172" fontId="0" fillId="0" borderId="0" xfId="0" applyNumberFormat="1" applyFill="1" applyAlignment="1">
      <alignment/>
    </xf>
    <xf numFmtId="172" fontId="0" fillId="0" borderId="0" xfId="0" applyNumberFormat="1" applyFill="1" applyBorder="1" applyAlignment="1">
      <alignment/>
    </xf>
    <xf numFmtId="204" fontId="146" fillId="0" borderId="0" xfId="0" applyNumberFormat="1" applyFont="1" applyFill="1" applyAlignment="1">
      <alignment horizontal="right" vertical="center"/>
    </xf>
    <xf numFmtId="164" fontId="10" fillId="0" borderId="39" xfId="1136" applyNumberFormat="1" applyFont="1" applyFill="1" applyBorder="1" applyAlignment="1">
      <alignment horizontal="right" vertical="center"/>
    </xf>
    <xf numFmtId="165" fontId="10" fillId="82" borderId="47" xfId="880" applyNumberFormat="1" applyFont="1" applyFill="1" applyBorder="1" applyAlignment="1">
      <alignment vertical="center"/>
      <protection/>
    </xf>
    <xf numFmtId="165" fontId="69" fillId="82" borderId="0" xfId="0" applyNumberFormat="1" applyFont="1" applyFill="1" applyBorder="1" applyAlignment="1">
      <alignment/>
    </xf>
    <xf numFmtId="172" fontId="46" fillId="0" borderId="0" xfId="0" applyNumberFormat="1" applyFont="1" applyFill="1" applyAlignment="1">
      <alignment/>
    </xf>
    <xf numFmtId="0" fontId="50" fillId="0" borderId="0" xfId="0" applyFont="1" applyFill="1" applyAlignment="1">
      <alignment/>
    </xf>
    <xf numFmtId="165" fontId="10" fillId="0" borderId="0" xfId="859" applyNumberFormat="1" applyFont="1" applyFill="1" applyAlignment="1">
      <alignment vertical="center"/>
      <protection/>
    </xf>
    <xf numFmtId="165" fontId="140" fillId="0" borderId="0" xfId="859" applyNumberFormat="1" applyFont="1" applyFill="1" applyBorder="1" applyAlignment="1">
      <alignment vertical="center"/>
      <protection/>
    </xf>
    <xf numFmtId="43" fontId="10" fillId="0" borderId="0" xfId="1302" applyFont="1" applyFill="1" applyAlignment="1">
      <alignment vertical="center"/>
    </xf>
    <xf numFmtId="165" fontId="135" fillId="0" borderId="40" xfId="859" applyNumberFormat="1" applyFont="1" applyFill="1" applyBorder="1" applyAlignment="1">
      <alignment horizontal="right" vertical="center"/>
      <protection/>
    </xf>
    <xf numFmtId="164" fontId="10" fillId="0" borderId="39" xfId="1136" applyNumberFormat="1" applyFont="1" applyFill="1" applyBorder="1" applyAlignment="1">
      <alignment vertical="center"/>
    </xf>
    <xf numFmtId="165" fontId="12" fillId="78" borderId="0" xfId="916" applyNumberFormat="1" applyFont="1" applyFill="1" applyAlignment="1">
      <alignment horizontal="left" wrapText="1"/>
      <protection/>
    </xf>
    <xf numFmtId="165" fontId="10" fillId="0" borderId="0" xfId="638" applyNumberFormat="1" applyFont="1" applyFill="1" applyBorder="1" applyAlignment="1">
      <alignment horizontal="left" vertical="center" wrapText="1"/>
      <protection/>
    </xf>
    <xf numFmtId="165" fontId="14" fillId="77" borderId="42" xfId="880" applyNumberFormat="1" applyFont="1" applyFill="1" applyBorder="1" applyAlignment="1">
      <alignment horizontal="center" vertical="center" wrapText="1"/>
      <protection/>
    </xf>
    <xf numFmtId="165" fontId="14" fillId="77" borderId="37" xfId="880" applyNumberFormat="1" applyFont="1" applyFill="1" applyBorder="1" applyAlignment="1">
      <alignment horizontal="center" vertical="center" wrapText="1"/>
      <protection/>
    </xf>
    <xf numFmtId="164" fontId="14" fillId="77" borderId="40" xfId="1164" applyNumberFormat="1" applyFont="1" applyFill="1" applyBorder="1" applyAlignment="1">
      <alignment horizontal="center" vertical="center"/>
    </xf>
    <xf numFmtId="0" fontId="91" fillId="78" borderId="0" xfId="749" applyFont="1" applyFill="1" applyBorder="1" applyAlignment="1">
      <alignment horizontal="left" wrapText="1"/>
      <protection/>
    </xf>
    <xf numFmtId="165" fontId="14" fillId="77" borderId="49" xfId="880" applyNumberFormat="1" applyFont="1" applyFill="1" applyBorder="1" applyAlignment="1">
      <alignment horizontal="center" vertical="center" wrapText="1"/>
      <protection/>
    </xf>
    <xf numFmtId="165" fontId="14" fillId="77" borderId="50" xfId="880" applyNumberFormat="1" applyFont="1" applyFill="1" applyBorder="1" applyAlignment="1">
      <alignment horizontal="center" vertical="center" wrapText="1"/>
      <protection/>
    </xf>
    <xf numFmtId="165" fontId="14" fillId="77" borderId="38" xfId="880" applyNumberFormat="1" applyFont="1" applyFill="1" applyBorder="1" applyAlignment="1">
      <alignment horizontal="center" vertical="center" wrapText="1"/>
      <protection/>
    </xf>
    <xf numFmtId="165" fontId="14" fillId="77" borderId="51" xfId="880" applyNumberFormat="1" applyFont="1" applyFill="1" applyBorder="1" applyAlignment="1">
      <alignment horizontal="center" vertical="center" wrapText="1"/>
      <protection/>
    </xf>
    <xf numFmtId="164" fontId="7" fillId="77" borderId="0" xfId="1165" applyNumberFormat="1" applyFont="1" applyFill="1" applyAlignment="1">
      <alignment horizontal="right" vertical="center" wrapText="1"/>
    </xf>
    <xf numFmtId="165" fontId="14" fillId="77" borderId="52" xfId="880" applyNumberFormat="1" applyFont="1" applyFill="1" applyBorder="1" applyAlignment="1">
      <alignment horizontal="center" vertical="center"/>
      <protection/>
    </xf>
    <xf numFmtId="165" fontId="14" fillId="77" borderId="35" xfId="880" applyNumberFormat="1" applyFont="1" applyFill="1" applyBorder="1" applyAlignment="1">
      <alignment horizontal="center" vertical="center"/>
      <protection/>
    </xf>
    <xf numFmtId="165" fontId="14" fillId="77" borderId="35" xfId="880" applyNumberFormat="1" applyFont="1" applyFill="1" applyBorder="1" applyAlignment="1">
      <alignment horizontal="center" vertical="center" wrapText="1"/>
      <protection/>
    </xf>
    <xf numFmtId="164" fontId="14" fillId="77" borderId="35" xfId="1164" applyNumberFormat="1" applyFont="1" applyFill="1" applyBorder="1" applyAlignment="1">
      <alignment horizontal="center" vertical="center"/>
    </xf>
    <xf numFmtId="164" fontId="14" fillId="77" borderId="36" xfId="1164" applyNumberFormat="1" applyFont="1" applyFill="1" applyBorder="1" applyAlignment="1">
      <alignment horizontal="center" vertical="center"/>
    </xf>
    <xf numFmtId="165" fontId="7" fillId="77" borderId="0" xfId="880" applyNumberFormat="1" applyFont="1" applyFill="1" applyAlignment="1">
      <alignment horizontal="left" vertical="center" wrapText="1"/>
      <protection/>
    </xf>
    <xf numFmtId="165" fontId="10" fillId="77" borderId="41" xfId="880" applyNumberFormat="1" applyFont="1" applyFill="1" applyBorder="1" applyAlignment="1">
      <alignment horizontal="left" vertical="center" wrapText="1"/>
      <protection/>
    </xf>
    <xf numFmtId="165" fontId="10" fillId="77" borderId="40" xfId="880" applyNumberFormat="1" applyFont="1" applyFill="1" applyBorder="1" applyAlignment="1">
      <alignment horizontal="left" vertical="center" wrapText="1"/>
      <protection/>
    </xf>
    <xf numFmtId="165" fontId="134" fillId="0" borderId="23" xfId="692" applyNumberFormat="1" applyFont="1" applyBorder="1" applyAlignment="1">
      <alignment horizontal="left" wrapText="1"/>
      <protection/>
    </xf>
    <xf numFmtId="165" fontId="134" fillId="0" borderId="0" xfId="692" applyNumberFormat="1" applyFont="1" applyBorder="1" applyAlignment="1">
      <alignment horizontal="left" wrapText="1"/>
      <protection/>
    </xf>
    <xf numFmtId="165" fontId="10" fillId="77" borderId="0" xfId="880" applyNumberFormat="1" applyFont="1" applyFill="1" applyAlignment="1">
      <alignment horizontal="left" vertical="center" wrapText="1"/>
      <protection/>
    </xf>
    <xf numFmtId="165" fontId="135" fillId="77" borderId="48" xfId="880" applyNumberFormat="1" applyFont="1" applyFill="1" applyBorder="1" applyAlignment="1">
      <alignment horizontal="center" vertical="center"/>
      <protection/>
    </xf>
    <xf numFmtId="165" fontId="135" fillId="78" borderId="48" xfId="859" applyNumberFormat="1" applyFont="1" applyFill="1" applyBorder="1" applyAlignment="1">
      <alignment horizontal="center" vertical="center" wrapText="1"/>
      <protection/>
    </xf>
    <xf numFmtId="165" fontId="150" fillId="0" borderId="46" xfId="859" applyNumberFormat="1" applyFont="1" applyBorder="1" applyAlignment="1" quotePrefix="1">
      <alignment horizontal="center" vertical="center"/>
      <protection/>
    </xf>
    <xf numFmtId="165" fontId="150" fillId="0" borderId="46" xfId="859" applyNumberFormat="1" applyFont="1" applyBorder="1" applyAlignment="1">
      <alignment horizontal="center" vertical="center"/>
      <protection/>
    </xf>
    <xf numFmtId="165" fontId="46" fillId="0" borderId="46" xfId="859" applyNumberFormat="1" applyFont="1" applyBorder="1" applyAlignment="1">
      <alignment horizontal="center" vertical="center"/>
      <protection/>
    </xf>
    <xf numFmtId="165" fontId="135" fillId="78" borderId="46" xfId="658" applyNumberFormat="1" applyFont="1" applyFill="1" applyBorder="1" applyAlignment="1" quotePrefix="1">
      <alignment horizontal="center" vertical="center"/>
      <protection/>
    </xf>
    <xf numFmtId="165" fontId="138" fillId="0" borderId="43" xfId="177" applyNumberFormat="1" applyFont="1" applyFill="1" applyBorder="1" applyAlignment="1">
      <alignment horizontal="left" vertical="center" wrapText="1"/>
    </xf>
  </cellXfs>
  <cellStyles count="1341">
    <cellStyle name="Normal" xfId="0"/>
    <cellStyle name="%" xfId="15"/>
    <cellStyle name="% 10" xfId="16"/>
    <cellStyle name="% 11" xfId="17"/>
    <cellStyle name="% 12" xfId="18"/>
    <cellStyle name="% 13" xfId="19"/>
    <cellStyle name="% 2" xfId="20"/>
    <cellStyle name="% 2 10" xfId="21"/>
    <cellStyle name="% 2 11" xfId="22"/>
    <cellStyle name="% 2 12" xfId="23"/>
    <cellStyle name="% 2 2" xfId="24"/>
    <cellStyle name="% 2 3" xfId="25"/>
    <cellStyle name="% 2 4" xfId="26"/>
    <cellStyle name="% 2 5" xfId="27"/>
    <cellStyle name="% 2 6" xfId="28"/>
    <cellStyle name="% 2 7" xfId="29"/>
    <cellStyle name="% 2 8" xfId="30"/>
    <cellStyle name="% 2 9" xfId="31"/>
    <cellStyle name="% 3" xfId="32"/>
    <cellStyle name="% 4" xfId="33"/>
    <cellStyle name="% 5" xfId="34"/>
    <cellStyle name="% 6" xfId="35"/>
    <cellStyle name="% 7" xfId="36"/>
    <cellStyle name="% 8" xfId="37"/>
    <cellStyle name="% 9" xfId="38"/>
    <cellStyle name="_06.0223-r1" xfId="39"/>
    <cellStyle name="_06.0223-r1 10" xfId="40"/>
    <cellStyle name="_06.0223-r1 11" xfId="41"/>
    <cellStyle name="_06.0223-r1 12" xfId="42"/>
    <cellStyle name="_06.0223-r1 2" xfId="43"/>
    <cellStyle name="_06.0223-r1 3" xfId="44"/>
    <cellStyle name="_06.0223-r1 4" xfId="45"/>
    <cellStyle name="_06.0223-r1 5" xfId="46"/>
    <cellStyle name="_06.0223-r1 6" xfId="47"/>
    <cellStyle name="_06.0223-r1 7" xfId="48"/>
    <cellStyle name="_06.0223-r1 8" xfId="49"/>
    <cellStyle name="_06.0223-r1 9" xfId="50"/>
    <cellStyle name="20% - Accent1" xfId="51"/>
    <cellStyle name="20% - Accent2" xfId="52"/>
    <cellStyle name="20% - Accent3" xfId="53"/>
    <cellStyle name="20% - Accent4" xfId="54"/>
    <cellStyle name="20% - Accent5" xfId="55"/>
    <cellStyle name="20% - Accent6" xfId="56"/>
    <cellStyle name="20% - Cor1" xfId="57"/>
    <cellStyle name="20% - Cor1 2" xfId="58"/>
    <cellStyle name="20% - Cor1 3" xfId="59"/>
    <cellStyle name="20% - Cor1 4" xfId="60"/>
    <cellStyle name="20% - Cor2" xfId="61"/>
    <cellStyle name="20% - Cor2 2" xfId="62"/>
    <cellStyle name="20% - Cor2 3" xfId="63"/>
    <cellStyle name="20% - Cor2 4" xfId="64"/>
    <cellStyle name="20% - Cor3" xfId="65"/>
    <cellStyle name="20% - Cor3 2" xfId="66"/>
    <cellStyle name="20% - Cor3 2 2" xfId="67"/>
    <cellStyle name="20% - Cor3 2 2 2" xfId="68"/>
    <cellStyle name="20% - Cor3 2 3" xfId="69"/>
    <cellStyle name="20% - Cor3 3" xfId="70"/>
    <cellStyle name="20% - Cor3 4" xfId="71"/>
    <cellStyle name="20% - Cor4" xfId="72"/>
    <cellStyle name="20% - Cor4 2" xfId="73"/>
    <cellStyle name="20% - Cor4 3" xfId="74"/>
    <cellStyle name="20% - Cor4 4" xfId="75"/>
    <cellStyle name="20% - Cor5" xfId="76"/>
    <cellStyle name="20% - Cor5 2" xfId="77"/>
    <cellStyle name="20% - Cor5 3" xfId="78"/>
    <cellStyle name="20% - Cor5 4" xfId="79"/>
    <cellStyle name="20% - Cor6" xfId="80"/>
    <cellStyle name="20% - Cor6 2" xfId="81"/>
    <cellStyle name="20% - Cor6 3" xfId="82"/>
    <cellStyle name="20% - Cor6 4" xfId="83"/>
    <cellStyle name="40% - Accent1" xfId="84"/>
    <cellStyle name="40% - Accent2" xfId="85"/>
    <cellStyle name="40% - Accent3" xfId="86"/>
    <cellStyle name="40% - Accent4" xfId="87"/>
    <cellStyle name="40% - Accent5" xfId="88"/>
    <cellStyle name="40% - Accent6" xfId="89"/>
    <cellStyle name="40% - Cor1" xfId="90"/>
    <cellStyle name="40% - Cor1 2" xfId="91"/>
    <cellStyle name="40% - Cor1 3" xfId="92"/>
    <cellStyle name="40% - Cor1 4" xfId="93"/>
    <cellStyle name="40% - Cor2" xfId="94"/>
    <cellStyle name="40% - Cor2 2" xfId="95"/>
    <cellStyle name="40% - Cor2 3" xfId="96"/>
    <cellStyle name="40% - Cor2 4" xfId="97"/>
    <cellStyle name="40% - Cor3" xfId="98"/>
    <cellStyle name="40% - Cor3 2" xfId="99"/>
    <cellStyle name="40% - Cor3 3" xfId="100"/>
    <cellStyle name="40% - Cor3 4" xfId="101"/>
    <cellStyle name="40% - Cor4" xfId="102"/>
    <cellStyle name="40% - Cor4 2" xfId="103"/>
    <cellStyle name="40% - Cor4 3" xfId="104"/>
    <cellStyle name="40% - Cor4 4" xfId="105"/>
    <cellStyle name="40% - Cor5" xfId="106"/>
    <cellStyle name="40% - Cor5 2" xfId="107"/>
    <cellStyle name="40% - Cor5 3" xfId="108"/>
    <cellStyle name="40% - Cor5 4" xfId="109"/>
    <cellStyle name="40% - Cor6" xfId="110"/>
    <cellStyle name="40% - Cor6 2" xfId="111"/>
    <cellStyle name="40% - Cor6 3" xfId="112"/>
    <cellStyle name="40% - Cor6 4" xfId="113"/>
    <cellStyle name="60% - Accent1" xfId="114"/>
    <cellStyle name="60% - Accent2" xfId="115"/>
    <cellStyle name="60% - Accent3" xfId="116"/>
    <cellStyle name="60% - Accent4" xfId="117"/>
    <cellStyle name="60% - Accent5" xfId="118"/>
    <cellStyle name="60% - Accent6" xfId="119"/>
    <cellStyle name="60% - Cor1" xfId="120"/>
    <cellStyle name="60% - Cor1 2" xfId="121"/>
    <cellStyle name="60% - Cor1 3" xfId="122"/>
    <cellStyle name="60% - Cor1 4" xfId="123"/>
    <cellStyle name="60% - Cor2" xfId="124"/>
    <cellStyle name="60% - Cor2 2" xfId="125"/>
    <cellStyle name="60% - Cor2 3" xfId="126"/>
    <cellStyle name="60% - Cor2 4" xfId="127"/>
    <cellStyle name="60% - Cor3" xfId="128"/>
    <cellStyle name="60% - Cor3 2" xfId="129"/>
    <cellStyle name="60% - Cor3 3" xfId="130"/>
    <cellStyle name="60% - Cor3 4" xfId="131"/>
    <cellStyle name="60% - Cor4" xfId="132"/>
    <cellStyle name="60% - Cor4 2" xfId="133"/>
    <cellStyle name="60% - Cor4 3" xfId="134"/>
    <cellStyle name="60% - Cor4 4" xfId="135"/>
    <cellStyle name="60% - Cor5" xfId="136"/>
    <cellStyle name="60% - Cor5 2" xfId="137"/>
    <cellStyle name="60% - Cor5 3" xfId="138"/>
    <cellStyle name="60% - Cor5 4" xfId="139"/>
    <cellStyle name="60% - Cor6" xfId="140"/>
    <cellStyle name="60% - Cor6 2" xfId="141"/>
    <cellStyle name="60% - Cor6 3" xfId="142"/>
    <cellStyle name="60% - Cor6 4" xfId="143"/>
    <cellStyle name="Accent1" xfId="144"/>
    <cellStyle name="Accent1 - 20%" xfId="145"/>
    <cellStyle name="Accent1 - 40%" xfId="146"/>
    <cellStyle name="Accent1 - 60%" xfId="147"/>
    <cellStyle name="Accent1_Saldos" xfId="148"/>
    <cellStyle name="Accent2" xfId="149"/>
    <cellStyle name="Accent2 - 20%" xfId="150"/>
    <cellStyle name="Accent2 - 40%" xfId="151"/>
    <cellStyle name="Accent2 - 60%" xfId="152"/>
    <cellStyle name="Accent2_Saldos" xfId="153"/>
    <cellStyle name="Accent3" xfId="154"/>
    <cellStyle name="Accent3 - 20%" xfId="155"/>
    <cellStyle name="Accent3 - 40%" xfId="156"/>
    <cellStyle name="Accent3 - 60%" xfId="157"/>
    <cellStyle name="Accent3_Saldos" xfId="158"/>
    <cellStyle name="Accent4" xfId="159"/>
    <cellStyle name="Accent4 - 20%" xfId="160"/>
    <cellStyle name="Accent4 - 40%" xfId="161"/>
    <cellStyle name="Accent4 - 60%" xfId="162"/>
    <cellStyle name="Accent4_Saldos" xfId="163"/>
    <cellStyle name="Accent5" xfId="164"/>
    <cellStyle name="Accent5 - 20%" xfId="165"/>
    <cellStyle name="Accent5 - 40%" xfId="166"/>
    <cellStyle name="Accent5 - 60%" xfId="167"/>
    <cellStyle name="Accent5_Saldos" xfId="168"/>
    <cellStyle name="Accent6" xfId="169"/>
    <cellStyle name="Accent6 - 20%" xfId="170"/>
    <cellStyle name="Accent6 - 40%" xfId="171"/>
    <cellStyle name="Accent6 - 60%" xfId="172"/>
    <cellStyle name="Accent6_Saldos" xfId="173"/>
    <cellStyle name="Anos" xfId="174"/>
    <cellStyle name="Bad" xfId="175"/>
    <cellStyle name="CABECALHO" xfId="176"/>
    <cellStyle name="Cabeçalho 1" xfId="177"/>
    <cellStyle name="Cabeçalho 1 10" xfId="178"/>
    <cellStyle name="Cabeçalho 1 11" xfId="179"/>
    <cellStyle name="Cabeçalho 1 12" xfId="180"/>
    <cellStyle name="Cabeçalho 1 2" xfId="181"/>
    <cellStyle name="Cabeçalho 1 2 10" xfId="182"/>
    <cellStyle name="Cabeçalho 1 2 11" xfId="183"/>
    <cellStyle name="Cabeçalho 1 2 2" xfId="184"/>
    <cellStyle name="Cabeçalho 1 2 3" xfId="185"/>
    <cellStyle name="Cabeçalho 1 2 4" xfId="186"/>
    <cellStyle name="Cabeçalho 1 2 5" xfId="187"/>
    <cellStyle name="Cabeçalho 1 2 6" xfId="188"/>
    <cellStyle name="Cabeçalho 1 2 7" xfId="189"/>
    <cellStyle name="Cabeçalho 1 2 8" xfId="190"/>
    <cellStyle name="Cabeçalho 1 2 9" xfId="191"/>
    <cellStyle name="Cabeçalho 1 3" xfId="192"/>
    <cellStyle name="Cabeçalho 1 4" xfId="193"/>
    <cellStyle name="Cabeçalho 1 5" xfId="194"/>
    <cellStyle name="Cabeçalho 1 6" xfId="195"/>
    <cellStyle name="Cabeçalho 1 7" xfId="196"/>
    <cellStyle name="Cabeçalho 1 8" xfId="197"/>
    <cellStyle name="Cabeçalho 1 9" xfId="198"/>
    <cellStyle name="CABECALHO 2" xfId="199"/>
    <cellStyle name="Cabeçalho 2" xfId="200"/>
    <cellStyle name="Cabeçalho 2 10" xfId="201"/>
    <cellStyle name="Cabeçalho 2 11" xfId="202"/>
    <cellStyle name="CABECALHO 2 2" xfId="203"/>
    <cellStyle name="Cabeçalho 2 2" xfId="204"/>
    <cellStyle name="Cabeçalho 2 2 10" xfId="205"/>
    <cellStyle name="Cabeçalho 2 2 11" xfId="206"/>
    <cellStyle name="Cabeçalho 2 2 2" xfId="207"/>
    <cellStyle name="Cabeçalho 2 2 3" xfId="208"/>
    <cellStyle name="Cabeçalho 2 2 4" xfId="209"/>
    <cellStyle name="Cabeçalho 2 2 5" xfId="210"/>
    <cellStyle name="Cabeçalho 2 2 6" xfId="211"/>
    <cellStyle name="Cabeçalho 2 2 7" xfId="212"/>
    <cellStyle name="Cabeçalho 2 2 8" xfId="213"/>
    <cellStyle name="Cabeçalho 2 2 9" xfId="214"/>
    <cellStyle name="Cabeçalho 2 3" xfId="215"/>
    <cellStyle name="Cabeçalho 2 4" xfId="216"/>
    <cellStyle name="Cabeçalho 2 5" xfId="217"/>
    <cellStyle name="Cabeçalho 2 6" xfId="218"/>
    <cellStyle name="Cabeçalho 2 7" xfId="219"/>
    <cellStyle name="Cabeçalho 2 8" xfId="220"/>
    <cellStyle name="Cabeçalho 2 9" xfId="221"/>
    <cellStyle name="CABECALHO 3" xfId="222"/>
    <cellStyle name="Cabeçalho 3" xfId="223"/>
    <cellStyle name="Cabeçalho 3 10" xfId="224"/>
    <cellStyle name="Cabeçalho 3 11" xfId="225"/>
    <cellStyle name="CABECALHO 3 2" xfId="226"/>
    <cellStyle name="Cabeçalho 3 2" xfId="227"/>
    <cellStyle name="Cabeçalho 3 2 10" xfId="228"/>
    <cellStyle name="Cabeçalho 3 2 11" xfId="229"/>
    <cellStyle name="Cabeçalho 3 2 2" xfId="230"/>
    <cellStyle name="Cabeçalho 3 2 3" xfId="231"/>
    <cellStyle name="Cabeçalho 3 2 4" xfId="232"/>
    <cellStyle name="Cabeçalho 3 2 5" xfId="233"/>
    <cellStyle name="Cabeçalho 3 2 6" xfId="234"/>
    <cellStyle name="Cabeçalho 3 2 7" xfId="235"/>
    <cellStyle name="Cabeçalho 3 2 8" xfId="236"/>
    <cellStyle name="Cabeçalho 3 2 9" xfId="237"/>
    <cellStyle name="Cabeçalho 3 3" xfId="238"/>
    <cellStyle name="Cabeçalho 3 4" xfId="239"/>
    <cellStyle name="Cabeçalho 3 5" xfId="240"/>
    <cellStyle name="Cabeçalho 3 6" xfId="241"/>
    <cellStyle name="Cabeçalho 3 7" xfId="242"/>
    <cellStyle name="Cabeçalho 3 8" xfId="243"/>
    <cellStyle name="Cabeçalho 3 9" xfId="244"/>
    <cellStyle name="CABECALHO 4" xfId="245"/>
    <cellStyle name="Cabeçalho 4" xfId="246"/>
    <cellStyle name="Cabeçalho 4 10" xfId="247"/>
    <cellStyle name="Cabeçalho 4 11" xfId="248"/>
    <cellStyle name="CABECALHO 4 2" xfId="249"/>
    <cellStyle name="Cabeçalho 4 2" xfId="250"/>
    <cellStyle name="Cabeçalho 4 2 10" xfId="251"/>
    <cellStyle name="Cabeçalho 4 2 11" xfId="252"/>
    <cellStyle name="Cabeçalho 4 2 2" xfId="253"/>
    <cellStyle name="Cabeçalho 4 2 3" xfId="254"/>
    <cellStyle name="Cabeçalho 4 2 4" xfId="255"/>
    <cellStyle name="Cabeçalho 4 2 5" xfId="256"/>
    <cellStyle name="Cabeçalho 4 2 6" xfId="257"/>
    <cellStyle name="Cabeçalho 4 2 7" xfId="258"/>
    <cellStyle name="Cabeçalho 4 2 8" xfId="259"/>
    <cellStyle name="Cabeçalho 4 2 9" xfId="260"/>
    <cellStyle name="Cabeçalho 4 3" xfId="261"/>
    <cellStyle name="Cabeçalho 4 4" xfId="262"/>
    <cellStyle name="Cabeçalho 4 5" xfId="263"/>
    <cellStyle name="Cabeçalho 4 6" xfId="264"/>
    <cellStyle name="Cabeçalho 4 7" xfId="265"/>
    <cellStyle name="Cabeçalho 4 8" xfId="266"/>
    <cellStyle name="Cabeçalho 4 9" xfId="267"/>
    <cellStyle name="CABECALHO 5" xfId="268"/>
    <cellStyle name="cal" xfId="269"/>
    <cellStyle name="Calc" xfId="270"/>
    <cellStyle name="Calc - Blue" xfId="271"/>
    <cellStyle name="Calc - Green" xfId="272"/>
    <cellStyle name="Calc - Grey" xfId="273"/>
    <cellStyle name="Calc - White" xfId="274"/>
    <cellStyle name="Calculation" xfId="275"/>
    <cellStyle name="Calculation 2" xfId="276"/>
    <cellStyle name="Calculation 2 2" xfId="277"/>
    <cellStyle name="Calculation 2 3" xfId="278"/>
    <cellStyle name="Calculation 3" xfId="279"/>
    <cellStyle name="Calculation 4" xfId="280"/>
    <cellStyle name="Calculation 5" xfId="281"/>
    <cellStyle name="Calculation 6" xfId="282"/>
    <cellStyle name="Cálculo" xfId="283"/>
    <cellStyle name="Cálculo 2" xfId="284"/>
    <cellStyle name="Cálculo 2 2" xfId="285"/>
    <cellStyle name="Cálculo 2 3" xfId="286"/>
    <cellStyle name="Cálculo 2 4" xfId="287"/>
    <cellStyle name="Cálculo 2 5" xfId="288"/>
    <cellStyle name="Cálculo 2 6" xfId="289"/>
    <cellStyle name="Cálculo 3" xfId="290"/>
    <cellStyle name="Cálculo 4" xfId="291"/>
    <cellStyle name="Célula Ligada" xfId="292"/>
    <cellStyle name="Célula Ligada 10" xfId="293"/>
    <cellStyle name="Célula Ligada 11" xfId="294"/>
    <cellStyle name="Célula Ligada 2" xfId="295"/>
    <cellStyle name="Célula Ligada 2 10" xfId="296"/>
    <cellStyle name="Célula Ligada 2 11" xfId="297"/>
    <cellStyle name="Célula Ligada 2 2" xfId="298"/>
    <cellStyle name="Célula Ligada 2 3" xfId="299"/>
    <cellStyle name="Célula Ligada 2 4" xfId="300"/>
    <cellStyle name="Célula Ligada 2 5" xfId="301"/>
    <cellStyle name="Célula Ligada 2 6" xfId="302"/>
    <cellStyle name="Célula Ligada 2 7" xfId="303"/>
    <cellStyle name="Célula Ligada 2 8" xfId="304"/>
    <cellStyle name="Célula Ligada 2 9" xfId="305"/>
    <cellStyle name="Célula Ligada 3" xfId="306"/>
    <cellStyle name="Célula Ligada 4" xfId="307"/>
    <cellStyle name="Célula Ligada 5" xfId="308"/>
    <cellStyle name="Célula Ligada 6" xfId="309"/>
    <cellStyle name="Célula Ligada 7" xfId="310"/>
    <cellStyle name="Célula Ligada 8" xfId="311"/>
    <cellStyle name="Célula Ligada 9" xfId="312"/>
    <cellStyle name="Check Cell" xfId="313"/>
    <cellStyle name="COMMA" xfId="314"/>
    <cellStyle name="Comma [0] 2" xfId="315"/>
    <cellStyle name="Comma [0] 2 2" xfId="316"/>
    <cellStyle name="Comma [0] 2 2 2" xfId="317"/>
    <cellStyle name="Comma [0] 2 2 2 10" xfId="318"/>
    <cellStyle name="Comma [0] 2 2 2 11" xfId="319"/>
    <cellStyle name="Comma [0] 2 2 2 12" xfId="320"/>
    <cellStyle name="Comma [0] 2 2 2 13" xfId="321"/>
    <cellStyle name="Comma [0] 2 2 2 14" xfId="322"/>
    <cellStyle name="Comma [0] 2 2 2 2" xfId="323"/>
    <cellStyle name="Comma [0] 2 2 2 3" xfId="324"/>
    <cellStyle name="Comma [0] 2 2 2 4" xfId="325"/>
    <cellStyle name="Comma [0] 2 2 2 5" xfId="326"/>
    <cellStyle name="Comma [0] 2 2 2 6" xfId="327"/>
    <cellStyle name="Comma [0] 2 2 2 7" xfId="328"/>
    <cellStyle name="Comma [0] 2 2 2 8" xfId="329"/>
    <cellStyle name="Comma [0] 2 2 2 9" xfId="330"/>
    <cellStyle name="Comma [0] 2 2 3" xfId="331"/>
    <cellStyle name="Comma [0] 2 2 3 10" xfId="332"/>
    <cellStyle name="Comma [0] 2 2 3 2" xfId="333"/>
    <cellStyle name="Comma [0] 2 2 3 2 2" xfId="334"/>
    <cellStyle name="Comma [0] 2 2 3 3" xfId="335"/>
    <cellStyle name="Comma [0] 2 2 3 4" xfId="336"/>
    <cellStyle name="Comma [0] 2 2 3 5" xfId="337"/>
    <cellStyle name="Comma [0] 2 2 3 6" xfId="338"/>
    <cellStyle name="Comma [0] 2 2 3 7" xfId="339"/>
    <cellStyle name="Comma [0] 2 2 3 8" xfId="340"/>
    <cellStyle name="Comma [0] 2 2 3 9" xfId="341"/>
    <cellStyle name="Comma 2" xfId="342"/>
    <cellStyle name="Comma 2 2" xfId="343"/>
    <cellStyle name="Comma 2 2 2" xfId="344"/>
    <cellStyle name="Comma 2 2 3" xfId="345"/>
    <cellStyle name="Comma 2 3" xfId="346"/>
    <cellStyle name="Comma 2 3 2" xfId="347"/>
    <cellStyle name="Comma 2 3 3" xfId="348"/>
    <cellStyle name="Comma 2 4" xfId="349"/>
    <cellStyle name="Comma 2 4 2" xfId="350"/>
    <cellStyle name="Comma 2 4 3" xfId="351"/>
    <cellStyle name="Comma 2 5" xfId="352"/>
    <cellStyle name="Comma 2 5 2" xfId="353"/>
    <cellStyle name="Comma 2 5 3" xfId="354"/>
    <cellStyle name="Comma 2 6" xfId="355"/>
    <cellStyle name="Comma 2 6 2" xfId="356"/>
    <cellStyle name="Comma 2 6 3" xfId="357"/>
    <cellStyle name="Comma 2 7" xfId="358"/>
    <cellStyle name="Comma 2 7 2" xfId="359"/>
    <cellStyle name="Comma 2 7 3" xfId="360"/>
    <cellStyle name="Comma 2 7 4" xfId="361"/>
    <cellStyle name="Comma 2 7 5" xfId="362"/>
    <cellStyle name="Comma 2 7 6" xfId="363"/>
    <cellStyle name="Comma 2 8" xfId="364"/>
    <cellStyle name="Comma 2 8 2" xfId="365"/>
    <cellStyle name="Comma 2 8 3" xfId="366"/>
    <cellStyle name="Comma 3" xfId="367"/>
    <cellStyle name="Comma 3 2" xfId="368"/>
    <cellStyle name="Comma 8" xfId="369"/>
    <cellStyle name="Comma 8 2" xfId="370"/>
    <cellStyle name="Comma 8 3" xfId="371"/>
    <cellStyle name="Comma 8 4" xfId="372"/>
    <cellStyle name="Comma0" xfId="373"/>
    <cellStyle name="Cor1" xfId="374"/>
    <cellStyle name="Cor1 2" xfId="375"/>
    <cellStyle name="Cor1 3" xfId="376"/>
    <cellStyle name="Cor1 4" xfId="377"/>
    <cellStyle name="Cor2" xfId="378"/>
    <cellStyle name="Cor2 2" xfId="379"/>
    <cellStyle name="Cor2 3" xfId="380"/>
    <cellStyle name="Cor2 4" xfId="381"/>
    <cellStyle name="Cor3" xfId="382"/>
    <cellStyle name="Cor3 2" xfId="383"/>
    <cellStyle name="Cor3 3" xfId="384"/>
    <cellStyle name="Cor3 4" xfId="385"/>
    <cellStyle name="Cor4" xfId="386"/>
    <cellStyle name="Cor4 2" xfId="387"/>
    <cellStyle name="Cor4 3" xfId="388"/>
    <cellStyle name="Cor4 4" xfId="389"/>
    <cellStyle name="Cor5" xfId="390"/>
    <cellStyle name="Cor5 2" xfId="391"/>
    <cellStyle name="Cor5 3" xfId="392"/>
    <cellStyle name="Cor5 4" xfId="393"/>
    <cellStyle name="Cor6" xfId="394"/>
    <cellStyle name="Cor6 2" xfId="395"/>
    <cellStyle name="Cor6 3" xfId="396"/>
    <cellStyle name="Cor6 4" xfId="397"/>
    <cellStyle name="Correcto" xfId="398"/>
    <cellStyle name="Correcto 10" xfId="399"/>
    <cellStyle name="Correcto 11" xfId="400"/>
    <cellStyle name="Correcto 2" xfId="401"/>
    <cellStyle name="Correcto 2 10" xfId="402"/>
    <cellStyle name="Correcto 2 11" xfId="403"/>
    <cellStyle name="Correcto 2 12" xfId="404"/>
    <cellStyle name="Correcto 2 2" xfId="405"/>
    <cellStyle name="Correcto 2 3" xfId="406"/>
    <cellStyle name="Correcto 2 4" xfId="407"/>
    <cellStyle name="Correcto 2 5" xfId="408"/>
    <cellStyle name="Correcto 2 6" xfId="409"/>
    <cellStyle name="Correcto 2 7" xfId="410"/>
    <cellStyle name="Correcto 2 8" xfId="411"/>
    <cellStyle name="Correcto 2 9" xfId="412"/>
    <cellStyle name="Correcto 3" xfId="413"/>
    <cellStyle name="Correcto 4" xfId="414"/>
    <cellStyle name="Correcto 5" xfId="415"/>
    <cellStyle name="Correcto 6" xfId="416"/>
    <cellStyle name="Correcto 7" xfId="417"/>
    <cellStyle name="Correcto 8" xfId="418"/>
    <cellStyle name="Correcto 9" xfId="419"/>
    <cellStyle name="CURRENCY" xfId="420"/>
    <cellStyle name="Currency [2]" xfId="421"/>
    <cellStyle name="Currency 2" xfId="422"/>
    <cellStyle name="Currency 2 10" xfId="423"/>
    <cellStyle name="Currency 2 2" xfId="424"/>
    <cellStyle name="Currency 2 2 2" xfId="425"/>
    <cellStyle name="Currency 2 2 3" xfId="426"/>
    <cellStyle name="Currency 2 3" xfId="427"/>
    <cellStyle name="Currency 2 3 2" xfId="428"/>
    <cellStyle name="Currency 2 3 3" xfId="429"/>
    <cellStyle name="Currency 2 4" xfId="430"/>
    <cellStyle name="Currency 2 4 2" xfId="431"/>
    <cellStyle name="Currency 2 4 3" xfId="432"/>
    <cellStyle name="Currency 2 5" xfId="433"/>
    <cellStyle name="Currency 2 5 2" xfId="434"/>
    <cellStyle name="Currency 2 5 3" xfId="435"/>
    <cellStyle name="Currency 2 6" xfId="436"/>
    <cellStyle name="Currency 2 6 2" xfId="437"/>
    <cellStyle name="Currency 2 6 3" xfId="438"/>
    <cellStyle name="Currency 2 7" xfId="439"/>
    <cellStyle name="Currency 2 7 2" xfId="440"/>
    <cellStyle name="Currency 2 7 3" xfId="441"/>
    <cellStyle name="Currency 2 8" xfId="442"/>
    <cellStyle name="Currency 2 8 2" xfId="443"/>
    <cellStyle name="Currency 2 8 3" xfId="444"/>
    <cellStyle name="Currency 2 9" xfId="445"/>
    <cellStyle name="Currency0" xfId="446"/>
    <cellStyle name="DATE" xfId="447"/>
    <cellStyle name="Date [mmm-yy]" xfId="448"/>
    <cellStyle name="dsf" xfId="449"/>
    <cellStyle name="dsf 2" xfId="450"/>
    <cellStyle name="Emphasis 1" xfId="451"/>
    <cellStyle name="Emphasis 2" xfId="452"/>
    <cellStyle name="Emphasis 3" xfId="453"/>
    <cellStyle name="Entrada" xfId="454"/>
    <cellStyle name="Entrada 10" xfId="455"/>
    <cellStyle name="Entrada 11" xfId="456"/>
    <cellStyle name="Entrada 2" xfId="457"/>
    <cellStyle name="Entrada 2 10" xfId="458"/>
    <cellStyle name="Entrada 2 11" xfId="459"/>
    <cellStyle name="Entrada 2 12" xfId="460"/>
    <cellStyle name="Entrada 2 13" xfId="461"/>
    <cellStyle name="Entrada 2 2" xfId="462"/>
    <cellStyle name="Entrada 2 3" xfId="463"/>
    <cellStyle name="Entrada 2 4" xfId="464"/>
    <cellStyle name="Entrada 2 5" xfId="465"/>
    <cellStyle name="Entrada 2 6" xfId="466"/>
    <cellStyle name="Entrada 2 7" xfId="467"/>
    <cellStyle name="Entrada 2 8" xfId="468"/>
    <cellStyle name="Entrada 2 9" xfId="469"/>
    <cellStyle name="Entrada 3" xfId="470"/>
    <cellStyle name="Entrada 4" xfId="471"/>
    <cellStyle name="Entrada 5" xfId="472"/>
    <cellStyle name="Entrada 6" xfId="473"/>
    <cellStyle name="Entrada 7" xfId="474"/>
    <cellStyle name="Entrada 8" xfId="475"/>
    <cellStyle name="Entrada 9" xfId="476"/>
    <cellStyle name="Estilo 1" xfId="477"/>
    <cellStyle name="Estilo 1 10" xfId="478"/>
    <cellStyle name="Estilo 1 11" xfId="479"/>
    <cellStyle name="Estilo 1 12" xfId="480"/>
    <cellStyle name="Estilo 1 2" xfId="481"/>
    <cellStyle name="Estilo 1 3" xfId="482"/>
    <cellStyle name="Estilo 1 4" xfId="483"/>
    <cellStyle name="Estilo 1 5" xfId="484"/>
    <cellStyle name="Estilo 1 6" xfId="485"/>
    <cellStyle name="Estilo 1 7" xfId="486"/>
    <cellStyle name="Estilo 1 8" xfId="487"/>
    <cellStyle name="Estilo 1 9" xfId="488"/>
    <cellStyle name="Euro" xfId="489"/>
    <cellStyle name="Euro 2" xfId="490"/>
    <cellStyle name="Euro 2 2" xfId="491"/>
    <cellStyle name="Euro 2 3" xfId="492"/>
    <cellStyle name="Euro 2 4" xfId="493"/>
    <cellStyle name="Euro 3" xfId="494"/>
    <cellStyle name="Euro 4" xfId="495"/>
    <cellStyle name="Euro 5" xfId="496"/>
    <cellStyle name="Euro 6" xfId="497"/>
    <cellStyle name="Euro_07_05_22 SEMENTES COLZA ROMÉNIA" xfId="498"/>
    <cellStyle name="Exception" xfId="499"/>
    <cellStyle name="Explanatory Text" xfId="500"/>
    <cellStyle name="Feeder Field" xfId="501"/>
    <cellStyle name="FIXED" xfId="502"/>
    <cellStyle name="Good" xfId="503"/>
    <cellStyle name="Grey" xfId="504"/>
    <cellStyle name="Greyed out" xfId="505"/>
    <cellStyle name="Heading 1" xfId="506"/>
    <cellStyle name="Heading 2" xfId="507"/>
    <cellStyle name="Heading 3" xfId="508"/>
    <cellStyle name="Heading 4" xfId="509"/>
    <cellStyle name="HEADING1" xfId="510"/>
    <cellStyle name="HEADING2" xfId="511"/>
    <cellStyle name="Hyperlink" xfId="512"/>
    <cellStyle name="Hiperligação 2" xfId="513"/>
    <cellStyle name="Hiperligação 2 2" xfId="514"/>
    <cellStyle name="Hiperligação 2 3" xfId="515"/>
    <cellStyle name="Hiperligação 2 4" xfId="516"/>
    <cellStyle name="Hiperligação 2 5" xfId="517"/>
    <cellStyle name="Hiperligação 2 6" xfId="518"/>
    <cellStyle name="Hiperligação 2 7" xfId="519"/>
    <cellStyle name="Hiperligação 3" xfId="520"/>
    <cellStyle name="Hiperligação 4" xfId="521"/>
    <cellStyle name="Hyperlink 2" xfId="522"/>
    <cellStyle name="Incorrecto" xfId="523"/>
    <cellStyle name="Incorrecto 2" xfId="524"/>
    <cellStyle name="Incorrecto 3" xfId="525"/>
    <cellStyle name="Incorrecto 4" xfId="526"/>
    <cellStyle name="Input" xfId="527"/>
    <cellStyle name="Input 1" xfId="528"/>
    <cellStyle name="Input 2" xfId="529"/>
    <cellStyle name="Input 2 2" xfId="530"/>
    <cellStyle name="Input 2 3" xfId="531"/>
    <cellStyle name="Input 3" xfId="532"/>
    <cellStyle name="Input 4" xfId="533"/>
    <cellStyle name="Input 5" xfId="534"/>
    <cellStyle name="Input 6" xfId="535"/>
    <cellStyle name="Input Date" xfId="536"/>
    <cellStyle name="Input Normal" xfId="537"/>
    <cellStyle name="Input Percent" xfId="538"/>
    <cellStyle name="Input Percent [2]" xfId="539"/>
    <cellStyle name="LineBottom2" xfId="540"/>
    <cellStyle name="Linked Cell" xfId="541"/>
    <cellStyle name="Millares_CALDERA.XLC" xfId="542"/>
    <cellStyle name="Currency" xfId="543"/>
    <cellStyle name="Currency [0]" xfId="544"/>
    <cellStyle name="Moeda 2" xfId="545"/>
    <cellStyle name="Moeda 2 2" xfId="546"/>
    <cellStyle name="Moeda 2 2 2" xfId="547"/>
    <cellStyle name="Moeda 2 2 3" xfId="548"/>
    <cellStyle name="Moeda 3" xfId="549"/>
    <cellStyle name="Moeda 3 2" xfId="550"/>
    <cellStyle name="Moeda 3 3" xfId="551"/>
    <cellStyle name="Moeda 6" xfId="552"/>
    <cellStyle name="Moeda 7" xfId="553"/>
    <cellStyle name="Moeda 9" xfId="554"/>
    <cellStyle name="Moneda_CALDERA.XLC" xfId="555"/>
    <cellStyle name="montantes" xfId="556"/>
    <cellStyle name="Named Range" xfId="557"/>
    <cellStyle name="Named Range Tag" xfId="558"/>
    <cellStyle name="Neutral" xfId="559"/>
    <cellStyle name="Neutro" xfId="560"/>
    <cellStyle name="Neutro 2" xfId="561"/>
    <cellStyle name="Neutro 2 2" xfId="562"/>
    <cellStyle name="Neutro 3" xfId="563"/>
    <cellStyle name="Neutro 4" xfId="564"/>
    <cellStyle name="Normal - Style1" xfId="565"/>
    <cellStyle name="Normal [1]" xfId="566"/>
    <cellStyle name="Normal [2]" xfId="567"/>
    <cellStyle name="Normal [3]" xfId="568"/>
    <cellStyle name="Normal 10" xfId="569"/>
    <cellStyle name="Normal 10 10" xfId="570"/>
    <cellStyle name="Normal 10 11" xfId="571"/>
    <cellStyle name="Normal 10 12" xfId="572"/>
    <cellStyle name="Normal 10 12 2" xfId="573"/>
    <cellStyle name="Normal 10 12 3" xfId="574"/>
    <cellStyle name="Normal 10 13" xfId="575"/>
    <cellStyle name="Normal 10 13 2" xfId="576"/>
    <cellStyle name="Normal 10 13 3" xfId="577"/>
    <cellStyle name="Normal 10 14" xfId="578"/>
    <cellStyle name="Normal 10 14 2" xfId="579"/>
    <cellStyle name="Normal 10 15" xfId="580"/>
    <cellStyle name="Normal 10 2" xfId="581"/>
    <cellStyle name="Normal 10 3" xfId="582"/>
    <cellStyle name="Normal 10 3 2" xfId="583"/>
    <cellStyle name="Normal 10 3 3" xfId="584"/>
    <cellStyle name="Normal 10 4" xfId="585"/>
    <cellStyle name="Normal 10 5" xfId="586"/>
    <cellStyle name="Normal 10 6" xfId="587"/>
    <cellStyle name="Normal 10 7" xfId="588"/>
    <cellStyle name="Normal 10 8" xfId="589"/>
    <cellStyle name="Normal 10 9" xfId="590"/>
    <cellStyle name="Normal 11" xfId="591"/>
    <cellStyle name="Normal 11 2" xfId="592"/>
    <cellStyle name="Normal 11 3" xfId="593"/>
    <cellStyle name="Normal 11 4" xfId="594"/>
    <cellStyle name="Normal 11 5" xfId="595"/>
    <cellStyle name="Normal 11 6" xfId="596"/>
    <cellStyle name="Normal 11 6 2" xfId="597"/>
    <cellStyle name="Normal 11 7" xfId="598"/>
    <cellStyle name="Normal 12" xfId="599"/>
    <cellStyle name="Normal 12 2" xfId="600"/>
    <cellStyle name="Normal 12 2 2" xfId="601"/>
    <cellStyle name="Normal 12 2 3" xfId="602"/>
    <cellStyle name="Normal 12 3" xfId="603"/>
    <cellStyle name="Normal 12 3 2" xfId="604"/>
    <cellStyle name="Normal 12 3 3" xfId="605"/>
    <cellStyle name="Normal 12 4" xfId="606"/>
    <cellStyle name="Normal 12 4 2" xfId="607"/>
    <cellStyle name="Normal 12 4 2 2" xfId="608"/>
    <cellStyle name="Normal 12 4 2 3" xfId="609"/>
    <cellStyle name="Normal 12 4 3" xfId="610"/>
    <cellStyle name="Normal 12 5" xfId="611"/>
    <cellStyle name="Normal 12 6" xfId="612"/>
    <cellStyle name="Normal 13" xfId="613"/>
    <cellStyle name="Normal 13 2" xfId="614"/>
    <cellStyle name="Normal 13 2 2" xfId="615"/>
    <cellStyle name="Normal 13 3" xfId="616"/>
    <cellStyle name="Normal 14" xfId="617"/>
    <cellStyle name="Normal 14 2" xfId="618"/>
    <cellStyle name="Normal 14 3" xfId="619"/>
    <cellStyle name="Normal 15" xfId="620"/>
    <cellStyle name="Normal 15 2" xfId="621"/>
    <cellStyle name="Normal 16" xfId="622"/>
    <cellStyle name="Normal 16 2" xfId="623"/>
    <cellStyle name="Normal 16 2 2" xfId="624"/>
    <cellStyle name="Normal 16 2 3" xfId="625"/>
    <cellStyle name="Normal 17" xfId="626"/>
    <cellStyle name="Normal 17 2" xfId="627"/>
    <cellStyle name="Normal 17 3" xfId="628"/>
    <cellStyle name="Normal 18" xfId="629"/>
    <cellStyle name="Normal 18 2" xfId="630"/>
    <cellStyle name="Normal 18 3" xfId="631"/>
    <cellStyle name="Normal 19" xfId="632"/>
    <cellStyle name="Normal 19 2" xfId="633"/>
    <cellStyle name="Normal 19 2 2" xfId="634"/>
    <cellStyle name="Normal 19 2 3" xfId="635"/>
    <cellStyle name="Normal 19 3" xfId="636"/>
    <cellStyle name="Normal 19 4" xfId="637"/>
    <cellStyle name="Normal 2" xfId="638"/>
    <cellStyle name="Normal 2 10" xfId="639"/>
    <cellStyle name="Normal 2 10 2" xfId="640"/>
    <cellStyle name="Normal 2 11" xfId="641"/>
    <cellStyle name="Normal 2 11 2" xfId="642"/>
    <cellStyle name="Normal 2 12" xfId="643"/>
    <cellStyle name="Normal 2 12 2" xfId="644"/>
    <cellStyle name="Normal 2 12 3" xfId="645"/>
    <cellStyle name="Normal 2 13" xfId="646"/>
    <cellStyle name="Normal 2 13 2" xfId="647"/>
    <cellStyle name="Normal 2 14" xfId="648"/>
    <cellStyle name="Normal 2 14 2" xfId="649"/>
    <cellStyle name="Normal 2 15" xfId="650"/>
    <cellStyle name="Normal 2 15 2" xfId="651"/>
    <cellStyle name="Normal 2 16" xfId="652"/>
    <cellStyle name="Normal 2 16 2" xfId="653"/>
    <cellStyle name="Normal 2 17" xfId="654"/>
    <cellStyle name="Normal 2 17 2" xfId="655"/>
    <cellStyle name="Normal 2 18" xfId="656"/>
    <cellStyle name="Normal 2 19" xfId="657"/>
    <cellStyle name="Normal 2 2" xfId="658"/>
    <cellStyle name="Normal 2 2 10" xfId="659"/>
    <cellStyle name="Normal 2 2 11" xfId="660"/>
    <cellStyle name="Normal 2 2 12" xfId="661"/>
    <cellStyle name="Normal 2 2 2" xfId="662"/>
    <cellStyle name="Normal 2 2 2 2" xfId="663"/>
    <cellStyle name="Normal 2 2 2 2 2" xfId="664"/>
    <cellStyle name="Normal 2 2 2 2 3" xfId="665"/>
    <cellStyle name="Normal 2 2 2 2 4" xfId="666"/>
    <cellStyle name="Normal 2 2 2 2 5" xfId="667"/>
    <cellStyle name="Normal 2 2 2 2 6" xfId="668"/>
    <cellStyle name="Normal 2 2 2 3" xfId="669"/>
    <cellStyle name="Normal 2 2 2 3 2" xfId="670"/>
    <cellStyle name="Normal 2 2 2 3 3" xfId="671"/>
    <cellStyle name="Normal 2 2 2 4" xfId="672"/>
    <cellStyle name="Normal 2 2 2 4 2" xfId="673"/>
    <cellStyle name="Normal 2 2 2 4 3" xfId="674"/>
    <cellStyle name="Normal 2 2 2 5" xfId="675"/>
    <cellStyle name="Normal 2 2 2 6" xfId="676"/>
    <cellStyle name="Normal 2 2 2 7" xfId="677"/>
    <cellStyle name="Normal 2 2 3" xfId="678"/>
    <cellStyle name="Normal 2 2 3 2" xfId="679"/>
    <cellStyle name="Normal 2 2 3 3" xfId="680"/>
    <cellStyle name="Normal 2 2 3 4" xfId="681"/>
    <cellStyle name="Normal 2 2 3 5" xfId="682"/>
    <cellStyle name="Normal 2 2 3 6" xfId="683"/>
    <cellStyle name="Normal 2 2 3 7" xfId="684"/>
    <cellStyle name="Normal 2 2 4" xfId="685"/>
    <cellStyle name="Normal 2 2 5" xfId="686"/>
    <cellStyle name="Normal 2 2 6" xfId="687"/>
    <cellStyle name="Normal 2 2 7" xfId="688"/>
    <cellStyle name="Normal 2 2 8" xfId="689"/>
    <cellStyle name="Normal 2 2 9" xfId="690"/>
    <cellStyle name="Normal 2 20" xfId="691"/>
    <cellStyle name="Normal 2 3" xfId="692"/>
    <cellStyle name="Normal 2 3 2" xfId="693"/>
    <cellStyle name="Normal 2 3 2 2" xfId="694"/>
    <cellStyle name="Normal 2 3 2 3" xfId="695"/>
    <cellStyle name="Normal 2 3 2 4" xfId="696"/>
    <cellStyle name="Normal 2 3 2 5" xfId="697"/>
    <cellStyle name="Normal 2 3 2 6" xfId="698"/>
    <cellStyle name="Normal 2 3 2 7" xfId="699"/>
    <cellStyle name="Normal 2 3 3" xfId="700"/>
    <cellStyle name="Normal 2 3 4" xfId="701"/>
    <cellStyle name="Normal 2 3 5" xfId="702"/>
    <cellStyle name="Normal 2 3 6" xfId="703"/>
    <cellStyle name="Normal 2 3 7" xfId="704"/>
    <cellStyle name="Normal 2 3 8" xfId="705"/>
    <cellStyle name="Normal 2 4" xfId="706"/>
    <cellStyle name="Normal 2 4 2" xfId="707"/>
    <cellStyle name="Normal 2 4 3" xfId="708"/>
    <cellStyle name="Normal 2 5" xfId="709"/>
    <cellStyle name="Normal 2 5 2" xfId="710"/>
    <cellStyle name="Normal 2 5 3" xfId="711"/>
    <cellStyle name="Normal 2 5 4" xfId="712"/>
    <cellStyle name="Normal 2 6" xfId="713"/>
    <cellStyle name="Normal 2 6 2" xfId="714"/>
    <cellStyle name="Normal 2 7" xfId="715"/>
    <cellStyle name="Normal 2 7 2" xfId="716"/>
    <cellStyle name="Normal 2 8" xfId="717"/>
    <cellStyle name="Normal 2 8 2" xfId="718"/>
    <cellStyle name="Normal 2 9" xfId="719"/>
    <cellStyle name="Normal 2 9 2" xfId="720"/>
    <cellStyle name="Normal 20" xfId="721"/>
    <cellStyle name="Normal 20 2" xfId="722"/>
    <cellStyle name="Normal 20 2 2" xfId="723"/>
    <cellStyle name="Normal 20 2 3" xfId="724"/>
    <cellStyle name="Normal 20 3" xfId="725"/>
    <cellStyle name="Normal 20 4" xfId="726"/>
    <cellStyle name="Normal 21" xfId="727"/>
    <cellStyle name="Normal 21 2" xfId="728"/>
    <cellStyle name="Normal 21 3" xfId="729"/>
    <cellStyle name="Normal 22" xfId="730"/>
    <cellStyle name="Normal 23" xfId="731"/>
    <cellStyle name="Normal 24" xfId="732"/>
    <cellStyle name="Normal 25" xfId="733"/>
    <cellStyle name="Normal 26" xfId="734"/>
    <cellStyle name="Normal 27" xfId="735"/>
    <cellStyle name="Normal 28" xfId="736"/>
    <cellStyle name="Normal 28 2" xfId="737"/>
    <cellStyle name="Normal 28 2 2" xfId="738"/>
    <cellStyle name="Normal 29" xfId="739"/>
    <cellStyle name="Normal 3" xfId="740"/>
    <cellStyle name="Normal 3 10" xfId="741"/>
    <cellStyle name="Normal 3 11" xfId="742"/>
    <cellStyle name="Normal 3 12" xfId="743"/>
    <cellStyle name="Normal 3 13" xfId="744"/>
    <cellStyle name="Normal 3 14" xfId="745"/>
    <cellStyle name="Normal 3 15" xfId="746"/>
    <cellStyle name="Normal 3 15 2" xfId="747"/>
    <cellStyle name="Normal 3 15 3" xfId="748"/>
    <cellStyle name="Normal 3 2" xfId="749"/>
    <cellStyle name="Normal 3 2 10" xfId="750"/>
    <cellStyle name="Normal 3 2 11" xfId="751"/>
    <cellStyle name="Normal 3 2 2" xfId="752"/>
    <cellStyle name="Normal 3 2 2 2" xfId="753"/>
    <cellStyle name="Normal 3 2 2 2 2" xfId="754"/>
    <cellStyle name="Normal 3 2 2 2 2 2" xfId="755"/>
    <cellStyle name="Normal 3 2 2 2 2 3" xfId="756"/>
    <cellStyle name="Normal 3 2 2 2 3" xfId="757"/>
    <cellStyle name="Normal 3 2 2 2 4" xfId="758"/>
    <cellStyle name="Normal 3 2 2 3" xfId="759"/>
    <cellStyle name="Normal 3 2 2 3 2" xfId="760"/>
    <cellStyle name="Normal 3 2 2 3 2 2" xfId="761"/>
    <cellStyle name="Normal 3 2 2 3 2 3" xfId="762"/>
    <cellStyle name="Normal 3 2 2 4" xfId="763"/>
    <cellStyle name="Normal 3 2 2 4 2" xfId="764"/>
    <cellStyle name="Normal 3 2 2 4 3" xfId="765"/>
    <cellStyle name="Normal 3 2 2 5" xfId="766"/>
    <cellStyle name="Normal 3 2 2 6" xfId="767"/>
    <cellStyle name="Normal 3 2 2 7" xfId="768"/>
    <cellStyle name="Normal 3 2 3" xfId="769"/>
    <cellStyle name="Normal 3 2 3 2" xfId="770"/>
    <cellStyle name="Normal 3 2 3 2 2" xfId="771"/>
    <cellStyle name="Normal 3 2 3 2 2 2" xfId="772"/>
    <cellStyle name="Normal 3 2 3 2 2 3" xfId="773"/>
    <cellStyle name="Normal 3 2 3 2 3" xfId="774"/>
    <cellStyle name="Normal 3 2 3 2 3 2" xfId="775"/>
    <cellStyle name="Normal 3 2 3 2 4" xfId="776"/>
    <cellStyle name="Normal 3 2 3 3" xfId="777"/>
    <cellStyle name="Normal 3 2 3 3 2" xfId="778"/>
    <cellStyle name="Normal 3 2 3 3 2 2" xfId="779"/>
    <cellStyle name="Normal 3 2 3 3 2 3" xfId="780"/>
    <cellStyle name="Normal 3 2 3 3 3" xfId="781"/>
    <cellStyle name="Normal 3 2 3 3 4" xfId="782"/>
    <cellStyle name="Normal 3 2 3 4" xfId="783"/>
    <cellStyle name="Normal 3 2 3 4 2" xfId="784"/>
    <cellStyle name="Normal 3 2 3 4 2 2" xfId="785"/>
    <cellStyle name="Normal 3 2 3 4 2 3" xfId="786"/>
    <cellStyle name="Normal 3 2 3 4 3" xfId="787"/>
    <cellStyle name="Normal 3 2 3 4 3 2" xfId="788"/>
    <cellStyle name="Normal 3 2 3 4 3 2 2" xfId="789"/>
    <cellStyle name="Normal 3 2 3 4 3 2 3" xfId="790"/>
    <cellStyle name="Normal 3 2 3 4 3 3" xfId="791"/>
    <cellStyle name="Normal 3 2 3 4 3 4" xfId="792"/>
    <cellStyle name="Normal 3 2 3 4 4" xfId="793"/>
    <cellStyle name="Normal 3 2 3 4 5" xfId="794"/>
    <cellStyle name="Normal 3 2 3 5" xfId="795"/>
    <cellStyle name="Normal 3 2 3 5 2" xfId="796"/>
    <cellStyle name="Normal 3 2 3 5 2 2" xfId="797"/>
    <cellStyle name="Normal 3 2 3 5 2 3" xfId="798"/>
    <cellStyle name="Normal 3 2 3 5 3" xfId="799"/>
    <cellStyle name="Normal 3 2 3 5 3 2" xfId="800"/>
    <cellStyle name="Normal 3 2 3 5 3 3" xfId="801"/>
    <cellStyle name="Normal 3 2 3 5 4" xfId="802"/>
    <cellStyle name="Normal 3 2 3 5 4 2" xfId="803"/>
    <cellStyle name="Normal 3 2 3 5 5" xfId="804"/>
    <cellStyle name="Normal 3 2 3 6" xfId="805"/>
    <cellStyle name="Normal 3 2 3 6 2" xfId="806"/>
    <cellStyle name="Normal 3 2 3 6 3" xfId="807"/>
    <cellStyle name="Normal 3 2 3 7" xfId="808"/>
    <cellStyle name="Normal 3 2 3 7 2" xfId="809"/>
    <cellStyle name="Normal 3 2 3 7 3" xfId="810"/>
    <cellStyle name="Normal 3 2 3 8" xfId="811"/>
    <cellStyle name="Normal 3 2 3 8 2" xfId="812"/>
    <cellStyle name="Normal 3 2 3 9" xfId="813"/>
    <cellStyle name="Normal 3 2 4" xfId="814"/>
    <cellStyle name="Normal 3 2 4 2" xfId="815"/>
    <cellStyle name="Normal 3 2 4 2 2" xfId="816"/>
    <cellStyle name="Normal 3 2 4 2 2 2" xfId="817"/>
    <cellStyle name="Normal 3 2 4 2 2 3" xfId="818"/>
    <cellStyle name="Normal 3 2 4 2 3" xfId="819"/>
    <cellStyle name="Normal 3 2 4 2 4" xfId="820"/>
    <cellStyle name="Normal 3 2 4 3" xfId="821"/>
    <cellStyle name="Normal 3 2 4 3 2" xfId="822"/>
    <cellStyle name="Normal 3 2 4 3 2 2" xfId="823"/>
    <cellStyle name="Normal 3 2 4 3 2 3" xfId="824"/>
    <cellStyle name="Normal 3 2 4 3 3" xfId="825"/>
    <cellStyle name="Normal 3 2 4 3 4" xfId="826"/>
    <cellStyle name="Normal 3 2 4 4" xfId="827"/>
    <cellStyle name="Normal 3 2 4 4 2" xfId="828"/>
    <cellStyle name="Normal 3 2 4 4 3" xfId="829"/>
    <cellStyle name="Normal 3 2 4 5" xfId="830"/>
    <cellStyle name="Normal 3 2 4 5 2" xfId="831"/>
    <cellStyle name="Normal 3 2 4 6" xfId="832"/>
    <cellStyle name="Normal 3 2 5" xfId="833"/>
    <cellStyle name="Normal 3 2 5 2" xfId="834"/>
    <cellStyle name="Normal 3 2 5 2 2" xfId="835"/>
    <cellStyle name="Normal 3 2 5 2 3" xfId="836"/>
    <cellStyle name="Normal 3 2 5 3" xfId="837"/>
    <cellStyle name="Normal 3 2 5 4" xfId="838"/>
    <cellStyle name="Normal 3 2 5 4 2" xfId="839"/>
    <cellStyle name="Normal 3 2 5 5" xfId="840"/>
    <cellStyle name="Normal 3 2 6" xfId="841"/>
    <cellStyle name="Normal 3 2 6 2" xfId="842"/>
    <cellStyle name="Normal 3 2 6 2 2" xfId="843"/>
    <cellStyle name="Normal 3 2 6 2 3" xfId="844"/>
    <cellStyle name="Normal 3 2 6 3" xfId="845"/>
    <cellStyle name="Normal 3 2 6 4" xfId="846"/>
    <cellStyle name="Normal 3 2 7" xfId="847"/>
    <cellStyle name="Normal 3 2 7 2" xfId="848"/>
    <cellStyle name="Normal 3 2 7 3" xfId="849"/>
    <cellStyle name="Normal 3 2 8" xfId="850"/>
    <cellStyle name="Normal 3 2 8 2" xfId="851"/>
    <cellStyle name="Normal 3 2 8 2 2" xfId="852"/>
    <cellStyle name="Normal 3 2 8 2 3" xfId="853"/>
    <cellStyle name="Normal 3 2 8 3" xfId="854"/>
    <cellStyle name="Normal 3 2 8 4" xfId="855"/>
    <cellStyle name="Normal 3 2 9" xfId="856"/>
    <cellStyle name="Normal 3 2 9 2" xfId="857"/>
    <cellStyle name="Normal 3 2 9 3" xfId="858"/>
    <cellStyle name="Normal 3 3" xfId="859"/>
    <cellStyle name="Normal 3 3 2" xfId="860"/>
    <cellStyle name="Normal 3 4" xfId="861"/>
    <cellStyle name="Normal 3 5" xfId="862"/>
    <cellStyle name="Normal 3 6" xfId="863"/>
    <cellStyle name="Normal 3 7" xfId="864"/>
    <cellStyle name="Normal 3 8" xfId="865"/>
    <cellStyle name="Normal 3 9" xfId="866"/>
    <cellStyle name="Normal 3_Xl0000003" xfId="867"/>
    <cellStyle name="Normal 30" xfId="868"/>
    <cellStyle name="Normal 31" xfId="869"/>
    <cellStyle name="Normal 32" xfId="870"/>
    <cellStyle name="Normal 33" xfId="871"/>
    <cellStyle name="Normal 34" xfId="872"/>
    <cellStyle name="Normal 35" xfId="873"/>
    <cellStyle name="Normal 36" xfId="874"/>
    <cellStyle name="Normal 37" xfId="875"/>
    <cellStyle name="Normal 38" xfId="876"/>
    <cellStyle name="Normal 39" xfId="877"/>
    <cellStyle name="Normal 4" xfId="878"/>
    <cellStyle name="Normal 4 10" xfId="879"/>
    <cellStyle name="Normal 4 2" xfId="880"/>
    <cellStyle name="Normal 4 3" xfId="881"/>
    <cellStyle name="Normal 4 3 2" xfId="882"/>
    <cellStyle name="Normal 4 3 3" xfId="883"/>
    <cellStyle name="Normal 4 4" xfId="884"/>
    <cellStyle name="Normal 4 5" xfId="885"/>
    <cellStyle name="Normal 4 6" xfId="886"/>
    <cellStyle name="Normal 4 7" xfId="887"/>
    <cellStyle name="Normal 4 8" xfId="888"/>
    <cellStyle name="Normal 4 9" xfId="889"/>
    <cellStyle name="Normal 40" xfId="890"/>
    <cellStyle name="Normal 41" xfId="891"/>
    <cellStyle name="Normal 42" xfId="892"/>
    <cellStyle name="Normal 43" xfId="893"/>
    <cellStyle name="Normal 44" xfId="894"/>
    <cellStyle name="Normal 44 2" xfId="895"/>
    <cellStyle name="Normal 44 2 2" xfId="896"/>
    <cellStyle name="Normal 45" xfId="897"/>
    <cellStyle name="Normal 46" xfId="898"/>
    <cellStyle name="Normal 47" xfId="899"/>
    <cellStyle name="Normal 48" xfId="900"/>
    <cellStyle name="Normal 49" xfId="901"/>
    <cellStyle name="Normal 5" xfId="902"/>
    <cellStyle name="Normal 5 10" xfId="903"/>
    <cellStyle name="Normal 5 10 2" xfId="904"/>
    <cellStyle name="Normal 5 10 2 10" xfId="905"/>
    <cellStyle name="Normal 5 10 2 11" xfId="906"/>
    <cellStyle name="Normal 5 10 2 12" xfId="907"/>
    <cellStyle name="Normal 5 10 2 2" xfId="908"/>
    <cellStyle name="Normal 5 10 2 3" xfId="909"/>
    <cellStyle name="Normal 5 10 2 4" xfId="910"/>
    <cellStyle name="Normal 5 10 2 5" xfId="911"/>
    <cellStyle name="Normal 5 10 2 6" xfId="912"/>
    <cellStyle name="Normal 5 10 2 7" xfId="913"/>
    <cellStyle name="Normal 5 10 2 8" xfId="914"/>
    <cellStyle name="Normal 5 10 2 9" xfId="915"/>
    <cellStyle name="Normal 5 2" xfId="916"/>
    <cellStyle name="Normal 5 2 2" xfId="917"/>
    <cellStyle name="Normal 5 3" xfId="918"/>
    <cellStyle name="Normal 5 4" xfId="919"/>
    <cellStyle name="Normal 5 4 2" xfId="920"/>
    <cellStyle name="Normal 5 4 3" xfId="921"/>
    <cellStyle name="Normal 5 5" xfId="922"/>
    <cellStyle name="Normal 5 5 2" xfId="923"/>
    <cellStyle name="Normal 5 5 2 2" xfId="924"/>
    <cellStyle name="Normal 5 5 2 3" xfId="925"/>
    <cellStyle name="Normal 5 6" xfId="926"/>
    <cellStyle name="Normal 5 7" xfId="927"/>
    <cellStyle name="Normal 5 8" xfId="928"/>
    <cellStyle name="Normal 5 9" xfId="929"/>
    <cellStyle name="Normal 50" xfId="930"/>
    <cellStyle name="Normal 51" xfId="931"/>
    <cellStyle name="Normal 52" xfId="932"/>
    <cellStyle name="Normal 53" xfId="933"/>
    <cellStyle name="Normal 54" xfId="934"/>
    <cellStyle name="Normal 54 2" xfId="935"/>
    <cellStyle name="Normal 54 3" xfId="936"/>
    <cellStyle name="Normal 55" xfId="937"/>
    <cellStyle name="Normal 56" xfId="938"/>
    <cellStyle name="Normal 57" xfId="939"/>
    <cellStyle name="Normal 57 2" xfId="940"/>
    <cellStyle name="Normal 57 3" xfId="941"/>
    <cellStyle name="Normal 58" xfId="942"/>
    <cellStyle name="Normal 59" xfId="943"/>
    <cellStyle name="Normal 6" xfId="944"/>
    <cellStyle name="Normal 6 10" xfId="945"/>
    <cellStyle name="Normal 6 11" xfId="946"/>
    <cellStyle name="Normal 6 12" xfId="947"/>
    <cellStyle name="Normal 6 13" xfId="948"/>
    <cellStyle name="Normal 6 14" xfId="949"/>
    <cellStyle name="Normal 6 2" xfId="950"/>
    <cellStyle name="Normal 6 2 2" xfId="951"/>
    <cellStyle name="Normal 6 2 2 2" xfId="952"/>
    <cellStyle name="Normal 6 2 2 2 2" xfId="953"/>
    <cellStyle name="Normal 6 2 2 2 3" xfId="954"/>
    <cellStyle name="Normal 6 2 2 3" xfId="955"/>
    <cellStyle name="Normal 6 2 2 4" xfId="956"/>
    <cellStyle name="Normal 6 2 3" xfId="957"/>
    <cellStyle name="Normal 6 2 3 2" xfId="958"/>
    <cellStyle name="Normal 6 2 3 2 2" xfId="959"/>
    <cellStyle name="Normal 6 2 3 2 3" xfId="960"/>
    <cellStyle name="Normal 6 2 4" xfId="961"/>
    <cellStyle name="Normal 6 2 4 2" xfId="962"/>
    <cellStyle name="Normal 6 2 4 3" xfId="963"/>
    <cellStyle name="Normal 6 2 5" xfId="964"/>
    <cellStyle name="Normal 6 2 6" xfId="965"/>
    <cellStyle name="Normal 6 2 7" xfId="966"/>
    <cellStyle name="Normal 6 3" xfId="967"/>
    <cellStyle name="Normal 6 3 2" xfId="968"/>
    <cellStyle name="Normal 6 3 3" xfId="969"/>
    <cellStyle name="Normal 6 3 4" xfId="970"/>
    <cellStyle name="Normal 6 4" xfId="971"/>
    <cellStyle name="Normal 6 4 2" xfId="972"/>
    <cellStyle name="Normal 6 4 2 2" xfId="973"/>
    <cellStyle name="Normal 6 4 2 3" xfId="974"/>
    <cellStyle name="Normal 6 5" xfId="975"/>
    <cellStyle name="Normal 6 5 2" xfId="976"/>
    <cellStyle name="Normal 6 5 3" xfId="977"/>
    <cellStyle name="Normal 6 6" xfId="978"/>
    <cellStyle name="Normal 6 7" xfId="979"/>
    <cellStyle name="Normal 6 8" xfId="980"/>
    <cellStyle name="Normal 6 9" xfId="981"/>
    <cellStyle name="Normal 60" xfId="982"/>
    <cellStyle name="Normal 60 2" xfId="983"/>
    <cellStyle name="Normal 61" xfId="984"/>
    <cellStyle name="Normal 62" xfId="985"/>
    <cellStyle name="Normal 7" xfId="986"/>
    <cellStyle name="Normal 7 2" xfId="987"/>
    <cellStyle name="Normal 7 2 2" xfId="988"/>
    <cellStyle name="Normal 7 2 2 2" xfId="989"/>
    <cellStyle name="Normal 7 2 2 2 2" xfId="990"/>
    <cellStyle name="Normal 7 2 2 2 3" xfId="991"/>
    <cellStyle name="Normal 7 2 2 2 3 2" xfId="992"/>
    <cellStyle name="Normal 7 2 2 3" xfId="993"/>
    <cellStyle name="Normal 7 2 2 3 2" xfId="994"/>
    <cellStyle name="Normal 7 2 2 4" xfId="995"/>
    <cellStyle name="Normal 7 2 4" xfId="996"/>
    <cellStyle name="Normal 7 3" xfId="997"/>
    <cellStyle name="Normal 7 3 2" xfId="998"/>
    <cellStyle name="Normal 7 3 2 2" xfId="999"/>
    <cellStyle name="Normal 7 3 2 3" xfId="1000"/>
    <cellStyle name="Normal 7 3 3" xfId="1001"/>
    <cellStyle name="Normal 7 3 4" xfId="1002"/>
    <cellStyle name="Normal 7 4" xfId="1003"/>
    <cellStyle name="Normal 7 4 2" xfId="1004"/>
    <cellStyle name="Normal 7 4 3" xfId="1005"/>
    <cellStyle name="Normal 8" xfId="1006"/>
    <cellStyle name="Normal 8 2" xfId="1007"/>
    <cellStyle name="Normal 8 2 2" xfId="1008"/>
    <cellStyle name="Normal 8 2 2 2" xfId="1009"/>
    <cellStyle name="Normal 8 2 2 3" xfId="1010"/>
    <cellStyle name="Normal 8 2 3" xfId="1011"/>
    <cellStyle name="Normal 8 2 4" xfId="1012"/>
    <cellStyle name="Normal 8 3" xfId="1013"/>
    <cellStyle name="Normal 8 3 2" xfId="1014"/>
    <cellStyle name="Normal 8 3 3" xfId="1015"/>
    <cellStyle name="Normal 8 4" xfId="1016"/>
    <cellStyle name="Normal 8 5" xfId="1017"/>
    <cellStyle name="Normal 8 6" xfId="1018"/>
    <cellStyle name="Normal 9" xfId="1019"/>
    <cellStyle name="Normal 9 2" xfId="1020"/>
    <cellStyle name="Normal 9 3" xfId="1021"/>
    <cellStyle name="Normal Bold" xfId="1022"/>
    <cellStyle name="Normalny_koszt" xfId="1023"/>
    <cellStyle name="Nota" xfId="1024"/>
    <cellStyle name="Nota 10" xfId="1025"/>
    <cellStyle name="Nota 10 2" xfId="1026"/>
    <cellStyle name="Nota 10 3" xfId="1027"/>
    <cellStyle name="Nota 11" xfId="1028"/>
    <cellStyle name="Nota 11 2" xfId="1029"/>
    <cellStyle name="Nota 11 3" xfId="1030"/>
    <cellStyle name="Nota 12" xfId="1031"/>
    <cellStyle name="Nota 2" xfId="1032"/>
    <cellStyle name="Nota 2 10" xfId="1033"/>
    <cellStyle name="Nota 2 11" xfId="1034"/>
    <cellStyle name="Nota 2 12" xfId="1035"/>
    <cellStyle name="Nota 2 13" xfId="1036"/>
    <cellStyle name="Nota 2 2" xfId="1037"/>
    <cellStyle name="Nota 2 3" xfId="1038"/>
    <cellStyle name="Nota 2 4" xfId="1039"/>
    <cellStyle name="Nota 2 5" xfId="1040"/>
    <cellStyle name="Nota 2 6" xfId="1041"/>
    <cellStyle name="Nota 2 7" xfId="1042"/>
    <cellStyle name="Nota 2 8" xfId="1043"/>
    <cellStyle name="Nota 2 9" xfId="1044"/>
    <cellStyle name="Nota 3" xfId="1045"/>
    <cellStyle name="Nota 4" xfId="1046"/>
    <cellStyle name="Nota 5" xfId="1047"/>
    <cellStyle name="Nota 5 2" xfId="1048"/>
    <cellStyle name="Nota 5 3" xfId="1049"/>
    <cellStyle name="Nota 6" xfId="1050"/>
    <cellStyle name="Nota 6 2" xfId="1051"/>
    <cellStyle name="Nota 6 3" xfId="1052"/>
    <cellStyle name="Nota 7" xfId="1053"/>
    <cellStyle name="Nota 7 2" xfId="1054"/>
    <cellStyle name="Nota 7 3" xfId="1055"/>
    <cellStyle name="Nota 8" xfId="1056"/>
    <cellStyle name="Nota 8 2" xfId="1057"/>
    <cellStyle name="Nota 8 3" xfId="1058"/>
    <cellStyle name="Nota 9" xfId="1059"/>
    <cellStyle name="Nota 9 2" xfId="1060"/>
    <cellStyle name="Nota 9 3" xfId="1061"/>
    <cellStyle name="Note" xfId="1062"/>
    <cellStyle name="Note 2" xfId="1063"/>
    <cellStyle name="Note 2 2" xfId="1064"/>
    <cellStyle name="Note 2 3" xfId="1065"/>
    <cellStyle name="Note 3" xfId="1066"/>
    <cellStyle name="Note 4" xfId="1067"/>
    <cellStyle name="Note 5" xfId="1068"/>
    <cellStyle name="Note 6" xfId="1069"/>
    <cellStyle name="num s dec" xfId="1070"/>
    <cellStyle name="Opis" xfId="1071"/>
    <cellStyle name="Output" xfId="1072"/>
    <cellStyle name="Output 2" xfId="1073"/>
    <cellStyle name="Output 2 2" xfId="1074"/>
    <cellStyle name="Output 2 3" xfId="1075"/>
    <cellStyle name="Output 3" xfId="1076"/>
    <cellStyle name="Output 4" xfId="1077"/>
    <cellStyle name="Output 5" xfId="1078"/>
    <cellStyle name="Output 6" xfId="1079"/>
    <cellStyle name="pequeno" xfId="1080"/>
    <cellStyle name="PERCENT" xfId="1081"/>
    <cellStyle name="Percent [2]" xfId="1082"/>
    <cellStyle name="Percent 2" xfId="1083"/>
    <cellStyle name="Percent 2 10" xfId="1084"/>
    <cellStyle name="Percent 2 11" xfId="1085"/>
    <cellStyle name="Percent 2 12" xfId="1086"/>
    <cellStyle name="Percent 2 13" xfId="1087"/>
    <cellStyle name="Percent 2 14" xfId="1088"/>
    <cellStyle name="Percent 2 15" xfId="1089"/>
    <cellStyle name="Percent 2 16" xfId="1090"/>
    <cellStyle name="Percent 2 17" xfId="1091"/>
    <cellStyle name="Percent 2 18" xfId="1092"/>
    <cellStyle name="Percent 2 19" xfId="1093"/>
    <cellStyle name="Percent 2 2" xfId="1094"/>
    <cellStyle name="Percent 2 2 2" xfId="1095"/>
    <cellStyle name="Percent 2 20" xfId="1096"/>
    <cellStyle name="Percent 2 3" xfId="1097"/>
    <cellStyle name="Percent 2 3 2" xfId="1098"/>
    <cellStyle name="Percent 2 3 2 2" xfId="1099"/>
    <cellStyle name="Percent 2 3 2 3" xfId="1100"/>
    <cellStyle name="Percent 2 3 3" xfId="1101"/>
    <cellStyle name="Percent 2 3 4" xfId="1102"/>
    <cellStyle name="Percent 2 4" xfId="1103"/>
    <cellStyle name="Percent 2 4 2" xfId="1104"/>
    <cellStyle name="Percent 2 4 3" xfId="1105"/>
    <cellStyle name="Percent 2 5" xfId="1106"/>
    <cellStyle name="Percent 2 5 2" xfId="1107"/>
    <cellStyle name="Percent 2 5 3" xfId="1108"/>
    <cellStyle name="Percent 2 6" xfId="1109"/>
    <cellStyle name="Percent 2 6 2" xfId="1110"/>
    <cellStyle name="Percent 2 6 3" xfId="1111"/>
    <cellStyle name="Percent 2 7" xfId="1112"/>
    <cellStyle name="Percent 2 7 2" xfId="1113"/>
    <cellStyle name="Percent 2 7 2 2" xfId="1114"/>
    <cellStyle name="Percent 2 7 2 3" xfId="1115"/>
    <cellStyle name="Percent 2 7 2 4" xfId="1116"/>
    <cellStyle name="Percent 2 7 3" xfId="1117"/>
    <cellStyle name="Percent 2 7 4" xfId="1118"/>
    <cellStyle name="Percent 2 7 5" xfId="1119"/>
    <cellStyle name="Percent 2 7 6" xfId="1120"/>
    <cellStyle name="Percent 2 8" xfId="1121"/>
    <cellStyle name="Percent 2 8 2" xfId="1122"/>
    <cellStyle name="Percent 2 8 3" xfId="1123"/>
    <cellStyle name="Percent 2 9" xfId="1124"/>
    <cellStyle name="Percent 3" xfId="1125"/>
    <cellStyle name="Percent 3 2" xfId="1126"/>
    <cellStyle name="Percent 4" xfId="1127"/>
    <cellStyle name="Percent 5" xfId="1128"/>
    <cellStyle name="Percent 6" xfId="1129"/>
    <cellStyle name="Percent 7" xfId="1130"/>
    <cellStyle name="Percent 7 2" xfId="1131"/>
    <cellStyle name="Percent 7 3" xfId="1132"/>
    <cellStyle name="Percent 8" xfId="1133"/>
    <cellStyle name="Percent 8 2" xfId="1134"/>
    <cellStyle name="Percent 8 3" xfId="1135"/>
    <cellStyle name="Percent" xfId="1136"/>
    <cellStyle name="Percentagem 10" xfId="1137"/>
    <cellStyle name="Percentagem 10 2" xfId="1138"/>
    <cellStyle name="Percentagem 10 3" xfId="1139"/>
    <cellStyle name="Percentagem 11" xfId="1140"/>
    <cellStyle name="Percentagem 11 2" xfId="1141"/>
    <cellStyle name="Percentagem 11 2 2" xfId="1142"/>
    <cellStyle name="Percentagem 11 2 3" xfId="1143"/>
    <cellStyle name="Percentagem 11 3" xfId="1144"/>
    <cellStyle name="Percentagem 11 4" xfId="1145"/>
    <cellStyle name="Percentagem 13" xfId="1146"/>
    <cellStyle name="Percentagem 2" xfId="1147"/>
    <cellStyle name="Percentagem 2 10" xfId="1148"/>
    <cellStyle name="Percentagem 2 11" xfId="1149"/>
    <cellStyle name="Percentagem 2 12" xfId="1150"/>
    <cellStyle name="Percentagem 2 2" xfId="1151"/>
    <cellStyle name="Percentagem 2 2 2" xfId="1152"/>
    <cellStyle name="Percentagem 2 2 3" xfId="1153"/>
    <cellStyle name="Percentagem 2 2 3 2" xfId="1154"/>
    <cellStyle name="Percentagem 2 2 4" xfId="1155"/>
    <cellStyle name="Percentagem 2 3" xfId="1156"/>
    <cellStyle name="Percentagem 2 4" xfId="1157"/>
    <cellStyle name="Percentagem 2 5" xfId="1158"/>
    <cellStyle name="Percentagem 2 6" xfId="1159"/>
    <cellStyle name="Percentagem 2 7" xfId="1160"/>
    <cellStyle name="Percentagem 2 8" xfId="1161"/>
    <cellStyle name="Percentagem 2 9" xfId="1162"/>
    <cellStyle name="Percentagem 3" xfId="1163"/>
    <cellStyle name="Percentagem 3 2" xfId="1164"/>
    <cellStyle name="Percentagem 4" xfId="1165"/>
    <cellStyle name="Percentagem 4 10" xfId="1166"/>
    <cellStyle name="Percentagem 4 2" xfId="1167"/>
    <cellStyle name="Percentagem 4 2 2" xfId="1168"/>
    <cellStyle name="Percentagem 4 2 2 2" xfId="1169"/>
    <cellStyle name="Percentagem 4 3" xfId="1170"/>
    <cellStyle name="Percentagem 4 4" xfId="1171"/>
    <cellStyle name="Percentagem 4 5" xfId="1172"/>
    <cellStyle name="Percentagem 4 6" xfId="1173"/>
    <cellStyle name="Percentagem 4 7" xfId="1174"/>
    <cellStyle name="Percentagem 4 8" xfId="1175"/>
    <cellStyle name="Percentagem 4 9" xfId="1176"/>
    <cellStyle name="Percentagem 5" xfId="1177"/>
    <cellStyle name="Percentagem 5 10" xfId="1178"/>
    <cellStyle name="Percentagem 5 11" xfId="1179"/>
    <cellStyle name="Percentagem 5 12" xfId="1180"/>
    <cellStyle name="Percentagem 5 2" xfId="1181"/>
    <cellStyle name="Percentagem 5 2 2" xfId="1182"/>
    <cellStyle name="Percentagem 5 2 3" xfId="1183"/>
    <cellStyle name="Percentagem 5 3" xfId="1184"/>
    <cellStyle name="Percentagem 5 4" xfId="1185"/>
    <cellStyle name="Percentagem 5 5" xfId="1186"/>
    <cellStyle name="Percentagem 5 6" xfId="1187"/>
    <cellStyle name="Percentagem 5 7" xfId="1188"/>
    <cellStyle name="Percentagem 5 8" xfId="1189"/>
    <cellStyle name="Percentagem 5 9" xfId="1190"/>
    <cellStyle name="Percentagem 6" xfId="1191"/>
    <cellStyle name="Percentagem 6 2" xfId="1192"/>
    <cellStyle name="Percentagem 6 3" xfId="1193"/>
    <cellStyle name="Percentagem 6 3 2" xfId="1194"/>
    <cellStyle name="Percentagem 6 4" xfId="1195"/>
    <cellStyle name="Percentagem 7" xfId="1196"/>
    <cellStyle name="Percentagem 7 2" xfId="1197"/>
    <cellStyle name="Percentagem 7 3" xfId="1198"/>
    <cellStyle name="Percentagem 8" xfId="1199"/>
    <cellStyle name="Percentagem 8 2" xfId="1200"/>
    <cellStyle name="Percentagem 8 3" xfId="1201"/>
    <cellStyle name="Percentagem 9" xfId="1202"/>
    <cellStyle name="Percentagem 9 2" xfId="1203"/>
    <cellStyle name="Percentagem 9 2 2" xfId="1204"/>
    <cellStyle name="Percentagem 9 2 3" xfId="1205"/>
    <cellStyle name="Percentagem 9 3" xfId="1206"/>
    <cellStyle name="Percentagem 9 4" xfId="1207"/>
    <cellStyle name="PercentSales" xfId="1208"/>
    <cellStyle name="Ratio" xfId="1209"/>
    <cellStyle name="Red font" xfId="1210"/>
    <cellStyle name="RInfo" xfId="1211"/>
    <cellStyle name="Saída" xfId="1212"/>
    <cellStyle name="Saída 2" xfId="1213"/>
    <cellStyle name="Saída 2 2" xfId="1214"/>
    <cellStyle name="Saída 2 3" xfId="1215"/>
    <cellStyle name="Saída 2 4" xfId="1216"/>
    <cellStyle name="Saída 2 5" xfId="1217"/>
    <cellStyle name="Saída 2 6" xfId="1218"/>
    <cellStyle name="Saída 3" xfId="1219"/>
    <cellStyle name="Saída 4" xfId="1220"/>
    <cellStyle name="Comma [0]" xfId="1221"/>
    <cellStyle name="Sheet Title" xfId="1222"/>
    <cellStyle name="sombreado" xfId="1223"/>
    <cellStyle name="Standard_WBBasis" xfId="1224"/>
    <cellStyle name="Style 1" xfId="1225"/>
    <cellStyle name="Style 1 2" xfId="1226"/>
    <cellStyle name="Style 1 2 2" xfId="1227"/>
    <cellStyle name="Style 1 2 3" xfId="1228"/>
    <cellStyle name="Style 1 2 4" xfId="1229"/>
    <cellStyle name="Style 1 3" xfId="1230"/>
    <cellStyle name="Style 1 4" xfId="1231"/>
    <cellStyle name="Texto de Aviso" xfId="1232"/>
    <cellStyle name="Texto de Aviso 10" xfId="1233"/>
    <cellStyle name="Texto de Aviso 11" xfId="1234"/>
    <cellStyle name="Texto de Aviso 2" xfId="1235"/>
    <cellStyle name="Texto de Aviso 2 10" xfId="1236"/>
    <cellStyle name="Texto de Aviso 2 11" xfId="1237"/>
    <cellStyle name="Texto de Aviso 2 2" xfId="1238"/>
    <cellStyle name="Texto de Aviso 2 3" xfId="1239"/>
    <cellStyle name="Texto de Aviso 2 4" xfId="1240"/>
    <cellStyle name="Texto de Aviso 2 5" xfId="1241"/>
    <cellStyle name="Texto de Aviso 2 6" xfId="1242"/>
    <cellStyle name="Texto de Aviso 2 7" xfId="1243"/>
    <cellStyle name="Texto de Aviso 2 8" xfId="1244"/>
    <cellStyle name="Texto de Aviso 2 9" xfId="1245"/>
    <cellStyle name="Texto de Aviso 3" xfId="1246"/>
    <cellStyle name="Texto de Aviso 4" xfId="1247"/>
    <cellStyle name="Texto de Aviso 5" xfId="1248"/>
    <cellStyle name="Texto de Aviso 6" xfId="1249"/>
    <cellStyle name="Texto de Aviso 7" xfId="1250"/>
    <cellStyle name="Texto de Aviso 8" xfId="1251"/>
    <cellStyle name="Texto de Aviso 9" xfId="1252"/>
    <cellStyle name="Texto Explicativo" xfId="1253"/>
    <cellStyle name="Texto Explicativo 2" xfId="1254"/>
    <cellStyle name="Texto Explicativo 3" xfId="1255"/>
    <cellStyle name="Texto Explicativo 4" xfId="1256"/>
    <cellStyle name="Title" xfId="1257"/>
    <cellStyle name="Title 1" xfId="1258"/>
    <cellStyle name="Title 3" xfId="1259"/>
    <cellStyle name="Title 4" xfId="1260"/>
    <cellStyle name="Titulo" xfId="1261"/>
    <cellStyle name="Título" xfId="1262"/>
    <cellStyle name="Título 2" xfId="1263"/>
    <cellStyle name="Título 3" xfId="1264"/>
    <cellStyle name="Título 4" xfId="1265"/>
    <cellStyle name="Total" xfId="1266"/>
    <cellStyle name="Total 10" xfId="1267"/>
    <cellStyle name="Total 11" xfId="1268"/>
    <cellStyle name="Total 12" xfId="1269"/>
    <cellStyle name="Total 13" xfId="1270"/>
    <cellStyle name="Total 14" xfId="1271"/>
    <cellStyle name="Total 15" xfId="1272"/>
    <cellStyle name="Total 16" xfId="1273"/>
    <cellStyle name="Total 17" xfId="1274"/>
    <cellStyle name="Total 18" xfId="1275"/>
    <cellStyle name="Total 2" xfId="1276"/>
    <cellStyle name="Total 2 10" xfId="1277"/>
    <cellStyle name="Total 2 11" xfId="1278"/>
    <cellStyle name="Total 2 12" xfId="1279"/>
    <cellStyle name="Total 2 13" xfId="1280"/>
    <cellStyle name="Total 2 2" xfId="1281"/>
    <cellStyle name="Total 2 2 2" xfId="1282"/>
    <cellStyle name="Total 2 2 3" xfId="1283"/>
    <cellStyle name="Total 2 3" xfId="1284"/>
    <cellStyle name="Total 2 4" xfId="1285"/>
    <cellStyle name="Total 2 5" xfId="1286"/>
    <cellStyle name="Total 2 6" xfId="1287"/>
    <cellStyle name="Total 2 7" xfId="1288"/>
    <cellStyle name="Total 2 8" xfId="1289"/>
    <cellStyle name="Total 2 9" xfId="1290"/>
    <cellStyle name="Total 3" xfId="1291"/>
    <cellStyle name="Total 4" xfId="1292"/>
    <cellStyle name="Total 5" xfId="1293"/>
    <cellStyle name="Total 6" xfId="1294"/>
    <cellStyle name="Total 7" xfId="1295"/>
    <cellStyle name="Total 8" xfId="1296"/>
    <cellStyle name="Total 9" xfId="1297"/>
    <cellStyle name="Verificar Célula" xfId="1298"/>
    <cellStyle name="Verificar Célula 2" xfId="1299"/>
    <cellStyle name="Verificar Célula 3" xfId="1300"/>
    <cellStyle name="Verificar Célula 4" xfId="1301"/>
    <cellStyle name="Comma" xfId="1302"/>
    <cellStyle name="Vírgula 10" xfId="1303"/>
    <cellStyle name="Vírgula 11" xfId="1304"/>
    <cellStyle name="Vírgula 12" xfId="1305"/>
    <cellStyle name="Vírgula 12 2" xfId="1306"/>
    <cellStyle name="Vírgula 12 3" xfId="1307"/>
    <cellStyle name="Vírgula 13" xfId="1308"/>
    <cellStyle name="Vírgula 2" xfId="1309"/>
    <cellStyle name="Vírgula 2 10" xfId="1310"/>
    <cellStyle name="Vírgula 2 11" xfId="1311"/>
    <cellStyle name="Vírgula 2 12" xfId="1312"/>
    <cellStyle name="Vírgula 2 2" xfId="1313"/>
    <cellStyle name="Vírgula 2 2 2" xfId="1314"/>
    <cellStyle name="Vírgula 2 2 3" xfId="1315"/>
    <cellStyle name="Vírgula 2 2 4" xfId="1316"/>
    <cellStyle name="Vírgula 2 2 5" xfId="1317"/>
    <cellStyle name="Vírgula 2 2 6" xfId="1318"/>
    <cellStyle name="Vírgula 2 2 7" xfId="1319"/>
    <cellStyle name="Vírgula 2 2 8" xfId="1320"/>
    <cellStyle name="Vírgula 2 3" xfId="1321"/>
    <cellStyle name="Vírgula 2 3 2" xfId="1322"/>
    <cellStyle name="Vírgula 2 4" xfId="1323"/>
    <cellStyle name="Vírgula 2 4 2" xfId="1324"/>
    <cellStyle name="Vírgula 2 4 2 2" xfId="1325"/>
    <cellStyle name="Vírgula 2 5" xfId="1326"/>
    <cellStyle name="Vírgula 2 6" xfId="1327"/>
    <cellStyle name="Vírgula 2 7" xfId="1328"/>
    <cellStyle name="Vírgula 2 8" xfId="1329"/>
    <cellStyle name="Vírgula 2 9" xfId="1330"/>
    <cellStyle name="Vírgula 3" xfId="1331"/>
    <cellStyle name="Vírgula 3 2" xfId="1332"/>
    <cellStyle name="Vírgula 3 2 2" xfId="1333"/>
    <cellStyle name="Vírgula 3 2 2 2" xfId="1334"/>
    <cellStyle name="Vírgula 3 3" xfId="1335"/>
    <cellStyle name="Vírgula 3 4" xfId="1336"/>
    <cellStyle name="Vírgula 4" xfId="1337"/>
    <cellStyle name="Vírgula 4 2" xfId="1338"/>
    <cellStyle name="Vírgula 4 3" xfId="1339"/>
    <cellStyle name="Vírgula 5" xfId="1340"/>
    <cellStyle name="Vírgula 5 2" xfId="1341"/>
    <cellStyle name="Vírgula 6" xfId="1342"/>
    <cellStyle name="Vírgula 6 2" xfId="1343"/>
    <cellStyle name="Vírgula 6 3" xfId="1344"/>
    <cellStyle name="Vírgula 6 4" xfId="1345"/>
    <cellStyle name="Vírgula 6 4 2" xfId="1346"/>
    <cellStyle name="Vírgula 6 5" xfId="1347"/>
    <cellStyle name="Vírgula 6 6" xfId="1348"/>
    <cellStyle name="Vírgula 7" xfId="1349"/>
    <cellStyle name="Vírgula 8" xfId="1350"/>
    <cellStyle name="Vírgula 8 2" xfId="1351"/>
    <cellStyle name="Vírgula 9" xfId="1352"/>
    <cellStyle name="Vírgula 9 2" xfId="1353"/>
    <cellStyle name="Warning Text" xfId="135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dice_index!A1" /><Relationship Id="rId3" Type="http://schemas.openxmlformats.org/officeDocument/2006/relationships/hyperlink" Target="#Indice_index!A1"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dice_index!A1" /><Relationship Id="rId3" Type="http://schemas.openxmlformats.org/officeDocument/2006/relationships/hyperlink" Target="#Indice_index!A1"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dice_index!A1" /><Relationship Id="rId3" Type="http://schemas.openxmlformats.org/officeDocument/2006/relationships/hyperlink" Target="#Indice_index!A1" /><Relationship Id="rId4" Type="http://schemas.openxmlformats.org/officeDocument/2006/relationships/hyperlink" Target="#Indice_index!A1" /><Relationship Id="rId5" Type="http://schemas.openxmlformats.org/officeDocument/2006/relationships/hyperlink" Target="#Indice_index!A1"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dice_index!A1" /><Relationship Id="rId3" Type="http://schemas.openxmlformats.org/officeDocument/2006/relationships/hyperlink" Target="#Indice_index!A1"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dice_index!A1" /><Relationship Id="rId3" Type="http://schemas.openxmlformats.org/officeDocument/2006/relationships/hyperlink" Target="#Indice_index!A1" /><Relationship Id="rId4" Type="http://schemas.openxmlformats.org/officeDocument/2006/relationships/hyperlink" Target="#Indice_index!A1" /><Relationship Id="rId5" Type="http://schemas.openxmlformats.org/officeDocument/2006/relationships/hyperlink" Target="#Indice_index!A1"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6.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7.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8.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390525</xdr:colOff>
      <xdr:row>2</xdr:row>
      <xdr:rowOff>9525</xdr:rowOff>
    </xdr:from>
    <xdr:to>
      <xdr:col>8</xdr:col>
      <xdr:colOff>428625</xdr:colOff>
      <xdr:row>9</xdr:row>
      <xdr:rowOff>123825</xdr:rowOff>
    </xdr:to>
    <xdr:sp>
      <xdr:nvSpPr>
        <xdr:cNvPr id="1" name="Rectangle 13"/>
        <xdr:cNvSpPr>
          <a:spLocks/>
        </xdr:cNvSpPr>
      </xdr:nvSpPr>
      <xdr:spPr>
        <a:xfrm rot="20700000">
          <a:off x="3438525" y="333375"/>
          <a:ext cx="1866900" cy="1247775"/>
        </a:xfrm>
        <a:prstGeom prst="rect">
          <a:avLst/>
        </a:prstGeom>
        <a:noFill/>
        <a:ln w="12700" cmpd="sng">
          <a:noFill/>
        </a:ln>
      </xdr:spPr>
      <xdr:txBody>
        <a:bodyPr vertOverflow="clip" wrap="square" lIns="365760" tIns="182880" rIns="182880" bIns="182880"/>
        <a:p>
          <a:pPr algn="l">
            <a:defRPr/>
          </a:pPr>
          <a:r>
            <a:rPr lang="en-US" cap="none" sz="2000" b="1" i="0" u="none" baseline="0">
              <a:solidFill>
                <a:srgbClr val="FFFFFF"/>
              </a:solidFill>
            </a:rPr>
            <a:t>2013
</a:t>
          </a:r>
          <a:r>
            <a:rPr lang="en-US" cap="none" sz="1200" b="1" i="0" u="none" baseline="0">
              <a:solidFill>
                <a:srgbClr val="FFFFFF"/>
              </a:solidFill>
            </a:rPr>
            <a:t>janeiro
</a:t>
          </a:r>
          <a:r>
            <a:rPr lang="en-US" cap="none" sz="1200" b="1" i="0" u="none" baseline="0">
              <a:solidFill>
                <a:srgbClr val="FFFFFF"/>
              </a:solidFill>
            </a:rPr>
            <a:t>
</a:t>
          </a:r>
        </a:p>
      </xdr:txBody>
    </xdr:sp>
    <xdr:clientData/>
  </xdr:twoCellAnchor>
  <xdr:twoCellAnchor>
    <xdr:from>
      <xdr:col>0</xdr:col>
      <xdr:colOff>238125</xdr:colOff>
      <xdr:row>1</xdr:row>
      <xdr:rowOff>66675</xdr:rowOff>
    </xdr:from>
    <xdr:to>
      <xdr:col>9</xdr:col>
      <xdr:colOff>581025</xdr:colOff>
      <xdr:row>33</xdr:row>
      <xdr:rowOff>76200</xdr:rowOff>
    </xdr:to>
    <xdr:sp>
      <xdr:nvSpPr>
        <xdr:cNvPr id="2" name="Rectangle 462"/>
        <xdr:cNvSpPr>
          <a:spLocks/>
        </xdr:cNvSpPr>
      </xdr:nvSpPr>
      <xdr:spPr>
        <a:xfrm>
          <a:off x="238125" y="228600"/>
          <a:ext cx="5829300" cy="5191125"/>
        </a:xfrm>
        <a:prstGeom prst="rect">
          <a:avLst/>
        </a:prstGeom>
        <a:gradFill rotWithShape="1">
          <a:gsLst>
            <a:gs pos="0">
              <a:srgbClr val="002060"/>
            </a:gs>
            <a:gs pos="100000">
              <a:srgbClr val="000E2C"/>
            </a:gs>
          </a:gsLst>
          <a:path path="rect">
            <a:fillToRect l="100000" b="100000"/>
          </a:path>
        </a:gradFill>
        <a:ln w="9525" cmpd="sng">
          <a:noFill/>
        </a:ln>
      </xdr:spPr>
      <xdr:txBody>
        <a:bodyPr vertOverflow="clip" wrap="square" lIns="0" tIns="0" rIns="0" bIns="0"/>
        <a:p>
          <a:pPr algn="l">
            <a:defRPr/>
          </a:pPr>
          <a:r>
            <a:rPr lang="en-US" cap="none" u="none" baseline="0">
              <a:latin typeface="Arial"/>
              <a:ea typeface="Arial"/>
              <a:cs typeface="Arial"/>
            </a:rPr>
            <a:t/>
          </a:r>
        </a:p>
      </xdr:txBody>
    </xdr:sp>
    <xdr:clientData/>
  </xdr:twoCellAnchor>
  <xdr:twoCellAnchor>
    <xdr:from>
      <xdr:col>0</xdr:col>
      <xdr:colOff>0</xdr:colOff>
      <xdr:row>9</xdr:row>
      <xdr:rowOff>38100</xdr:rowOff>
    </xdr:from>
    <xdr:to>
      <xdr:col>9</xdr:col>
      <xdr:colOff>504825</xdr:colOff>
      <xdr:row>21</xdr:row>
      <xdr:rowOff>123825</xdr:rowOff>
    </xdr:to>
    <xdr:sp>
      <xdr:nvSpPr>
        <xdr:cNvPr id="3" name="CaixaDeTexto 3"/>
        <xdr:cNvSpPr txBox="1">
          <a:spLocks noChangeArrowheads="1"/>
        </xdr:cNvSpPr>
      </xdr:nvSpPr>
      <xdr:spPr>
        <a:xfrm>
          <a:off x="0" y="1495425"/>
          <a:ext cx="5991225" cy="2028825"/>
        </a:xfrm>
        <a:prstGeom prst="rect">
          <a:avLst/>
        </a:prstGeom>
        <a:noFill/>
        <a:ln w="9525" cmpd="sng">
          <a:noFill/>
        </a:ln>
      </xdr:spPr>
      <xdr:txBody>
        <a:bodyPr vertOverflow="clip" wrap="square"/>
        <a:p>
          <a:pPr algn="l">
            <a:defRPr/>
          </a:pPr>
          <a:r>
            <a:rPr lang="en-US" cap="none" sz="3600" b="0" i="0" u="none" baseline="0">
              <a:solidFill>
                <a:srgbClr val="000000"/>
              </a:solidFill>
              <a:latin typeface="Corbel"/>
              <a:ea typeface="Corbel"/>
              <a:cs typeface="Corbel"/>
            </a:rPr>
            <a:t>Síntese
</a:t>
          </a:r>
          <a:r>
            <a:rPr lang="en-US" cap="none" sz="3600" b="0" i="0" u="none" baseline="0">
              <a:solidFill>
                <a:srgbClr val="000000"/>
              </a:solidFill>
              <a:latin typeface="Corbel"/>
              <a:ea typeface="Corbel"/>
              <a:cs typeface="Corbel"/>
            </a:rPr>
            <a:t>Execução Orçamental 
</a:t>
          </a:r>
          <a:r>
            <a:rPr lang="en-US" cap="none" sz="3600" b="0" i="0" u="none" baseline="0">
              <a:solidFill>
                <a:srgbClr val="000000"/>
              </a:solidFill>
              <a:latin typeface="Corbel"/>
              <a:ea typeface="Corbel"/>
              <a:cs typeface="Corbel"/>
            </a:rPr>
            <a:t>2013</a:t>
          </a:r>
        </a:p>
      </xdr:txBody>
    </xdr:sp>
    <xdr:clientData/>
  </xdr:twoCellAnchor>
  <xdr:twoCellAnchor>
    <xdr:from>
      <xdr:col>3</xdr:col>
      <xdr:colOff>561975</xdr:colOff>
      <xdr:row>25</xdr:row>
      <xdr:rowOff>85725</xdr:rowOff>
    </xdr:from>
    <xdr:to>
      <xdr:col>9</xdr:col>
      <xdr:colOff>323850</xdr:colOff>
      <xdr:row>29</xdr:row>
      <xdr:rowOff>47625</xdr:rowOff>
    </xdr:to>
    <xdr:sp>
      <xdr:nvSpPr>
        <xdr:cNvPr id="4" name="CaixaDeTexto 4"/>
        <xdr:cNvSpPr txBox="1">
          <a:spLocks noChangeArrowheads="1"/>
        </xdr:cNvSpPr>
      </xdr:nvSpPr>
      <xdr:spPr>
        <a:xfrm>
          <a:off x="2390775" y="4133850"/>
          <a:ext cx="3419475" cy="609600"/>
        </a:xfrm>
        <a:prstGeom prst="rect">
          <a:avLst/>
        </a:prstGeom>
        <a:noFill/>
        <a:ln w="0" cmpd="sng">
          <a:noFill/>
        </a:ln>
      </xdr:spPr>
      <xdr:txBody>
        <a:bodyPr vertOverflow="clip" wrap="square"/>
        <a:p>
          <a:pPr algn="l">
            <a:defRPr/>
          </a:pPr>
          <a:r>
            <a:rPr lang="en-US" cap="none" sz="2000" b="1" i="1" u="none" baseline="0">
              <a:solidFill>
                <a:srgbClr val="000000"/>
              </a:solidFill>
              <a:latin typeface="Corbel"/>
              <a:ea typeface="Corbel"/>
              <a:cs typeface="Corbel"/>
            </a:rPr>
            <a:t>Informação </a:t>
          </a:r>
          <a:r>
            <a:rPr lang="en-US" cap="none" sz="2000" b="1" i="1" u="none" baseline="0">
              <a:solidFill>
                <a:srgbClr val="000000"/>
              </a:solidFill>
              <a:latin typeface="Corbel"/>
              <a:ea typeface="Corbel"/>
              <a:cs typeface="Corbel"/>
            </a:rPr>
            <a:t>Estatística
</a:t>
          </a:r>
          <a:r>
            <a:rPr lang="en-US" cap="none" sz="2000" b="1" i="1" u="none" baseline="0">
              <a:solidFill>
                <a:srgbClr val="000000"/>
              </a:solidFill>
              <a:latin typeface="Corbel"/>
              <a:ea typeface="Corbel"/>
              <a:cs typeface="Corbel"/>
            </a:rPr>
            <a:t>complementar
</a:t>
          </a:r>
          <a:r>
            <a:rPr lang="en-US" cap="none" sz="2000" b="1" i="1" u="none" baseline="0">
              <a:solidFill>
                <a:srgbClr val="000000"/>
              </a:solidFill>
              <a:latin typeface="Corbel"/>
              <a:ea typeface="Corbel"/>
              <a:cs typeface="Corbel"/>
            </a:rPr>
            <a:t>dezembro
</a:t>
          </a:r>
        </a:p>
      </xdr:txBody>
    </xdr:sp>
    <xdr:clientData/>
  </xdr:twoCellAnchor>
  <xdr:twoCellAnchor>
    <xdr:from>
      <xdr:col>0</xdr:col>
      <xdr:colOff>0</xdr:colOff>
      <xdr:row>62</xdr:row>
      <xdr:rowOff>133350</xdr:rowOff>
    </xdr:from>
    <xdr:to>
      <xdr:col>2</xdr:col>
      <xdr:colOff>571500</xdr:colOff>
      <xdr:row>64</xdr:row>
      <xdr:rowOff>152400</xdr:rowOff>
    </xdr:to>
    <xdr:sp>
      <xdr:nvSpPr>
        <xdr:cNvPr id="5" name="Text Box 463"/>
        <xdr:cNvSpPr txBox="1">
          <a:spLocks noChangeArrowheads="1"/>
        </xdr:cNvSpPr>
      </xdr:nvSpPr>
      <xdr:spPr>
        <a:xfrm>
          <a:off x="0" y="10172700"/>
          <a:ext cx="1790700" cy="342900"/>
        </a:xfrm>
        <a:prstGeom prst="rect">
          <a:avLst/>
        </a:prstGeom>
        <a:noFill/>
        <a:ln w="9525" cmpd="sng">
          <a:noFill/>
        </a:ln>
      </xdr:spPr>
      <xdr:txBody>
        <a:bodyPr vertOverflow="clip" wrap="square" lIns="182880" tIns="91440" rIns="182880" bIns="91440"/>
        <a:p>
          <a:pPr algn="l">
            <a:defRPr/>
          </a:pPr>
          <a:r>
            <a:rPr lang="en-US" cap="none" sz="1000" b="1" i="0" u="none" baseline="0">
              <a:solidFill>
                <a:srgbClr val="000000"/>
              </a:solidFill>
            </a:rPr>
            <a:t> Ministério das Finanças</a:t>
          </a:r>
        </a:p>
      </xdr:txBody>
    </xdr:sp>
    <xdr:clientData/>
  </xdr:twoCellAnchor>
  <xdr:twoCellAnchor editAs="oneCell">
    <xdr:from>
      <xdr:col>0</xdr:col>
      <xdr:colOff>171450</xdr:colOff>
      <xdr:row>64</xdr:row>
      <xdr:rowOff>66675</xdr:rowOff>
    </xdr:from>
    <xdr:to>
      <xdr:col>2</xdr:col>
      <xdr:colOff>371475</xdr:colOff>
      <xdr:row>66</xdr:row>
      <xdr:rowOff>9525</xdr:rowOff>
    </xdr:to>
    <xdr:pic>
      <xdr:nvPicPr>
        <xdr:cNvPr id="6" name="Imagem 6"/>
        <xdr:cNvPicPr preferRelativeResize="1">
          <a:picLocks noChangeAspect="1"/>
        </xdr:cNvPicPr>
      </xdr:nvPicPr>
      <xdr:blipFill>
        <a:blip r:embed="rId1"/>
        <a:srcRect b="10809"/>
        <a:stretch>
          <a:fillRect/>
        </a:stretch>
      </xdr:blipFill>
      <xdr:spPr>
        <a:xfrm>
          <a:off x="171450" y="10429875"/>
          <a:ext cx="1419225" cy="266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0</xdr:colOff>
      <xdr:row>1</xdr:row>
      <xdr:rowOff>0</xdr:rowOff>
    </xdr:from>
    <xdr:to>
      <xdr:col>13</xdr:col>
      <xdr:colOff>304800</xdr:colOff>
      <xdr:row>1</xdr:row>
      <xdr:rowOff>295275</xdr:rowOff>
    </xdr:to>
    <xdr:pic>
      <xdr:nvPicPr>
        <xdr:cNvPr id="1" name="Imagem 1" descr="flecha054.gif">
          <a:hlinkClick r:id="rId3"/>
        </xdr:cNvPr>
        <xdr:cNvPicPr preferRelativeResize="1">
          <a:picLocks noChangeAspect="1"/>
        </xdr:cNvPicPr>
      </xdr:nvPicPr>
      <xdr:blipFill>
        <a:blip r:embed="rId1"/>
        <a:stretch>
          <a:fillRect/>
        </a:stretch>
      </xdr:blipFill>
      <xdr:spPr>
        <a:xfrm>
          <a:off x="8953500" y="142875"/>
          <a:ext cx="304800" cy="295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26</xdr:col>
      <xdr:colOff>0</xdr:colOff>
      <xdr:row>4</xdr:row>
      <xdr:rowOff>0</xdr:rowOff>
    </xdr:from>
    <xdr:to>
      <xdr:col>26</xdr:col>
      <xdr:colOff>304800</xdr:colOff>
      <xdr:row>5</xdr:row>
      <xdr:rowOff>104775</xdr:rowOff>
    </xdr:to>
    <xdr:pic>
      <xdr:nvPicPr>
        <xdr:cNvPr id="1" name="Imagem 2" descr="flecha054.gif">
          <a:hlinkClick r:id="rId3"/>
        </xdr:cNvPr>
        <xdr:cNvPicPr preferRelativeResize="1">
          <a:picLocks noChangeAspect="1"/>
        </xdr:cNvPicPr>
      </xdr:nvPicPr>
      <xdr:blipFill>
        <a:blip r:embed="rId1"/>
        <a:stretch>
          <a:fillRect/>
        </a:stretch>
      </xdr:blipFill>
      <xdr:spPr>
        <a:xfrm>
          <a:off x="16478250" y="733425"/>
          <a:ext cx="304800" cy="304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0</xdr:row>
      <xdr:rowOff>19050</xdr:rowOff>
    </xdr:from>
    <xdr:to>
      <xdr:col>9</xdr:col>
      <xdr:colOff>304800</xdr:colOff>
      <xdr:row>0</xdr:row>
      <xdr:rowOff>323850</xdr:rowOff>
    </xdr:to>
    <xdr:pic>
      <xdr:nvPicPr>
        <xdr:cNvPr id="1" name="Imagem 1" descr="flecha054.gif">
          <a:hlinkClick r:id="rId3"/>
        </xdr:cNvPr>
        <xdr:cNvPicPr preferRelativeResize="1">
          <a:picLocks noChangeAspect="1"/>
        </xdr:cNvPicPr>
      </xdr:nvPicPr>
      <xdr:blipFill>
        <a:blip r:embed="rId1"/>
        <a:stretch>
          <a:fillRect/>
        </a:stretch>
      </xdr:blipFill>
      <xdr:spPr>
        <a:xfrm>
          <a:off x="8229600" y="19050"/>
          <a:ext cx="304800" cy="304800"/>
        </a:xfrm>
        <a:prstGeom prst="rect">
          <a:avLst/>
        </a:prstGeom>
        <a:noFill/>
        <a:ln w="9525" cmpd="sng">
          <a:noFill/>
        </a:ln>
      </xdr:spPr>
    </xdr:pic>
    <xdr:clientData/>
  </xdr:twoCellAnchor>
  <xdr:twoCellAnchor editAs="oneCell">
    <xdr:from>
      <xdr:col>48</xdr:col>
      <xdr:colOff>0</xdr:colOff>
      <xdr:row>1</xdr:row>
      <xdr:rowOff>0</xdr:rowOff>
    </xdr:from>
    <xdr:to>
      <xdr:col>48</xdr:col>
      <xdr:colOff>304800</xdr:colOff>
      <xdr:row>2</xdr:row>
      <xdr:rowOff>57150</xdr:rowOff>
    </xdr:to>
    <xdr:pic>
      <xdr:nvPicPr>
        <xdr:cNvPr id="2" name="Imagem 2" descr="flecha054.gif">
          <a:hlinkClick r:id="rId5"/>
        </xdr:cNvPr>
        <xdr:cNvPicPr preferRelativeResize="1">
          <a:picLocks noChangeAspect="1"/>
        </xdr:cNvPicPr>
      </xdr:nvPicPr>
      <xdr:blipFill>
        <a:blip r:embed="rId1"/>
        <a:stretch>
          <a:fillRect/>
        </a:stretch>
      </xdr:blipFill>
      <xdr:spPr>
        <a:xfrm>
          <a:off x="42348150" y="571500"/>
          <a:ext cx="304800" cy="3048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26</xdr:col>
      <xdr:colOff>0</xdr:colOff>
      <xdr:row>1</xdr:row>
      <xdr:rowOff>0</xdr:rowOff>
    </xdr:from>
    <xdr:to>
      <xdr:col>26</xdr:col>
      <xdr:colOff>304800</xdr:colOff>
      <xdr:row>2</xdr:row>
      <xdr:rowOff>66675</xdr:rowOff>
    </xdr:to>
    <xdr:pic>
      <xdr:nvPicPr>
        <xdr:cNvPr id="1" name="Imagem 2" descr="flecha054.gif">
          <a:hlinkClick r:id="rId3"/>
        </xdr:cNvPr>
        <xdr:cNvPicPr preferRelativeResize="1">
          <a:picLocks noChangeAspect="1"/>
        </xdr:cNvPicPr>
      </xdr:nvPicPr>
      <xdr:blipFill>
        <a:blip r:embed="rId1"/>
        <a:stretch>
          <a:fillRect/>
        </a:stretch>
      </xdr:blipFill>
      <xdr:spPr>
        <a:xfrm>
          <a:off x="16783050" y="161925"/>
          <a:ext cx="304800" cy="314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0</xdr:row>
      <xdr:rowOff>19050</xdr:rowOff>
    </xdr:from>
    <xdr:to>
      <xdr:col>9</xdr:col>
      <xdr:colOff>304800</xdr:colOff>
      <xdr:row>0</xdr:row>
      <xdr:rowOff>323850</xdr:rowOff>
    </xdr:to>
    <xdr:pic>
      <xdr:nvPicPr>
        <xdr:cNvPr id="1" name="Imagem 1" descr="flecha054.gif">
          <a:hlinkClick r:id="rId3"/>
        </xdr:cNvPr>
        <xdr:cNvPicPr preferRelativeResize="1">
          <a:picLocks noChangeAspect="1"/>
        </xdr:cNvPicPr>
      </xdr:nvPicPr>
      <xdr:blipFill>
        <a:blip r:embed="rId1"/>
        <a:stretch>
          <a:fillRect/>
        </a:stretch>
      </xdr:blipFill>
      <xdr:spPr>
        <a:xfrm>
          <a:off x="8677275" y="19050"/>
          <a:ext cx="304800" cy="304800"/>
        </a:xfrm>
        <a:prstGeom prst="rect">
          <a:avLst/>
        </a:prstGeom>
        <a:noFill/>
        <a:ln w="9525" cmpd="sng">
          <a:noFill/>
        </a:ln>
      </xdr:spPr>
    </xdr:pic>
    <xdr:clientData/>
  </xdr:twoCellAnchor>
  <xdr:twoCellAnchor editAs="oneCell">
    <xdr:from>
      <xdr:col>48</xdr:col>
      <xdr:colOff>0</xdr:colOff>
      <xdr:row>2</xdr:row>
      <xdr:rowOff>0</xdr:rowOff>
    </xdr:from>
    <xdr:to>
      <xdr:col>48</xdr:col>
      <xdr:colOff>304800</xdr:colOff>
      <xdr:row>3</xdr:row>
      <xdr:rowOff>133350</xdr:rowOff>
    </xdr:to>
    <xdr:pic>
      <xdr:nvPicPr>
        <xdr:cNvPr id="2" name="Imagem 2" descr="flecha054.gif">
          <a:hlinkClick r:id="rId5"/>
        </xdr:cNvPr>
        <xdr:cNvPicPr preferRelativeResize="1">
          <a:picLocks noChangeAspect="1"/>
        </xdr:cNvPicPr>
      </xdr:nvPicPr>
      <xdr:blipFill>
        <a:blip r:embed="rId1"/>
        <a:stretch>
          <a:fillRect/>
        </a:stretch>
      </xdr:blipFill>
      <xdr:spPr>
        <a:xfrm>
          <a:off x="42795825" y="762000"/>
          <a:ext cx="304800" cy="29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4.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5.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6.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7.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vmlDrawing" Target="../drawings/vmlDrawing8.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showGridLines="0" tabSelected="1" zoomScalePageLayoutView="0" workbookViewId="0" topLeftCell="A1">
      <selection activeCell="A1" sqref="A1"/>
    </sheetView>
  </sheetViews>
  <sheetFormatPr defaultColWidth="9.140625" defaultRowHeight="12.75"/>
  <sheetData/>
  <sheetProtection/>
  <printOptions verticalCentered="1"/>
  <pageMargins left="1.4960629921259843" right="0" top="0" bottom="0" header="0" footer="0"/>
  <pageSetup fitToHeight="2" horizontalDpi="600" verticalDpi="600" orientation="portrait" paperSize="9" scale="91" r:id="rId3"/>
  <headerFooter>
    <oddHeader>&amp;L&amp;G</oddHeader>
  </headerFooter>
  <rowBreaks count="1" manualBreakCount="1">
    <brk id="68" max="9" man="1"/>
  </rowBreaks>
  <drawing r:id="rId1"/>
  <legacyDrawingHF r:id="rId2"/>
</worksheet>
</file>

<file path=xl/worksheets/sheet2.xml><?xml version="1.0" encoding="utf-8"?>
<worksheet xmlns="http://schemas.openxmlformats.org/spreadsheetml/2006/main" xmlns:r="http://schemas.openxmlformats.org/officeDocument/2006/relationships">
  <sheetPr>
    <tabColor rgb="FF002060"/>
    <pageSetUpPr fitToPage="1"/>
  </sheetPr>
  <dimension ref="B1:Z22"/>
  <sheetViews>
    <sheetView showGridLines="0" zoomScalePageLayoutView="0" workbookViewId="0" topLeftCell="A1">
      <selection activeCell="B4" sqref="B4"/>
    </sheetView>
  </sheetViews>
  <sheetFormatPr defaultColWidth="9.140625" defaultRowHeight="12.75"/>
  <cols>
    <col min="1" max="1" width="1.421875" style="143" customWidth="1"/>
    <col min="2" max="2" width="4.8515625" style="143" customWidth="1"/>
    <col min="3" max="3" width="103.57421875" style="143" customWidth="1"/>
    <col min="4" max="4" width="0.9921875" style="143" customWidth="1"/>
    <col min="5" max="5" width="20.57421875" style="143" customWidth="1"/>
    <col min="6" max="6" width="20.57421875" style="142" customWidth="1"/>
    <col min="7" max="7" width="20.57421875" style="143" customWidth="1"/>
    <col min="8" max="26" width="9.140625" style="143" customWidth="1"/>
    <col min="27" max="16384" width="9.140625" style="143" customWidth="1"/>
  </cols>
  <sheetData>
    <row r="1" spans="2:26" s="2" customFormat="1" ht="39.75" customHeight="1">
      <c r="B1" s="336" t="s">
        <v>11</v>
      </c>
      <c r="C1" s="336"/>
      <c r="D1" s="3"/>
      <c r="E1" s="3"/>
      <c r="F1" s="142"/>
      <c r="I1" s="4"/>
      <c r="J1" s="4"/>
      <c r="X1" s="11">
        <v>1</v>
      </c>
      <c r="Y1" s="2" t="s">
        <v>0</v>
      </c>
      <c r="Z1" s="11">
        <v>1</v>
      </c>
    </row>
    <row r="2" spans="2:25" s="2" customFormat="1" ht="15" customHeight="1">
      <c r="B2" s="77"/>
      <c r="C2" s="77"/>
      <c r="D2" s="3"/>
      <c r="E2" s="3"/>
      <c r="F2" s="142"/>
      <c r="X2" s="11">
        <v>2</v>
      </c>
      <c r="Y2" s="2" t="s">
        <v>1</v>
      </c>
    </row>
    <row r="3" ht="6.75" customHeight="1"/>
    <row r="4" spans="2:7" ht="31.5" customHeight="1">
      <c r="B4" s="5"/>
      <c r="C4" s="144" t="str">
        <f>IF(Indice_index!$Z$1=1,"Índice","Index")</f>
        <v>Índice</v>
      </c>
      <c r="D4" s="145"/>
      <c r="E4" s="146" t="str">
        <f>IF(Indice_index!$Z$1=1,"Última actualização","Last updated on")</f>
        <v>Última actualização</v>
      </c>
      <c r="F4" s="146" t="str">
        <f>IF(Indice_index!$Z$1=1,"Próxima actualização","Next update")</f>
        <v>Próxima actualização</v>
      </c>
      <c r="G4" s="146" t="str">
        <f>IF(Indice_index!$Z$1=1,"Último valor disponível","Last available figures")</f>
        <v>Último valor disponível</v>
      </c>
    </row>
    <row r="5" spans="3:6" ht="4.5" customHeight="1">
      <c r="C5" s="147"/>
      <c r="F5" s="143"/>
    </row>
    <row r="6" spans="3:7" ht="20.25" customHeight="1">
      <c r="C6" s="148" t="str">
        <f>IF(Indice_index!$Z$1=1,"1 - Evolução da Execução Orçamental - Administrações Públicas","1 - Budget Execution Evolution - General Government")</f>
        <v>1 - Evolução da Execução Orçamental - Administrações Públicas</v>
      </c>
      <c r="E6" s="149" t="str">
        <f>IF(Indice_index!$Z$1=1,"23-janeiro-14","23-January-14")</f>
        <v>23-janeiro-14</v>
      </c>
      <c r="F6" s="325" t="str">
        <f>IF(Indice_index!$Z$1=1,"25-fevereiro-14","25-February-14")</f>
        <v>25-fevereiro-14</v>
      </c>
      <c r="G6" s="150" t="str">
        <f>IF(Indice_index!$Z$1=1,"jan. a dezembro-2013","Jan. to December-2013")</f>
        <v>jan. a dezembro-2013</v>
      </c>
    </row>
    <row r="7" spans="3:7" ht="20.25" customHeight="1">
      <c r="C7" s="148" t="str">
        <f>IF(Indice_index!$Z$1=1,"2 - Despesa do subsetor Estado - Classificação Funcional","2 - State subsector expenditure - Functional Classification")</f>
        <v>2 - Despesa do subsetor Estado - Classificação Funcional</v>
      </c>
      <c r="E7" s="149" t="str">
        <f>IF(Indice_index!$Z$1=1,"23-janeiro-14","23-January-14")</f>
        <v>23-janeiro-14</v>
      </c>
      <c r="F7" s="325" t="str">
        <f>IF(Indice_index!$Z$1=1,"25-fevereiro-14","25-February-14")</f>
        <v>25-fevereiro-14</v>
      </c>
      <c r="G7" s="150" t="str">
        <f>IF(Indice_index!$Z$1=1,"jan. a dezembro-2013","Jan. to December-2013")</f>
        <v>jan. a dezembro-2013</v>
      </c>
    </row>
    <row r="8" spans="3:7" ht="20.25" customHeight="1">
      <c r="C8" s="148" t="str">
        <f>IF(Indice_index!$Z$1=1,"3 - Despesa do subsetor Estado - Classificação Económica/Orgânica","3 - State subsector expenditure - Economic/Organic Classification")</f>
        <v>3 - Despesa do subsetor Estado - Classificação Económica/Orgânica</v>
      </c>
      <c r="E8" s="149" t="str">
        <f>IF(Indice_index!$Z$1=1,"23-janeiro-14","23-January-14")</f>
        <v>23-janeiro-14</v>
      </c>
      <c r="F8" s="325" t="str">
        <f>IF(Indice_index!$Z$1=1,"25-fevereiro-14","25-February-14")</f>
        <v>25-fevereiro-14</v>
      </c>
      <c r="G8" s="150" t="str">
        <f>IF(Indice_index!$Z$1=1,"jan. a dezembro-2013","Jan. to December-2013")</f>
        <v>jan. a dezembro-2013</v>
      </c>
    </row>
    <row r="9" spans="3:7" ht="20.25" customHeight="1">
      <c r="C9" s="148" t="str">
        <f>IF(Indice_index!$Z$1=1,"4 - Despesa dos Serviços e Fundos Autónomos - Classificação Funcional","4 -  Autonomous Services and Funds expenditure - Functional Classification")</f>
        <v>4 - Despesa dos Serviços e Fundos Autónomos - Classificação Funcional</v>
      </c>
      <c r="E9" s="149" t="str">
        <f>IF(Indice_index!$Z$1=1,"23-janeiro-14","23-January-14")</f>
        <v>23-janeiro-14</v>
      </c>
      <c r="F9" s="325" t="str">
        <f>IF(Indice_index!$Z$1=1,"25-fevereiro-14","25-February-14")</f>
        <v>25-fevereiro-14</v>
      </c>
      <c r="G9" s="150" t="str">
        <f>IF(Indice_index!$Z$1=1,"jan. a dezembro-2013","Jan. to December-2013")</f>
        <v>jan. a dezembro-2013</v>
      </c>
    </row>
    <row r="10" spans="3:7" ht="20.25" customHeight="1">
      <c r="C10" s="148" t="str">
        <f>IF(Indice_index!$Z$1=1,"5 - Despesa do subsetor dos Serviços e Fundos Autónomos - Classificação Económica/Orgânica","5 - Autonomous Services and Funds expenditure - Economic/Organic Classification")</f>
        <v>5 - Despesa do subsetor dos Serviços e Fundos Autónomos - Classificação Económica/Orgânica</v>
      </c>
      <c r="E10" s="149" t="str">
        <f>IF(Indice_index!$Z$1=1,"23-janeiro-14","23-January-14")</f>
        <v>23-janeiro-14</v>
      </c>
      <c r="F10" s="325" t="str">
        <f>IF(Indice_index!$Z$1=1,"25-fevereiro-14","25-February-14")</f>
        <v>25-fevereiro-14</v>
      </c>
      <c r="G10" s="150" t="str">
        <f>IF(Indice_index!$Z$1=1,"jan. a dezembro-2013","Jan. to December-2013")</f>
        <v>jan. a dezembro-2013</v>
      </c>
    </row>
    <row r="12" spans="3:7" ht="18.75">
      <c r="C12" s="144"/>
      <c r="D12" s="145"/>
      <c r="E12" s="146"/>
      <c r="F12" s="146"/>
      <c r="G12" s="146"/>
    </row>
    <row r="22" ht="15">
      <c r="F22" s="149"/>
    </row>
  </sheetData>
  <sheetProtection/>
  <mergeCells count="1">
    <mergeCell ref="B1:C1"/>
  </mergeCells>
  <hyperlinks>
    <hyperlink ref="C6" location="Evolução!B2" display="Evolução!B2"/>
    <hyperlink ref="C8" location="'Estado - orgânica'!B2" display="'Estado - orgânica'!B2"/>
    <hyperlink ref="C7" location="'Estado - Funcional'!B2" display="'Estado - Funcional'!B2"/>
    <hyperlink ref="C10" location="'SFA - orgânica'!B2" display="'SFA - orgânica'!B2"/>
    <hyperlink ref="C9" location="'SFA - Funcional'!B2" display="'SFA - Funcional'!B2"/>
  </hyperlinks>
  <printOptions horizontalCentered="1" verticalCentered="1"/>
  <pageMargins left="0" right="0" top="0.7480314960629921" bottom="0.7480314960629921" header="0.7480314960629921" footer="0.7480314960629921"/>
  <pageSetup fitToHeight="1" fitToWidth="1" horizontalDpi="600" verticalDpi="600" orientation="landscape" paperSize="9" r:id="rId3"/>
  <headerFooter>
    <oddHeader>&amp;L&amp;G</oddHeader>
  </headerFooter>
  <ignoredErrors>
    <ignoredError sqref="E6:F10" twoDigitTextYear="1"/>
  </ignoredErrors>
  <legacyDrawing r:id="rId1"/>
  <legacyDrawingHF r:id="rId2"/>
</worksheet>
</file>

<file path=xl/worksheets/sheet3.xml><?xml version="1.0" encoding="utf-8"?>
<worksheet xmlns="http://schemas.openxmlformats.org/spreadsheetml/2006/main" xmlns:r="http://schemas.openxmlformats.org/officeDocument/2006/relationships">
  <sheetPr>
    <tabColor rgb="FFFFFF00"/>
  </sheetPr>
  <dimension ref="B1:AB375"/>
  <sheetViews>
    <sheetView showGridLines="0" zoomScaleSheetLayoutView="100" zoomScalePageLayoutView="0" workbookViewId="0" topLeftCell="A1">
      <selection activeCell="D39" sqref="D39"/>
    </sheetView>
  </sheetViews>
  <sheetFormatPr defaultColWidth="9.140625" defaultRowHeight="12.75"/>
  <cols>
    <col min="1" max="1" width="1.7109375" style="8" customWidth="1"/>
    <col min="2" max="2" width="4.140625" style="8" customWidth="1"/>
    <col min="3" max="3" width="7.421875" style="8" customWidth="1"/>
    <col min="4" max="4" width="14.421875" style="8" customWidth="1"/>
    <col min="5" max="5" width="11.00390625" style="8" customWidth="1"/>
    <col min="6" max="6" width="11.28125" style="8" customWidth="1"/>
    <col min="7" max="7" width="11.00390625" style="8" customWidth="1"/>
    <col min="8" max="8" width="12.28125" style="12" customWidth="1"/>
    <col min="9" max="10" width="11.28125" style="8" customWidth="1"/>
    <col min="11" max="11" width="12.140625" style="8" customWidth="1"/>
    <col min="12" max="12" width="14.421875" style="0" customWidth="1"/>
    <col min="13" max="13" width="11.8515625" style="13" customWidth="1"/>
    <col min="14" max="25" width="9.140625" style="8" customWidth="1"/>
    <col min="26" max="28" width="9.140625" style="2" customWidth="1"/>
    <col min="29" max="254" width="9.140625" style="8" customWidth="1"/>
    <col min="255" max="255" width="2.140625" style="8" customWidth="1"/>
    <col min="256" max="16384" width="16.57421875" style="8" customWidth="1"/>
  </cols>
  <sheetData>
    <row r="1" spans="2:13" s="2" customFormat="1" ht="11.25" customHeight="1">
      <c r="B1" s="1"/>
      <c r="C1" s="1"/>
      <c r="H1" s="3"/>
      <c r="I1" s="3"/>
      <c r="L1"/>
      <c r="M1" s="4"/>
    </row>
    <row r="2" spans="2:28" ht="26.25" customHeight="1" thickBot="1">
      <c r="B2" s="5"/>
      <c r="C2" s="136" t="str">
        <f>IF(Indice_index!$Z$1=1,"1 - Evolução da Execução Orçamental - Administrações Públicas","1 - Budget Execution Evolution - General Government")</f>
        <v>1 - Evolução da Execução Orçamental - Administrações Públicas</v>
      </c>
      <c r="D2" s="136"/>
      <c r="E2" s="136"/>
      <c r="F2" s="136"/>
      <c r="G2" s="136"/>
      <c r="H2" s="136"/>
      <c r="I2" s="136"/>
      <c r="J2" s="136"/>
      <c r="K2" s="136"/>
      <c r="M2" s="6"/>
      <c r="N2" s="346"/>
      <c r="O2" s="346"/>
      <c r="P2" s="7"/>
      <c r="Z2" s="9">
        <v>1</v>
      </c>
      <c r="AA2" s="10" t="s">
        <v>0</v>
      </c>
      <c r="AB2" s="11">
        <v>1</v>
      </c>
    </row>
    <row r="3" spans="26:27" ht="8.25" customHeight="1">
      <c r="Z3" s="9">
        <v>2</v>
      </c>
      <c r="AA3" s="10" t="s">
        <v>1</v>
      </c>
    </row>
    <row r="4" spans="3:11" ht="36" customHeight="1">
      <c r="C4" s="352" t="str">
        <f>IF(Indice_index!$Z$1=1,"Os valores de execução orçamental correspondem aos divulgados no respetivo período (publicação mensal), podendo, em alguns casos, terem ocorrido ajustamentos à posteriori em sede de apuramento definitivo.","The budget execution data presented corresponds to that reported during the respective period (monthly publication) and may, in some cases, have been subject to adjustments during the final clearance.")</f>
        <v>Os valores de execução orçamental correspondem aos divulgados no respetivo período (publicação mensal), podendo, em alguns casos, terem ocorrido ajustamentos à posteriori em sede de apuramento definitivo.</v>
      </c>
      <c r="D4" s="352"/>
      <c r="E4" s="352"/>
      <c r="F4" s="352"/>
      <c r="G4" s="352"/>
      <c r="H4" s="352"/>
      <c r="I4" s="352"/>
      <c r="J4" s="352"/>
      <c r="K4" s="352"/>
    </row>
    <row r="5" spans="4:11" ht="6" customHeight="1">
      <c r="D5" s="14"/>
      <c r="E5" s="14"/>
      <c r="F5" s="14"/>
      <c r="G5" s="25"/>
      <c r="H5" s="68"/>
      <c r="I5" s="25"/>
      <c r="J5" s="25"/>
      <c r="K5" s="25"/>
    </row>
    <row r="6" spans="3:11" ht="12.75">
      <c r="C6" s="78" t="str">
        <f>IF(Indice_index!$Z$1=1,"Evolução da Receita, Despesa e Saldo do Estado (valores acumulados)","State Revenue, Expenditure and Balance Evolution (cumulative values)")</f>
        <v>Evolução da Receita, Despesa e Saldo do Estado (valores acumulados)</v>
      </c>
      <c r="D6" s="69"/>
      <c r="E6" s="69"/>
      <c r="F6" s="70"/>
      <c r="G6" s="71"/>
      <c r="H6" s="71"/>
      <c r="I6" s="72"/>
      <c r="J6" s="73"/>
      <c r="K6" s="74" t="str">
        <f>IF(Indice_index!$Z$1=1,"€ Milhões","€ Millions")</f>
        <v>€ Milhões</v>
      </c>
    </row>
    <row r="7" spans="3:28" s="16" customFormat="1" ht="15.75" customHeight="1">
      <c r="C7" s="347"/>
      <c r="D7" s="348"/>
      <c r="E7" s="349" t="str">
        <f>IF(Indice_index!$Z$1=1,"Receita
efetiva","Effective
revenue")</f>
        <v>Receita
efetiva</v>
      </c>
      <c r="F7" s="349"/>
      <c r="G7" s="349" t="str">
        <f>IF(Indice_index!$Z$1=1,"Despesa 
efetiva","Effective
expenditure")</f>
        <v>Despesa 
efetiva</v>
      </c>
      <c r="H7" s="349"/>
      <c r="I7" s="349" t="str">
        <f>IF(Indice_index!$Z$1=1,"Saldo
global","Overall
balance")</f>
        <v>Saldo
global</v>
      </c>
      <c r="J7" s="350" t="str">
        <f>IF(Indice_index!$Z$1=1,"VH (%)","YOY Change Rate (%)")</f>
        <v>VH (%)</v>
      </c>
      <c r="K7" s="351"/>
      <c r="L7"/>
      <c r="M7" s="17"/>
      <c r="Z7" s="2"/>
      <c r="AA7" s="2"/>
      <c r="AB7" s="2"/>
    </row>
    <row r="8" spans="3:28" s="16" customFormat="1" ht="15.75" customHeight="1">
      <c r="C8" s="347"/>
      <c r="D8" s="348"/>
      <c r="E8" s="349"/>
      <c r="F8" s="349"/>
      <c r="G8" s="349"/>
      <c r="H8" s="349"/>
      <c r="I8" s="349"/>
      <c r="J8" s="66" t="str">
        <f>IF(Indice_index!$Z$1=1,"Receita","Revenue")</f>
        <v>Receita</v>
      </c>
      <c r="K8" s="67" t="str">
        <f>IF(Indice_index!$Z$1=1,"Despesa","Expenditure")</f>
        <v>Despesa</v>
      </c>
      <c r="L8"/>
      <c r="M8" s="17"/>
      <c r="Z8" s="2"/>
      <c r="AA8" s="2"/>
      <c r="AB8" s="2"/>
    </row>
    <row r="9" spans="3:28" s="16" customFormat="1" ht="15.75" customHeight="1">
      <c r="C9" s="18"/>
      <c r="D9" s="18"/>
      <c r="E9" s="19" t="str">
        <f>IF(Indice_index!$Z$1=1,"Ano n-1","Year n-1")</f>
        <v>Ano n-1</v>
      </c>
      <c r="F9" s="19" t="str">
        <f>IF(Indice_index!$Z$1=1,"Ano n","Year n")</f>
        <v>Ano n</v>
      </c>
      <c r="G9" s="19" t="str">
        <f>IF(Indice_index!$Z$1=1,"Ano n-1","Year n-1")</f>
        <v>Ano n-1</v>
      </c>
      <c r="H9" s="19" t="str">
        <f>IF(Indice_index!$Z$1=1,"Ano n","Year n")</f>
        <v>Ano n</v>
      </c>
      <c r="I9" s="19" t="str">
        <f>IF(Indice_index!$Z$1=1,"Ano n","Year n")</f>
        <v>Ano n</v>
      </c>
      <c r="J9" s="20" t="str">
        <f>IF(Indice_index!$Z$1=1,"Ano n","Year n")</f>
        <v>Ano n</v>
      </c>
      <c r="K9" s="20" t="str">
        <f>IF(Indice_index!$Z$1=1,"Ano n","Year n")</f>
        <v>Ano n</v>
      </c>
      <c r="L9"/>
      <c r="M9" s="17"/>
      <c r="Z9" s="2"/>
      <c r="AA9" s="2"/>
      <c r="AB9" s="2"/>
    </row>
    <row r="10" spans="3:28" s="16" customFormat="1" ht="15.75" customHeight="1">
      <c r="C10" s="21" t="s">
        <v>2</v>
      </c>
      <c r="D10" s="8" t="str">
        <f>IF(Indice_index!$Z$1=1,"janeiro","January")</f>
        <v>janeiro</v>
      </c>
      <c r="E10" s="22">
        <v>3232.6</v>
      </c>
      <c r="F10" s="22">
        <v>2788.5</v>
      </c>
      <c r="G10" s="22">
        <v>3598.891331</v>
      </c>
      <c r="H10" s="22">
        <v>3416.825278</v>
      </c>
      <c r="I10" s="8">
        <f>IF(F10="","",+F10-H10)</f>
        <v>-628.3252779999998</v>
      </c>
      <c r="J10" s="23">
        <f>IF(F10="","",IF(E10=0,"-",(F10-E10)/E10))</f>
        <v>-0.1373816741941471</v>
      </c>
      <c r="K10" s="23">
        <f aca="true" t="shared" si="0" ref="K10:K20">IF(H10="","",IF(G10=0,"-",(H10-G10)/G10))</f>
        <v>-0.050589483331082</v>
      </c>
      <c r="L10"/>
      <c r="M10" s="17"/>
      <c r="Z10" s="2"/>
      <c r="AA10" s="2"/>
      <c r="AB10" s="2"/>
    </row>
    <row r="11" spans="3:28" s="16" customFormat="1" ht="15.75" customHeight="1">
      <c r="C11" s="24"/>
      <c r="D11" s="8" t="str">
        <f>IF(Indice_index!$Z$1=1,"fevereiro","February")</f>
        <v>fevereiro</v>
      </c>
      <c r="E11" s="22">
        <v>6611.3</v>
      </c>
      <c r="F11" s="22">
        <v>6024.3</v>
      </c>
      <c r="G11" s="22">
        <v>6684.298389</v>
      </c>
      <c r="H11" s="22">
        <v>6931.260605</v>
      </c>
      <c r="I11" s="8">
        <f>IF(F11="","",+F11-H11)</f>
        <v>-906.9606050000002</v>
      </c>
      <c r="J11" s="23">
        <f aca="true" t="shared" si="1" ref="J11:J20">IF(F11="","",IF(E11=0,"-",(F11-E11)/E11))</f>
        <v>-0.08878737918412415</v>
      </c>
      <c r="K11" s="23">
        <f t="shared" si="0"/>
        <v>0.03694661752479716</v>
      </c>
      <c r="L11"/>
      <c r="M11" s="17"/>
      <c r="Z11" s="2"/>
      <c r="AA11" s="2"/>
      <c r="AB11" s="2"/>
    </row>
    <row r="12" spans="3:28" s="16" customFormat="1" ht="15.75" customHeight="1">
      <c r="C12" s="24"/>
      <c r="D12" s="8" t="str">
        <f>IF(Indice_index!$Z$1=1,"março","March")</f>
        <v>março</v>
      </c>
      <c r="E12" s="22">
        <v>8952.6</v>
      </c>
      <c r="F12" s="22">
        <v>7958.9</v>
      </c>
      <c r="G12" s="22">
        <v>9832.975799</v>
      </c>
      <c r="H12" s="22">
        <v>10314.676221</v>
      </c>
      <c r="I12" s="8">
        <f aca="true" t="shared" si="2" ref="I12:I21">IF(F12="","",+F12-H12)</f>
        <v>-2355.776221</v>
      </c>
      <c r="J12" s="23">
        <f t="shared" si="1"/>
        <v>-0.11099568840336893</v>
      </c>
      <c r="K12" s="23">
        <f t="shared" si="0"/>
        <v>0.04898826477829714</v>
      </c>
      <c r="L12"/>
      <c r="M12" s="17"/>
      <c r="Z12" s="2"/>
      <c r="AA12" s="2"/>
      <c r="AB12" s="2"/>
    </row>
    <row r="13" spans="3:28" s="16" customFormat="1" ht="15.75" customHeight="1">
      <c r="C13" s="24"/>
      <c r="D13" s="8" t="str">
        <f>IF(Indice_index!$Z$1=1,"abril","April")</f>
        <v>abril</v>
      </c>
      <c r="E13" s="22">
        <v>11584.2</v>
      </c>
      <c r="F13" s="22">
        <v>9657.3</v>
      </c>
      <c r="G13" s="22">
        <v>13894.127858</v>
      </c>
      <c r="H13" s="22">
        <v>14509.549103</v>
      </c>
      <c r="I13" s="8">
        <f t="shared" si="2"/>
        <v>-4852.249103</v>
      </c>
      <c r="J13" s="23">
        <f t="shared" si="1"/>
        <v>-0.16633863365618698</v>
      </c>
      <c r="K13" s="23">
        <f t="shared" si="0"/>
        <v>0.04429362183000573</v>
      </c>
      <c r="L13"/>
      <c r="M13" s="17"/>
      <c r="Z13" s="2"/>
      <c r="AA13" s="2"/>
      <c r="AB13" s="2"/>
    </row>
    <row r="14" spans="3:28" s="16" customFormat="1" ht="15.75" customHeight="1">
      <c r="C14" s="24"/>
      <c r="D14" s="8" t="str">
        <f>IF(Indice_index!$Z$1=1,"maio","May")</f>
        <v>maio</v>
      </c>
      <c r="E14" s="22">
        <v>16991</v>
      </c>
      <c r="F14" s="22">
        <v>13960</v>
      </c>
      <c r="G14" s="22">
        <v>17546.424715</v>
      </c>
      <c r="H14" s="22">
        <v>18290.697161</v>
      </c>
      <c r="I14" s="8">
        <f t="shared" si="2"/>
        <v>-4330.697161</v>
      </c>
      <c r="J14" s="23">
        <f t="shared" si="1"/>
        <v>-0.17838855864869638</v>
      </c>
      <c r="K14" s="23">
        <f t="shared" si="0"/>
        <v>0.04241732763733566</v>
      </c>
      <c r="L14"/>
      <c r="M14" s="17"/>
      <c r="Z14" s="2"/>
      <c r="AA14" s="2"/>
      <c r="AB14" s="2"/>
    </row>
    <row r="15" spans="3:28" s="16" customFormat="1" ht="15.75" customHeight="1">
      <c r="C15" s="24"/>
      <c r="D15" s="8" t="str">
        <f>IF(Indice_index!$Z$1=1,"junho","June")</f>
        <v>junho</v>
      </c>
      <c r="E15" s="22">
        <v>20312</v>
      </c>
      <c r="F15" s="22">
        <v>16105</v>
      </c>
      <c r="G15" s="22">
        <v>22213.192896</v>
      </c>
      <c r="H15" s="22">
        <v>23410.777949</v>
      </c>
      <c r="I15" s="8">
        <f t="shared" si="2"/>
        <v>-7305.777948999999</v>
      </c>
      <c r="J15" s="23">
        <f t="shared" si="1"/>
        <v>-0.20711894446632534</v>
      </c>
      <c r="K15" s="23">
        <f t="shared" si="0"/>
        <v>0.05391323339273985</v>
      </c>
      <c r="L15"/>
      <c r="M15" s="17"/>
      <c r="Z15" s="2"/>
      <c r="AA15" s="2"/>
      <c r="AB15" s="2"/>
    </row>
    <row r="16" spans="3:28" s="16" customFormat="1" ht="15.75" customHeight="1">
      <c r="C16" s="24"/>
      <c r="D16" s="8" t="str">
        <f>IF(Indice_index!$Z$1=1,"julho","July")</f>
        <v>julho</v>
      </c>
      <c r="E16" s="22">
        <v>23528.4</v>
      </c>
      <c r="F16" s="22">
        <v>19114.6</v>
      </c>
      <c r="G16" s="22">
        <v>26706.753399</v>
      </c>
      <c r="H16" s="22">
        <v>27685.045111</v>
      </c>
      <c r="I16" s="8">
        <f t="shared" si="2"/>
        <v>-8570.445111</v>
      </c>
      <c r="J16" s="23">
        <f t="shared" si="1"/>
        <v>-0.18759456656636248</v>
      </c>
      <c r="K16" s="23">
        <f t="shared" si="0"/>
        <v>0.036630873748833476</v>
      </c>
      <c r="L16"/>
      <c r="M16" s="17"/>
      <c r="Z16" s="2"/>
      <c r="AA16" s="2"/>
      <c r="AB16" s="2"/>
    </row>
    <row r="17" spans="3:28" s="16" customFormat="1" ht="15.75" customHeight="1">
      <c r="C17" s="24"/>
      <c r="D17" s="8" t="str">
        <f>IF(Indice_index!$Z$1=1,"agosto","August")</f>
        <v>agosto</v>
      </c>
      <c r="E17" s="22">
        <v>26411.2</v>
      </c>
      <c r="F17" s="22">
        <v>22350.5</v>
      </c>
      <c r="G17" s="22">
        <v>29847.172641</v>
      </c>
      <c r="H17" s="22">
        <v>31063.144513</v>
      </c>
      <c r="I17" s="8">
        <f t="shared" si="2"/>
        <v>-8712.644513</v>
      </c>
      <c r="J17" s="23">
        <f t="shared" si="1"/>
        <v>-0.15374916702005212</v>
      </c>
      <c r="K17" s="23">
        <f t="shared" si="0"/>
        <v>0.04073993495550265</v>
      </c>
      <c r="L17"/>
      <c r="M17" s="17"/>
      <c r="Z17" s="2"/>
      <c r="AA17" s="2"/>
      <c r="AB17" s="2"/>
    </row>
    <row r="18" spans="3:28" s="16" customFormat="1" ht="15.75" customHeight="1">
      <c r="C18" s="24"/>
      <c r="D18" s="8" t="str">
        <f>IF(Indice_index!$Z$1=1,"setembro","September")</f>
        <v>setembro</v>
      </c>
      <c r="E18" s="22">
        <v>29875.4</v>
      </c>
      <c r="F18" s="22">
        <v>26045.7</v>
      </c>
      <c r="G18" s="22">
        <v>33447.512817</v>
      </c>
      <c r="H18" s="22">
        <v>35133.403563</v>
      </c>
      <c r="I18" s="8">
        <f t="shared" si="2"/>
        <v>-9087.703563</v>
      </c>
      <c r="J18" s="23">
        <f t="shared" si="1"/>
        <v>-0.12818907863995127</v>
      </c>
      <c r="K18" s="23">
        <f t="shared" si="0"/>
        <v>0.05040406906259194</v>
      </c>
      <c r="L18"/>
      <c r="M18" s="17"/>
      <c r="Z18" s="2"/>
      <c r="AA18" s="2"/>
      <c r="AB18" s="2"/>
    </row>
    <row r="19" spans="3:28" s="16" customFormat="1" ht="15.75" customHeight="1">
      <c r="C19" s="24"/>
      <c r="D19" s="8" t="str">
        <f>IF(Indice_index!$Z$1=1,"outubro","October")</f>
        <v>outubro</v>
      </c>
      <c r="E19" s="22">
        <v>32681.3</v>
      </c>
      <c r="F19" s="22">
        <v>28072.3</v>
      </c>
      <c r="G19" s="22">
        <v>37582.371187</v>
      </c>
      <c r="H19" s="22">
        <v>39746.28212</v>
      </c>
      <c r="I19" s="8">
        <f t="shared" si="2"/>
        <v>-11673.982120000004</v>
      </c>
      <c r="J19" s="23">
        <f t="shared" si="1"/>
        <v>-0.14102866165054634</v>
      </c>
      <c r="K19" s="23">
        <f t="shared" si="0"/>
        <v>0.057577818127359626</v>
      </c>
      <c r="L19"/>
      <c r="M19" s="17"/>
      <c r="Z19" s="2"/>
      <c r="AA19" s="2"/>
      <c r="AB19" s="2"/>
    </row>
    <row r="20" spans="3:28" s="16" customFormat="1" ht="15.75" customHeight="1">
      <c r="C20" s="24"/>
      <c r="D20" s="8" t="str">
        <f>IF(Indice_index!$Z$1=1,"novembro","November")</f>
        <v>novembro</v>
      </c>
      <c r="E20" s="22">
        <v>35954.1</v>
      </c>
      <c r="F20" s="22">
        <v>30963.7</v>
      </c>
      <c r="G20" s="22">
        <v>42117.340883</v>
      </c>
      <c r="H20" s="22">
        <v>44035.147435</v>
      </c>
      <c r="I20" s="8">
        <f t="shared" si="2"/>
        <v>-13071.447434999998</v>
      </c>
      <c r="J20" s="23">
        <f t="shared" si="1"/>
        <v>-0.13879919119099068</v>
      </c>
      <c r="K20" s="23">
        <f t="shared" si="0"/>
        <v>0.04553484412341175</v>
      </c>
      <c r="L20"/>
      <c r="M20" s="17"/>
      <c r="Z20" s="2"/>
      <c r="AA20" s="2"/>
      <c r="AB20" s="2"/>
    </row>
    <row r="21" spans="3:28" s="16" customFormat="1" ht="15.75" customHeight="1">
      <c r="C21" s="24"/>
      <c r="D21" s="25" t="str">
        <f>IF(Indice_index!$Z$1=1,"dezembro","December")</f>
        <v>dezembro</v>
      </c>
      <c r="E21" s="22">
        <v>40810.5</v>
      </c>
      <c r="F21" s="22">
        <v>34708.200000000004</v>
      </c>
      <c r="G21" s="22">
        <v>45990.200000000004</v>
      </c>
      <c r="H21" s="22">
        <v>48765.5</v>
      </c>
      <c r="I21" s="25">
        <f t="shared" si="2"/>
        <v>-14057.299999999996</v>
      </c>
      <c r="J21" s="23">
        <f>IF(F21="","",IF(E21=0,"-",(F21-E21)/E21))</f>
        <v>-0.14952769507847236</v>
      </c>
      <c r="K21" s="23">
        <f>IF(H21="","",IF(G21=0,"-",(H21-G21)/G21))</f>
        <v>0.06034546490339236</v>
      </c>
      <c r="L21"/>
      <c r="M21" s="17"/>
      <c r="Z21" s="2"/>
      <c r="AA21" s="2"/>
      <c r="AB21" s="2"/>
    </row>
    <row r="22" spans="3:28" s="16" customFormat="1" ht="12.75">
      <c r="C22" s="24"/>
      <c r="D22" s="25"/>
      <c r="E22" s="22"/>
      <c r="F22" s="22"/>
      <c r="G22" s="22"/>
      <c r="H22" s="22"/>
      <c r="I22" s="25"/>
      <c r="J22" s="26"/>
      <c r="K22" s="26"/>
      <c r="L22"/>
      <c r="M22" s="17"/>
      <c r="Z22" s="27"/>
      <c r="AA22" s="27"/>
      <c r="AB22" s="27"/>
    </row>
    <row r="23" spans="3:11" ht="15.75" customHeight="1">
      <c r="C23" s="21" t="s">
        <v>3</v>
      </c>
      <c r="D23" s="8" t="str">
        <f>IF(Indice_index!$Z$1=1,"janeiro","January")</f>
        <v>janeiro</v>
      </c>
      <c r="E23" s="22">
        <v>2846</v>
      </c>
      <c r="F23" s="22">
        <v>2720</v>
      </c>
      <c r="G23" s="22">
        <v>3416.825278</v>
      </c>
      <c r="H23" s="22">
        <v>3882.39869</v>
      </c>
      <c r="I23" s="25">
        <f aca="true" t="shared" si="3" ref="I23:I34">IF(F23="","",+F23-H23)</f>
        <v>-1162.39869</v>
      </c>
      <c r="J23" s="23">
        <f aca="true" t="shared" si="4" ref="J23:J30">IF(F23="","",IF(E23=0,"-",(F23-E23)/E23))</f>
        <v>-0.04427266338721012</v>
      </c>
      <c r="K23" s="23">
        <f aca="true" t="shared" si="5" ref="K23:K30">IF(H23="","",IF(G23=0,"-",(H23-G23)/G23))</f>
        <v>0.13625906334681484</v>
      </c>
    </row>
    <row r="24" spans="3:11" ht="15.75" customHeight="1">
      <c r="C24" s="25"/>
      <c r="D24" s="8" t="str">
        <f>IF(Indice_index!$Z$1=1,"fevereiro","February")</f>
        <v>fevereiro</v>
      </c>
      <c r="E24" s="22">
        <v>6039.6</v>
      </c>
      <c r="F24" s="22">
        <v>5831</v>
      </c>
      <c r="G24" s="22">
        <v>6931.260605</v>
      </c>
      <c r="H24" s="22">
        <v>7073.220413</v>
      </c>
      <c r="I24" s="25">
        <f t="shared" si="3"/>
        <v>-1242.220413</v>
      </c>
      <c r="J24" s="23">
        <f t="shared" si="4"/>
        <v>-0.03453871117292542</v>
      </c>
      <c r="K24" s="23">
        <f t="shared" si="5"/>
        <v>0.020481095155705748</v>
      </c>
    </row>
    <row r="25" spans="4:11" ht="15.75" customHeight="1">
      <c r="D25" s="8" t="str">
        <f>IF(Indice_index!$Z$1=1,"março","March")</f>
        <v>março</v>
      </c>
      <c r="E25" s="22">
        <v>7929.8</v>
      </c>
      <c r="F25" s="22">
        <v>7897.9</v>
      </c>
      <c r="G25" s="22">
        <v>10314.7</v>
      </c>
      <c r="H25" s="22">
        <v>10271</v>
      </c>
      <c r="I25" s="25">
        <f t="shared" si="3"/>
        <v>-2373.1000000000004</v>
      </c>
      <c r="J25" s="23">
        <f t="shared" si="4"/>
        <v>-0.0040228000706197566</v>
      </c>
      <c r="K25" s="23">
        <f t="shared" si="5"/>
        <v>-0.004236671934229858</v>
      </c>
    </row>
    <row r="26" spans="4:11" ht="15.75" customHeight="1">
      <c r="D26" s="8" t="str">
        <f>IF(Indice_index!$Z$1=1,"abril","April")</f>
        <v>abril</v>
      </c>
      <c r="E26" s="22">
        <v>9649.5</v>
      </c>
      <c r="F26" s="22">
        <v>9668.4</v>
      </c>
      <c r="G26" s="22">
        <v>14509.549103</v>
      </c>
      <c r="H26" s="22">
        <v>14230.34571761</v>
      </c>
      <c r="I26" s="25">
        <f t="shared" si="3"/>
        <v>-4561.94571761</v>
      </c>
      <c r="J26" s="23">
        <f t="shared" si="4"/>
        <v>0.0019586507072904954</v>
      </c>
      <c r="K26" s="23">
        <f t="shared" si="5"/>
        <v>-0.019242733417006812</v>
      </c>
    </row>
    <row r="27" spans="4:11" ht="15.75" customHeight="1">
      <c r="D27" s="8" t="str">
        <f>IF(Indice_index!$Z$1=1,"maio","May")</f>
        <v>maio</v>
      </c>
      <c r="E27" s="22">
        <v>13932.600000000002</v>
      </c>
      <c r="F27" s="22">
        <v>14112</v>
      </c>
      <c r="G27" s="22">
        <v>18290.69716093</v>
      </c>
      <c r="H27" s="22">
        <v>18536.255102789997</v>
      </c>
      <c r="I27" s="25">
        <f t="shared" si="3"/>
        <v>-4424.255102789997</v>
      </c>
      <c r="J27" s="23">
        <f t="shared" si="4"/>
        <v>0.012876275784849761</v>
      </c>
      <c r="K27" s="23">
        <f t="shared" si="5"/>
        <v>0.013425291540254769</v>
      </c>
    </row>
    <row r="28" spans="4:11" ht="15.75" customHeight="1">
      <c r="D28" s="8" t="str">
        <f>IF(Indice_index!$Z$1=1,"junho","June")</f>
        <v>junho</v>
      </c>
      <c r="E28" s="13">
        <v>16110</v>
      </c>
      <c r="F28" s="22">
        <v>16665.9</v>
      </c>
      <c r="G28" s="13">
        <v>23410.777948609993</v>
      </c>
      <c r="H28" s="22">
        <v>24428.896356209996</v>
      </c>
      <c r="I28" s="25">
        <f t="shared" si="3"/>
        <v>-7762.996356209995</v>
      </c>
      <c r="J28" s="23">
        <f>IF(F28="","",IF(E28=0,"-",(F28-E28)/E28))</f>
        <v>0.03450651769087532</v>
      </c>
      <c r="K28" s="23">
        <f>IF(H28="","",IF(G28=0,"-",(H28-G28)/G28))</f>
        <v>0.043489302655166706</v>
      </c>
    </row>
    <row r="29" spans="4:11" ht="15.75" customHeight="1">
      <c r="D29" s="8" t="str">
        <f>IF(Indice_index!$Z$1=1,"julho","July")</f>
        <v>julho</v>
      </c>
      <c r="E29" s="22">
        <v>19129.399999999998</v>
      </c>
      <c r="F29" s="28">
        <v>19820.9</v>
      </c>
      <c r="G29" s="28">
        <v>27685.04511136</v>
      </c>
      <c r="H29" s="28">
        <v>28723.63917617</v>
      </c>
      <c r="I29" s="25">
        <f t="shared" si="3"/>
        <v>-8902.739176169998</v>
      </c>
      <c r="J29" s="23">
        <f>IF(F29="","",IF(E29=0,"-",(F29-E29)/E29))</f>
        <v>0.03614854621681829</v>
      </c>
      <c r="K29" s="23">
        <f>IF(H29="","",IF(G29=0,"-",(H29-G29)/G29))</f>
        <v>0.03751462425408273</v>
      </c>
    </row>
    <row r="30" spans="4:11" ht="15.75" customHeight="1">
      <c r="D30" s="8" t="str">
        <f>IF(Indice_index!$Z$1=1,"agosto","August")</f>
        <v>agosto</v>
      </c>
      <c r="E30" s="22">
        <v>22318.699999999997</v>
      </c>
      <c r="F30" s="28">
        <v>22723.9</v>
      </c>
      <c r="G30" s="22">
        <v>31063.144512820003</v>
      </c>
      <c r="H30" s="28">
        <v>31913.596601069996</v>
      </c>
      <c r="I30" s="25">
        <f t="shared" si="3"/>
        <v>-9189.696601069994</v>
      </c>
      <c r="J30" s="23">
        <f t="shared" si="4"/>
        <v>0.0181551792891165</v>
      </c>
      <c r="K30" s="23">
        <f t="shared" si="5"/>
        <v>0.027378171192520596</v>
      </c>
    </row>
    <row r="31" spans="4:11" ht="15.75" customHeight="1">
      <c r="D31" s="8" t="str">
        <f>IF(Indice_index!$Z$1=1,"setembro","September")</f>
        <v>setembro</v>
      </c>
      <c r="E31" s="28">
        <v>26023.399999999998</v>
      </c>
      <c r="F31" s="28">
        <v>26519.7</v>
      </c>
      <c r="G31" s="28">
        <v>35133.403563089996</v>
      </c>
      <c r="H31" s="28">
        <v>35837.38822895</v>
      </c>
      <c r="I31" s="25">
        <f t="shared" si="3"/>
        <v>-9317.688228950003</v>
      </c>
      <c r="J31" s="23">
        <f>IF(F31="","",IF(E31=0,"-",(F31-E31)/E31))</f>
        <v>0.019071297370827908</v>
      </c>
      <c r="K31" s="23">
        <f>IF(H31="","",IF(G31=0,"-",(H31-G31)/G31))</f>
        <v>0.020037474154641553</v>
      </c>
    </row>
    <row r="32" spans="4:11" ht="15.75" customHeight="1">
      <c r="D32" s="8" t="str">
        <f>IF(Indice_index!$Z$1=1,"outubro","October")</f>
        <v>outubro</v>
      </c>
      <c r="E32" s="28">
        <v>28076</v>
      </c>
      <c r="F32" s="22">
        <v>28971.369999999995</v>
      </c>
      <c r="G32" s="28">
        <v>39746.28211974</v>
      </c>
      <c r="H32" s="22">
        <v>40856.43495824</v>
      </c>
      <c r="I32" s="25">
        <f t="shared" si="3"/>
        <v>-11885.064958240007</v>
      </c>
      <c r="J32" s="23">
        <f>IF(F32="","",IF(E32=0,"-",(F32-E32)/E32))</f>
        <v>0.0318909388801822</v>
      </c>
      <c r="K32" s="23">
        <f>IF(H32="","",IF(G32=0,"-",(H32-G32)/G32))</f>
        <v>0.027930985724791805</v>
      </c>
    </row>
    <row r="33" spans="4:11" ht="15.75" customHeight="1">
      <c r="D33" s="8" t="str">
        <f>IF(Indice_index!$Z$1=1,"novembro","November")</f>
        <v>novembro</v>
      </c>
      <c r="E33" s="28">
        <v>30996.5</v>
      </c>
      <c r="F33" s="22">
        <v>32241.98</v>
      </c>
      <c r="G33" s="28">
        <v>44035.14743473999</v>
      </c>
      <c r="H33" s="22">
        <v>45181.188696770005</v>
      </c>
      <c r="I33" s="25">
        <f t="shared" si="3"/>
        <v>-12939.208696770005</v>
      </c>
      <c r="J33" s="23">
        <f>IF(F33="","",IF(E33=0,"-",(F33-E33)/E33))</f>
        <v>0.040181310793154054</v>
      </c>
      <c r="K33" s="23">
        <f>IF(H33="","",IF(G33=0,"-",(H33-G33)/G33))</f>
        <v>0.02602560292839812</v>
      </c>
    </row>
    <row r="34" spans="4:11" ht="15.75" customHeight="1">
      <c r="D34" s="25" t="str">
        <f>IF(Indice_index!$Z$1=1,"dezembro","December")</f>
        <v>dezembro</v>
      </c>
      <c r="E34" s="22">
        <v>34715.9</v>
      </c>
      <c r="F34" s="22">
        <v>36287.100000000006</v>
      </c>
      <c r="G34" s="22">
        <v>48773.21022731</v>
      </c>
      <c r="H34" s="22">
        <v>50565.443819210006</v>
      </c>
      <c r="I34" s="25">
        <f t="shared" si="3"/>
        <v>-14278.34381921</v>
      </c>
      <c r="J34" s="23">
        <f>IF(F34="","",IF(E34=0,"-",(F34-E34)/E34))</f>
        <v>0.04525880072243566</v>
      </c>
      <c r="K34" s="23">
        <f>IF(H34="","",IF(G34=0,"-",(H34-G34)/G34))</f>
        <v>0.03674627082259315</v>
      </c>
    </row>
    <row r="35" spans="3:28" s="16" customFormat="1" ht="12.75">
      <c r="C35" s="24"/>
      <c r="D35" s="25"/>
      <c r="E35" s="29"/>
      <c r="F35" s="29"/>
      <c r="G35" s="29"/>
      <c r="H35" s="29"/>
      <c r="I35" s="25"/>
      <c r="L35"/>
      <c r="M35" s="17"/>
      <c r="Z35" s="2"/>
      <c r="AA35" s="2"/>
      <c r="AB35" s="2"/>
    </row>
    <row r="36" spans="3:11" ht="15.75" customHeight="1">
      <c r="C36" s="21" t="s">
        <v>4</v>
      </c>
      <c r="D36" s="8" t="str">
        <f>IF(Indice_index!$Z$1=1,"janeiro","January")</f>
        <v>janeiro</v>
      </c>
      <c r="E36" s="13">
        <v>2735.7999999999997</v>
      </c>
      <c r="F36" s="13">
        <v>3128.3999999999996</v>
      </c>
      <c r="G36" s="13">
        <v>3882.39868991</v>
      </c>
      <c r="H36" s="30">
        <v>3915.43923614</v>
      </c>
      <c r="I36" s="25">
        <f aca="true" t="shared" si="6" ref="I36:I62">IF(F36="","",+F36-H36)</f>
        <v>-787.0392361400004</v>
      </c>
      <c r="J36" s="23">
        <f aca="true" t="shared" si="7" ref="J36:J62">IF(F36="","",IF(E36=0,"-",(F36-E36)/E36))</f>
        <v>0.1435046421522041</v>
      </c>
      <c r="K36" s="23">
        <f aca="true" t="shared" si="8" ref="K36:K62">IF(H36="","",IF(G36=0,"-",(H36-G36)/G36))</f>
        <v>0.008510343442024485</v>
      </c>
    </row>
    <row r="37" spans="3:11" ht="15.75" customHeight="1">
      <c r="C37" s="21"/>
      <c r="D37" s="8" t="str">
        <f>IF(Indice_index!$Z$1=1,"fevereiro","February")</f>
        <v>fevereiro</v>
      </c>
      <c r="E37" s="13">
        <v>5858.199999999999</v>
      </c>
      <c r="F37" s="13">
        <v>6442</v>
      </c>
      <c r="G37" s="13">
        <v>7073.2204132</v>
      </c>
      <c r="H37" s="30">
        <v>6815.57842677</v>
      </c>
      <c r="I37" s="25">
        <f t="shared" si="6"/>
        <v>-373.5784267700001</v>
      </c>
      <c r="J37" s="23">
        <f t="shared" si="7"/>
        <v>0.09965518418626902</v>
      </c>
      <c r="K37" s="23">
        <f t="shared" si="8"/>
        <v>-0.036424990510572776</v>
      </c>
    </row>
    <row r="38" spans="3:11" ht="15.75" customHeight="1">
      <c r="C38" s="21"/>
      <c r="D38" s="8" t="str">
        <f>IF(Indice_index!$Z$1=1,"março","March")</f>
        <v>março</v>
      </c>
      <c r="E38" s="13">
        <v>7722.200000000001</v>
      </c>
      <c r="F38" s="13">
        <v>8877.3</v>
      </c>
      <c r="G38" s="13">
        <v>10271.02503918</v>
      </c>
      <c r="H38" s="30">
        <v>9896.35238861</v>
      </c>
      <c r="I38" s="25">
        <f t="shared" si="6"/>
        <v>-1019.05238861</v>
      </c>
      <c r="J38" s="23">
        <f t="shared" si="7"/>
        <v>0.14958172541503698</v>
      </c>
      <c r="K38" s="23">
        <f t="shared" si="8"/>
        <v>-0.036478603561063194</v>
      </c>
    </row>
    <row r="39" spans="3:11" ht="15.75" customHeight="1">
      <c r="C39" s="21"/>
      <c r="D39" s="8" t="str">
        <f>IF(Indice_index!$Z$1=1,"abril","April")</f>
        <v>abril</v>
      </c>
      <c r="E39" s="13">
        <v>9592.699999999999</v>
      </c>
      <c r="F39" s="13">
        <v>11265.800000000001</v>
      </c>
      <c r="G39" s="13">
        <v>14230.34571761</v>
      </c>
      <c r="H39" s="30">
        <v>13804.92192823</v>
      </c>
      <c r="I39" s="25">
        <f t="shared" si="6"/>
        <v>-2539.121928229999</v>
      </c>
      <c r="J39" s="23">
        <f t="shared" si="7"/>
        <v>0.17441387721913562</v>
      </c>
      <c r="K39" s="23">
        <f t="shared" si="8"/>
        <v>-0.029895534361722473</v>
      </c>
    </row>
    <row r="40" spans="3:11" ht="15.75" customHeight="1">
      <c r="C40" s="21"/>
      <c r="D40" s="8" t="str">
        <f>IF(Indice_index!$Z$1=1,"maio","May")</f>
        <v>maio</v>
      </c>
      <c r="E40" s="13">
        <v>14118.699999999999</v>
      </c>
      <c r="F40" s="13">
        <v>15089.599999999999</v>
      </c>
      <c r="G40" s="13">
        <v>18536.255102789997</v>
      </c>
      <c r="H40" s="30">
        <v>17195.51663279</v>
      </c>
      <c r="I40" s="25">
        <f t="shared" si="6"/>
        <v>-2105.916632790002</v>
      </c>
      <c r="J40" s="23">
        <f t="shared" si="7"/>
        <v>0.06876695446464616</v>
      </c>
      <c r="K40" s="23">
        <f t="shared" si="8"/>
        <v>-0.07233060089889431</v>
      </c>
    </row>
    <row r="41" spans="3:11" ht="15.75" customHeight="1">
      <c r="C41" s="21"/>
      <c r="D41" s="8" t="str">
        <f>IF(Indice_index!$Z$1=1,"junho","June")</f>
        <v>junho</v>
      </c>
      <c r="E41" s="13">
        <v>16651.2</v>
      </c>
      <c r="F41" s="13">
        <v>17445.7</v>
      </c>
      <c r="G41" s="13">
        <v>24428.905698209997</v>
      </c>
      <c r="H41" s="30">
        <v>23597.151310159996</v>
      </c>
      <c r="I41" s="25">
        <f>IF(F41="","",+F41-H41)</f>
        <v>-6151.451310159995</v>
      </c>
      <c r="J41" s="23">
        <f>IF(F41="","",IF(E41=0,"-",(F41-E41)/E41))</f>
        <v>0.04771427885077351</v>
      </c>
      <c r="K41" s="23">
        <f>IF(H41="","",IF(G41=0,"-",(H41-G41)/G41))</f>
        <v>-0.03404795934477522</v>
      </c>
    </row>
    <row r="42" spans="3:13" ht="15.75" customHeight="1">
      <c r="C42" s="25"/>
      <c r="D42" s="8" t="str">
        <f>IF(Indice_index!$Z$1=1,"julho","July")</f>
        <v>julho</v>
      </c>
      <c r="E42" s="13">
        <v>19793.7</v>
      </c>
      <c r="F42" s="13">
        <v>20662.200000000004</v>
      </c>
      <c r="G42" s="13">
        <v>28723.63917617</v>
      </c>
      <c r="H42" s="30">
        <v>27348.986220600003</v>
      </c>
      <c r="I42" s="25">
        <f t="shared" si="6"/>
        <v>-6686.786220599999</v>
      </c>
      <c r="J42" s="23">
        <f t="shared" si="7"/>
        <v>0.04387759741736025</v>
      </c>
      <c r="K42" s="23">
        <f t="shared" si="8"/>
        <v>-0.04785789666618741</v>
      </c>
      <c r="M42" s="31"/>
    </row>
    <row r="43" spans="3:13" ht="15.75" customHeight="1">
      <c r="C43" s="25"/>
      <c r="D43" s="8" t="str">
        <f>IF(Indice_index!$Z$1=1,"agosto","August")</f>
        <v>agosto</v>
      </c>
      <c r="E43" s="13">
        <v>22687.9</v>
      </c>
      <c r="F43" s="13">
        <v>23787.6</v>
      </c>
      <c r="G43" s="13">
        <v>31913.596601069996</v>
      </c>
      <c r="H43" s="30">
        <v>30989.851806180002</v>
      </c>
      <c r="I43" s="25">
        <f t="shared" si="6"/>
        <v>-7202.251806180004</v>
      </c>
      <c r="J43" s="23">
        <f t="shared" si="7"/>
        <v>0.04847077076327016</v>
      </c>
      <c r="K43" s="23">
        <f t="shared" si="8"/>
        <v>-0.028945179900501165</v>
      </c>
      <c r="M43" s="31"/>
    </row>
    <row r="44" spans="3:13" ht="15.75" customHeight="1">
      <c r="C44" s="25"/>
      <c r="D44" s="8" t="str">
        <f>IF(Indice_index!$Z$1=1,"setembro","September")</f>
        <v>setembro</v>
      </c>
      <c r="E44" s="13">
        <v>26532.199999999997</v>
      </c>
      <c r="F44" s="13">
        <v>27896.699999999997</v>
      </c>
      <c r="G44" s="13">
        <v>35837.38822895</v>
      </c>
      <c r="H44" s="30">
        <v>34458.23494959001</v>
      </c>
      <c r="I44" s="25">
        <f t="shared" si="6"/>
        <v>-6561.5349495900155</v>
      </c>
      <c r="J44" s="23">
        <f t="shared" si="7"/>
        <v>0.05142807607360114</v>
      </c>
      <c r="K44" s="23">
        <f t="shared" si="8"/>
        <v>-0.03848364368935483</v>
      </c>
      <c r="M44" s="31"/>
    </row>
    <row r="45" spans="3:13" ht="15.75" customHeight="1">
      <c r="C45" s="25"/>
      <c r="D45" s="8" t="str">
        <f>IF(Indice_index!$Z$1=1,"outubro","October")</f>
        <v>outubro</v>
      </c>
      <c r="E45" s="8">
        <v>28988.300000000003</v>
      </c>
      <c r="F45" s="8">
        <v>30484.199999999997</v>
      </c>
      <c r="G45" s="8">
        <v>40856.43495824</v>
      </c>
      <c r="H45" s="12">
        <v>39384.38391841999</v>
      </c>
      <c r="I45" s="25">
        <f t="shared" si="6"/>
        <v>-8900.183918419993</v>
      </c>
      <c r="J45" s="23">
        <f t="shared" si="7"/>
        <v>0.05160357799525995</v>
      </c>
      <c r="K45" s="23">
        <f t="shared" si="8"/>
        <v>-0.036029845514534475</v>
      </c>
      <c r="M45" s="31"/>
    </row>
    <row r="46" spans="3:13" ht="15.75" customHeight="1">
      <c r="C46" s="25"/>
      <c r="D46" s="8" t="str">
        <f>IF(Indice_index!$Z$1=1,"novembro","November")</f>
        <v>novembro</v>
      </c>
      <c r="E46" s="8">
        <v>32229.1</v>
      </c>
      <c r="F46" s="8">
        <v>34141.3</v>
      </c>
      <c r="G46" s="8">
        <v>45181.188696770005</v>
      </c>
      <c r="H46" s="12">
        <v>44043.11655383</v>
      </c>
      <c r="I46" s="25">
        <f t="shared" si="6"/>
        <v>-9901.816553829995</v>
      </c>
      <c r="J46" s="23">
        <f t="shared" si="7"/>
        <v>0.05933147373026254</v>
      </c>
      <c r="K46" s="23">
        <f t="shared" si="8"/>
        <v>-0.02518907040224393</v>
      </c>
      <c r="M46" s="31"/>
    </row>
    <row r="47" spans="3:13" ht="15.75" customHeight="1">
      <c r="C47" s="25"/>
      <c r="D47" s="13" t="str">
        <f>IF(Indice_index!$Z$1=1,"dezembro","December")</f>
        <v>dezembro</v>
      </c>
      <c r="E47" s="8">
        <v>36287.100000000006</v>
      </c>
      <c r="F47" s="8">
        <v>41537.2</v>
      </c>
      <c r="G47" s="8">
        <v>50565.443819210006</v>
      </c>
      <c r="H47" s="12">
        <v>48731.72746423001</v>
      </c>
      <c r="I47" s="8">
        <f t="shared" si="6"/>
        <v>-7194.527464230014</v>
      </c>
      <c r="J47" s="32">
        <f t="shared" si="7"/>
        <v>0.14468227000779865</v>
      </c>
      <c r="K47" s="32">
        <f t="shared" si="8"/>
        <v>-0.03626421952383536</v>
      </c>
      <c r="M47" s="31"/>
    </row>
    <row r="48" spans="4:13" ht="12.75">
      <c r="D48" s="13"/>
      <c r="J48" s="32"/>
      <c r="K48" s="32"/>
      <c r="M48" s="31"/>
    </row>
    <row r="49" spans="3:13" ht="15.75" customHeight="1">
      <c r="C49" s="24" t="s">
        <v>5</v>
      </c>
      <c r="D49" s="13" t="str">
        <f>IF(Indice_index!$Z$1=1,"janeiro","January")</f>
        <v>janeiro</v>
      </c>
      <c r="E49" s="8">
        <v>3173.2000000000003</v>
      </c>
      <c r="F49" s="8">
        <v>2980.6000000000004</v>
      </c>
      <c r="G49" s="8">
        <v>3915.43923614</v>
      </c>
      <c r="H49" s="12">
        <v>3416.558697549998</v>
      </c>
      <c r="I49" s="8">
        <f t="shared" si="6"/>
        <v>-435.95869754999785</v>
      </c>
      <c r="J49" s="32">
        <f t="shared" si="7"/>
        <v>-0.06069582755577962</v>
      </c>
      <c r="K49" s="32">
        <f t="shared" si="8"/>
        <v>-0.12741368426440416</v>
      </c>
      <c r="M49" s="31"/>
    </row>
    <row r="50" spans="3:13" ht="15.75" customHeight="1">
      <c r="C50" s="24"/>
      <c r="D50" s="13" t="str">
        <f>IF(Indice_index!$Z$1=1,"fevereiro","February")</f>
        <v>fevereiro</v>
      </c>
      <c r="E50" s="8">
        <v>6541.299999999999</v>
      </c>
      <c r="F50" s="8">
        <v>6258.900000000001</v>
      </c>
      <c r="G50" s="8">
        <v>6815.57842677</v>
      </c>
      <c r="H50" s="12">
        <v>7057.492915750001</v>
      </c>
      <c r="I50" s="8">
        <f t="shared" si="6"/>
        <v>-798.5929157500004</v>
      </c>
      <c r="J50" s="32">
        <f t="shared" si="7"/>
        <v>-0.043171846574839676</v>
      </c>
      <c r="K50" s="32">
        <f t="shared" si="8"/>
        <v>0.03549434454892593</v>
      </c>
      <c r="M50" s="31"/>
    </row>
    <row r="51" spans="3:13" ht="15.75" customHeight="1">
      <c r="C51" s="24"/>
      <c r="D51" s="13" t="str">
        <f>IF(Indice_index!$Z$1=1,"março","March")</f>
        <v>março</v>
      </c>
      <c r="E51" s="8">
        <v>9004.1</v>
      </c>
      <c r="F51" s="8">
        <v>8610</v>
      </c>
      <c r="G51" s="8">
        <v>9896.35238861</v>
      </c>
      <c r="H51" s="12">
        <v>10246.981375730003</v>
      </c>
      <c r="I51" s="8">
        <f t="shared" si="6"/>
        <v>-1636.9813757300035</v>
      </c>
      <c r="J51" s="32">
        <f t="shared" si="7"/>
        <v>-0.04376894970069194</v>
      </c>
      <c r="K51" s="32">
        <f t="shared" si="8"/>
        <v>0.03543012347898539</v>
      </c>
      <c r="M51" s="31"/>
    </row>
    <row r="52" spans="3:13" ht="15.75" customHeight="1">
      <c r="C52" s="24"/>
      <c r="D52" s="13" t="str">
        <f>IF(Indice_index!$Z$1=1,"abril","April")</f>
        <v>abril</v>
      </c>
      <c r="E52" s="8">
        <v>11351.7</v>
      </c>
      <c r="F52" s="8">
        <v>11103.300000000001</v>
      </c>
      <c r="G52" s="8">
        <v>13804.92192823</v>
      </c>
      <c r="H52" s="12">
        <v>14162.098254779998</v>
      </c>
      <c r="I52" s="8">
        <f t="shared" si="6"/>
        <v>-3058.7982547799966</v>
      </c>
      <c r="J52" s="32">
        <f t="shared" si="7"/>
        <v>-0.021882185047173517</v>
      </c>
      <c r="K52" s="32">
        <f t="shared" si="8"/>
        <v>0.025873114560655327</v>
      </c>
      <c r="M52" s="31"/>
    </row>
    <row r="53" spans="3:13" ht="15.75" customHeight="1">
      <c r="C53" s="24"/>
      <c r="D53" s="13" t="str">
        <f>IF(Indice_index!$Z$1=1,"maio","May")</f>
        <v>maio</v>
      </c>
      <c r="E53" s="8">
        <v>15176.9</v>
      </c>
      <c r="F53" s="8">
        <v>14822.599999999999</v>
      </c>
      <c r="G53" s="8">
        <v>17195.51663279</v>
      </c>
      <c r="H53" s="12">
        <v>17538.5445095</v>
      </c>
      <c r="I53" s="8">
        <f t="shared" si="6"/>
        <v>-2715.944509500001</v>
      </c>
      <c r="J53" s="32">
        <f t="shared" si="7"/>
        <v>-0.02334468830920683</v>
      </c>
      <c r="K53" s="32">
        <f t="shared" si="8"/>
        <v>0.01994868104491154</v>
      </c>
      <c r="M53" s="31"/>
    </row>
    <row r="54" spans="3:13" ht="15.75" customHeight="1">
      <c r="C54" s="24"/>
      <c r="D54" s="13" t="str">
        <f>IF(Indice_index!$Z$1=1,"junho","June")</f>
        <v>junho</v>
      </c>
      <c r="E54" s="8">
        <v>17547.800000000003</v>
      </c>
      <c r="F54" s="8">
        <v>19865.399999999998</v>
      </c>
      <c r="G54" s="8">
        <v>23597.151310159996</v>
      </c>
      <c r="H54" s="12">
        <v>23087.224164270003</v>
      </c>
      <c r="I54" s="8">
        <f t="shared" si="6"/>
        <v>-3221.824164270005</v>
      </c>
      <c r="J54" s="32">
        <f t="shared" si="7"/>
        <v>0.13207353628375035</v>
      </c>
      <c r="K54" s="32">
        <f t="shared" si="8"/>
        <v>-0.021609690898173738</v>
      </c>
      <c r="M54" s="31"/>
    </row>
    <row r="55" spans="3:13" ht="15.75" customHeight="1">
      <c r="C55" s="24"/>
      <c r="D55" s="13" t="str">
        <f>IF(Indice_index!$Z$1=1,"julho","July")</f>
        <v>julho</v>
      </c>
      <c r="E55" s="8">
        <v>20785.800000000003</v>
      </c>
      <c r="F55" s="8">
        <v>23165.2</v>
      </c>
      <c r="G55" s="8">
        <v>27348.9862206</v>
      </c>
      <c r="H55" s="12">
        <v>27145.079220180003</v>
      </c>
      <c r="I55" s="8">
        <f t="shared" si="6"/>
        <v>-3979.8792201800024</v>
      </c>
      <c r="J55" s="32">
        <f t="shared" si="7"/>
        <v>0.11447238018262455</v>
      </c>
      <c r="K55" s="32">
        <f t="shared" si="8"/>
        <v>-0.007455742555693283</v>
      </c>
      <c r="M55" s="31"/>
    </row>
    <row r="56" spans="3:13" ht="15.75" customHeight="1">
      <c r="C56" s="24"/>
      <c r="D56" s="13" t="str">
        <f>IF(Indice_index!$Z$1=1,"agosto","August")</f>
        <v>agosto</v>
      </c>
      <c r="E56" s="8">
        <v>23893.6</v>
      </c>
      <c r="F56" s="8">
        <v>26430.5</v>
      </c>
      <c r="G56" s="8">
        <v>30989.851806180002</v>
      </c>
      <c r="H56" s="12">
        <v>31325.823311140015</v>
      </c>
      <c r="I56" s="8">
        <f t="shared" si="6"/>
        <v>-4895.323311140015</v>
      </c>
      <c r="J56" s="32">
        <f t="shared" si="7"/>
        <v>0.10617487528040988</v>
      </c>
      <c r="K56" s="32">
        <f t="shared" si="8"/>
        <v>0.010841339515312338</v>
      </c>
      <c r="M56" s="31"/>
    </row>
    <row r="57" spans="3:13" ht="15.75" customHeight="1">
      <c r="C57" s="24"/>
      <c r="D57" s="13" t="str">
        <f>IF(Indice_index!$Z$1=1,"setembro","September")</f>
        <v>setembro</v>
      </c>
      <c r="E57" s="8">
        <v>27999</v>
      </c>
      <c r="F57" s="8">
        <v>29793.5</v>
      </c>
      <c r="G57" s="8">
        <v>34458.23494959001</v>
      </c>
      <c r="H57" s="12">
        <v>34946.78691885</v>
      </c>
      <c r="I57" s="8">
        <f t="shared" si="6"/>
        <v>-5153.286918849997</v>
      </c>
      <c r="J57" s="32">
        <f t="shared" si="7"/>
        <v>0.06409157469909639</v>
      </c>
      <c r="K57" s="32">
        <f t="shared" si="8"/>
        <v>0.014178090374469324</v>
      </c>
      <c r="M57" s="31"/>
    </row>
    <row r="58" spans="3:13" ht="15.75" customHeight="1">
      <c r="C58" s="24"/>
      <c r="D58" s="13" t="str">
        <f>IF(Indice_index!$Z$1=1,"outubro","October")</f>
        <v>outubro</v>
      </c>
      <c r="E58" s="8">
        <v>30567.3</v>
      </c>
      <c r="F58" s="8">
        <v>32274.1</v>
      </c>
      <c r="G58" s="8">
        <v>39384.38391841999</v>
      </c>
      <c r="H58" s="12">
        <v>39609.51781740999</v>
      </c>
      <c r="I58" s="8">
        <f t="shared" si="6"/>
        <v>-7335.417817409994</v>
      </c>
      <c r="J58" s="32">
        <f t="shared" si="7"/>
        <v>0.055837447206655455</v>
      </c>
      <c r="K58" s="32">
        <f t="shared" si="8"/>
        <v>0.005716323999287154</v>
      </c>
      <c r="M58" s="31"/>
    </row>
    <row r="59" spans="3:13" ht="15.75" customHeight="1">
      <c r="C59" s="24"/>
      <c r="D59" s="13" t="str">
        <f>IF(Indice_index!$Z$1=1,"novembro","November")</f>
        <v>novembro</v>
      </c>
      <c r="E59" s="8">
        <v>34259.1</v>
      </c>
      <c r="F59" s="8">
        <v>35305.5</v>
      </c>
      <c r="G59" s="8">
        <v>44043.11655383</v>
      </c>
      <c r="H59" s="12">
        <v>43029.63025724998</v>
      </c>
      <c r="I59" s="8">
        <f t="shared" si="6"/>
        <v>-7724.130257249977</v>
      </c>
      <c r="J59" s="32">
        <f t="shared" si="7"/>
        <v>0.03054370955454176</v>
      </c>
      <c r="K59" s="32">
        <f t="shared" si="8"/>
        <v>-0.023011230264355288</v>
      </c>
      <c r="M59" s="31"/>
    </row>
    <row r="60" spans="3:13" ht="15.75" customHeight="1">
      <c r="C60" s="21"/>
      <c r="D60" s="33" t="str">
        <f>IF(Indice_index!$Z$1=1,"dezembro","December")</f>
        <v>dezembro</v>
      </c>
      <c r="E60" s="33">
        <v>41682.5</v>
      </c>
      <c r="F60" s="33">
        <v>39851.799999999996</v>
      </c>
      <c r="G60" s="33">
        <v>48726.32187637001</v>
      </c>
      <c r="H60" s="33">
        <v>48769.94035043</v>
      </c>
      <c r="I60" s="34">
        <f t="shared" si="6"/>
        <v>-8918.140350430003</v>
      </c>
      <c r="J60" s="35">
        <f t="shared" si="7"/>
        <v>-0.04392011035806404</v>
      </c>
      <c r="K60" s="35">
        <f t="shared" si="8"/>
        <v>0.0008951727193908827</v>
      </c>
      <c r="M60" s="31"/>
    </row>
    <row r="61" spans="4:13" ht="12.75">
      <c r="D61" s="33"/>
      <c r="E61" s="33"/>
      <c r="F61" s="33"/>
      <c r="G61" s="33"/>
      <c r="H61" s="33"/>
      <c r="I61" s="34"/>
      <c r="J61" s="35"/>
      <c r="K61" s="35"/>
      <c r="M61" s="31"/>
    </row>
    <row r="62" spans="3:28" s="36" customFormat="1" ht="15" customHeight="1">
      <c r="C62" s="21" t="s">
        <v>7</v>
      </c>
      <c r="D62" s="79" t="str">
        <f>IF(Indice_index!$Z$1=1,"janeiro","January")</f>
        <v>janeiro</v>
      </c>
      <c r="E62" s="79">
        <v>2998.9000000000005</v>
      </c>
      <c r="F62" s="79">
        <v>3068.6</v>
      </c>
      <c r="G62" s="79">
        <v>3416.558697550001</v>
      </c>
      <c r="H62" s="79">
        <v>3805.230396670001</v>
      </c>
      <c r="I62" s="79">
        <f t="shared" si="6"/>
        <v>-736.6303966700011</v>
      </c>
      <c r="J62" s="232">
        <f t="shared" si="7"/>
        <v>0.023241855346960334</v>
      </c>
      <c r="K62" s="232">
        <f t="shared" si="8"/>
        <v>0.11376116540854833</v>
      </c>
      <c r="L62"/>
      <c r="Z62" s="2"/>
      <c r="AA62" s="2"/>
      <c r="AB62" s="2"/>
    </row>
    <row r="63" spans="3:28" s="36" customFormat="1" ht="15" customHeight="1">
      <c r="C63" s="79"/>
      <c r="D63" s="79" t="str">
        <f>IF(Indice_index!$Z$1=1,"fevereiro","February")</f>
        <v>fevereiro</v>
      </c>
      <c r="E63" s="79">
        <v>6305.700616</v>
      </c>
      <c r="F63" s="79">
        <v>6433.149941000001</v>
      </c>
      <c r="G63" s="79">
        <v>7057.410022750001</v>
      </c>
      <c r="H63" s="79">
        <v>7304.2644009999985</v>
      </c>
      <c r="I63" s="79">
        <f aca="true" t="shared" si="9" ref="I63:I71">IF(F63="","",+F63-H63)</f>
        <v>-871.114459999998</v>
      </c>
      <c r="J63" s="232">
        <f aca="true" t="shared" si="10" ref="J63:J71">IF(F63="","",IF(E63=0,"-",(F63-E63)/E63))</f>
        <v>0.020211762778050753</v>
      </c>
      <c r="K63" s="232">
        <f aca="true" t="shared" si="11" ref="K63:K71">IF(H63="","",IF(G63=0,"-",(H63-G63)/G63))</f>
        <v>0.034978041158760347</v>
      </c>
      <c r="L63"/>
      <c r="Z63" s="2"/>
      <c r="AA63" s="2"/>
      <c r="AB63" s="2"/>
    </row>
    <row r="64" spans="3:28" s="36" customFormat="1" ht="15" customHeight="1">
      <c r="C64" s="79"/>
      <c r="D64" s="79" t="str">
        <f>IF(Indice_index!$Z$1=1,"março","March")</f>
        <v>março</v>
      </c>
      <c r="E64" s="79">
        <v>8658.424028000001</v>
      </c>
      <c r="F64" s="79">
        <v>8936.645854999999</v>
      </c>
      <c r="G64" s="79">
        <v>10246.897045730002</v>
      </c>
      <c r="H64" s="79">
        <v>10788.607881029997</v>
      </c>
      <c r="I64" s="79">
        <f t="shared" si="9"/>
        <v>-1851.962026029998</v>
      </c>
      <c r="J64" s="232">
        <f t="shared" si="10"/>
        <v>0.03213307942649509</v>
      </c>
      <c r="K64" s="232">
        <f t="shared" si="11"/>
        <v>0.05286584152084673</v>
      </c>
      <c r="L64"/>
      <c r="Z64" s="2"/>
      <c r="AA64" s="2"/>
      <c r="AB64" s="2"/>
    </row>
    <row r="65" spans="3:28" s="36" customFormat="1" ht="15" customHeight="1">
      <c r="C65" s="79"/>
      <c r="D65" s="79" t="str">
        <f>IF(Indice_index!$Z$1=1,"abril","April")</f>
        <v>abril</v>
      </c>
      <c r="E65" s="79">
        <v>11133.452095</v>
      </c>
      <c r="F65" s="79">
        <v>11612.055524999998</v>
      </c>
      <c r="G65" s="79">
        <v>14162.011795139999</v>
      </c>
      <c r="H65" s="79">
        <v>14589.658748449994</v>
      </c>
      <c r="I65" s="79">
        <f t="shared" si="9"/>
        <v>-2977.603223449996</v>
      </c>
      <c r="J65" s="232">
        <f t="shared" si="10"/>
        <v>0.042987873475014704</v>
      </c>
      <c r="K65" s="232">
        <f t="shared" si="11"/>
        <v>0.030196765791195825</v>
      </c>
      <c r="L65"/>
      <c r="M65"/>
      <c r="N65"/>
      <c r="O65"/>
      <c r="P65"/>
      <c r="Q65"/>
      <c r="Z65" s="2"/>
      <c r="AA65" s="2"/>
      <c r="AB65" s="2"/>
    </row>
    <row r="66" spans="3:28" s="36" customFormat="1" ht="15" customHeight="1">
      <c r="C66" s="79"/>
      <c r="D66" s="79" t="str">
        <f>IF(Indice_index!$Z$1=1,"maio","May")</f>
        <v>maio</v>
      </c>
      <c r="E66" s="79">
        <v>14826.058716220003</v>
      </c>
      <c r="F66" s="79">
        <v>15965.99613223</v>
      </c>
      <c r="G66" s="79">
        <v>17538.41702486</v>
      </c>
      <c r="H66" s="79">
        <v>18646.484580070006</v>
      </c>
      <c r="I66" s="79">
        <f t="shared" si="9"/>
        <v>-2680.4884478400054</v>
      </c>
      <c r="J66" s="232">
        <f t="shared" si="10"/>
        <v>0.07688742084657224</v>
      </c>
      <c r="K66" s="232">
        <f t="shared" si="11"/>
        <v>0.06317945078163932</v>
      </c>
      <c r="L66"/>
      <c r="M66"/>
      <c r="N66"/>
      <c r="O66"/>
      <c r="P66"/>
      <c r="Q66"/>
      <c r="Z66" s="2"/>
      <c r="AA66" s="2"/>
      <c r="AB66" s="2"/>
    </row>
    <row r="67" spans="3:28" s="36" customFormat="1" ht="15" customHeight="1">
      <c r="C67" s="79"/>
      <c r="D67" s="29" t="str">
        <f>IF(Indice_index!$Z$1=1,"junho","June")</f>
        <v>junho</v>
      </c>
      <c r="E67" s="29">
        <v>19867.24326209</v>
      </c>
      <c r="F67" s="29">
        <v>18650.755292359998</v>
      </c>
      <c r="G67" s="29">
        <v>23087.09534563001</v>
      </c>
      <c r="H67" s="29">
        <v>23501.930389390003</v>
      </c>
      <c r="I67" s="29">
        <f t="shared" si="9"/>
        <v>-4851.175097030005</v>
      </c>
      <c r="J67" s="283">
        <f t="shared" si="10"/>
        <v>-0.0612308388074788</v>
      </c>
      <c r="K67" s="283">
        <f t="shared" si="11"/>
        <v>0.0179682648488094</v>
      </c>
      <c r="L67"/>
      <c r="M67"/>
      <c r="N67"/>
      <c r="O67"/>
      <c r="P67"/>
      <c r="Q67"/>
      <c r="Z67" s="2"/>
      <c r="AA67" s="2"/>
      <c r="AB67" s="2"/>
    </row>
    <row r="68" spans="3:28" s="36" customFormat="1" ht="15" customHeight="1">
      <c r="C68" s="79"/>
      <c r="D68" s="34" t="str">
        <f>IF(Indice_index!$Z$1=1,"julho","July")</f>
        <v>julho</v>
      </c>
      <c r="E68" s="34">
        <v>23168.670938000003</v>
      </c>
      <c r="F68" s="34">
        <v>21989.55515628</v>
      </c>
      <c r="G68" s="34">
        <v>27141.297239910007</v>
      </c>
      <c r="H68" s="34">
        <v>27686.129182839995</v>
      </c>
      <c r="I68" s="34">
        <f t="shared" si="9"/>
        <v>-5696.574026559996</v>
      </c>
      <c r="J68" s="234">
        <f t="shared" si="10"/>
        <v>-0.05089268110697199</v>
      </c>
      <c r="K68" s="234">
        <f t="shared" si="11"/>
        <v>0.020073909441912684</v>
      </c>
      <c r="L68"/>
      <c r="M68"/>
      <c r="N68"/>
      <c r="O68"/>
      <c r="P68"/>
      <c r="Q68"/>
      <c r="Z68" s="2"/>
      <c r="AA68" s="2"/>
      <c r="AB68" s="2"/>
    </row>
    <row r="69" spans="3:28" s="36" customFormat="1" ht="15" customHeight="1">
      <c r="C69" s="79"/>
      <c r="D69" s="34" t="str">
        <f>IF(Indice_index!$Z$1=1,"agosto","August")</f>
        <v>agosto</v>
      </c>
      <c r="E69" s="34">
        <v>26436.031611360002</v>
      </c>
      <c r="F69" s="34">
        <v>25209.11327938</v>
      </c>
      <c r="G69" s="34">
        <v>31322.041330870008</v>
      </c>
      <c r="H69" s="34">
        <v>31236.367103649995</v>
      </c>
      <c r="I69" s="34">
        <f t="shared" si="9"/>
        <v>-6027.253824269996</v>
      </c>
      <c r="J69" s="234">
        <f t="shared" si="10"/>
        <v>-0.04641083616546955</v>
      </c>
      <c r="K69" s="234">
        <f t="shared" si="11"/>
        <v>-0.0027352695922655515</v>
      </c>
      <c r="L69"/>
      <c r="M69"/>
      <c r="N69"/>
      <c r="O69"/>
      <c r="P69"/>
      <c r="Q69"/>
      <c r="Z69" s="2"/>
      <c r="AA69" s="2"/>
      <c r="AB69" s="2"/>
    </row>
    <row r="70" spans="3:28" s="36" customFormat="1" ht="15" customHeight="1">
      <c r="C70" s="34"/>
      <c r="D70" s="34" t="str">
        <f>IF(Indice_index!$Z$1=1,"setembro","September")</f>
        <v>setembro</v>
      </c>
      <c r="E70" s="34">
        <v>29805.758869909998</v>
      </c>
      <c r="F70" s="34">
        <v>29495.021431149995</v>
      </c>
      <c r="G70" s="34">
        <v>34943.00280929999</v>
      </c>
      <c r="H70" s="34">
        <v>34938.153055259994</v>
      </c>
      <c r="I70" s="34">
        <f t="shared" si="9"/>
        <v>-5443.131624109999</v>
      </c>
      <c r="J70" s="234">
        <f t="shared" si="10"/>
        <v>-0.010425416112243456</v>
      </c>
      <c r="K70" s="234">
        <f t="shared" si="11"/>
        <v>-0.00013879042011546202</v>
      </c>
      <c r="L70"/>
      <c r="M70"/>
      <c r="N70"/>
      <c r="O70"/>
      <c r="P70"/>
      <c r="Q70"/>
      <c r="Z70" s="2"/>
      <c r="AA70" s="2"/>
      <c r="AB70" s="2"/>
    </row>
    <row r="71" spans="3:17" ht="12" customHeight="1">
      <c r="C71" s="34"/>
      <c r="D71" s="34" t="str">
        <f>IF(Indice_index!$Z$1=1,"outubro","October")</f>
        <v>outubro</v>
      </c>
      <c r="E71" s="34">
        <v>32280.747179060007</v>
      </c>
      <c r="F71" s="34">
        <v>32448.833813720004</v>
      </c>
      <c r="G71" s="34">
        <v>39603.399320489996</v>
      </c>
      <c r="H71" s="34">
        <v>40166.40891118002</v>
      </c>
      <c r="I71" s="34">
        <f t="shared" si="9"/>
        <v>-7717.575097460016</v>
      </c>
      <c r="J71" s="234">
        <f t="shared" si="10"/>
        <v>0.0052070242899778</v>
      </c>
      <c r="K71" s="234">
        <f t="shared" si="11"/>
        <v>0.014216193567978253</v>
      </c>
      <c r="M71"/>
      <c r="N71"/>
      <c r="O71"/>
      <c r="P71"/>
      <c r="Q71"/>
    </row>
    <row r="72" spans="3:28" s="25" customFormat="1" ht="12" customHeight="1">
      <c r="C72" s="34"/>
      <c r="D72" s="34" t="str">
        <f>IF(Indice_index!$Z$1=1,"novembro","November")</f>
        <v>novembro</v>
      </c>
      <c r="E72" s="34">
        <v>35327.54353915</v>
      </c>
      <c r="F72" s="34">
        <v>35923.85223134</v>
      </c>
      <c r="G72" s="34">
        <v>43021.159694219976</v>
      </c>
      <c r="H72" s="34">
        <v>44599.41564093002</v>
      </c>
      <c r="I72" s="34">
        <f>IF(F72="","",+F72-H72)</f>
        <v>-8675.563409590017</v>
      </c>
      <c r="J72" s="234">
        <f>IF(F72="","",IF(E72=0,"-",(F72-E72)/E72))</f>
        <v>0.016879426998063805</v>
      </c>
      <c r="K72" s="234">
        <f>IF(H72="","",IF(G72=0,"-",(H72-G72)/G72))</f>
        <v>0.03668557421342798</v>
      </c>
      <c r="L72" s="266"/>
      <c r="M72" s="266"/>
      <c r="N72" s="266"/>
      <c r="O72" s="266"/>
      <c r="P72" s="266"/>
      <c r="Q72" s="266"/>
      <c r="Z72" s="43"/>
      <c r="AA72" s="43"/>
      <c r="AB72" s="43"/>
    </row>
    <row r="73" spans="3:28" s="25" customFormat="1" ht="12" customHeight="1">
      <c r="C73" s="93"/>
      <c r="D73" s="93" t="str">
        <f>IF(Indice_index!$Z$1=1,"dezembro","December")</f>
        <v>dezembro</v>
      </c>
      <c r="E73" s="93">
        <v>39859.48040793</v>
      </c>
      <c r="F73" s="93">
        <v>41188.96681404999</v>
      </c>
      <c r="G73" s="93">
        <v>48755.49339187</v>
      </c>
      <c r="H73" s="93">
        <v>48876.47968005</v>
      </c>
      <c r="I73" s="93">
        <f>IF(F73="","",+F73-H73)</f>
        <v>-7687.512866000005</v>
      </c>
      <c r="J73" s="335">
        <f>IF(F73="","",IF(E73=0,"-",(F73-E73)/E73))</f>
        <v>0.03335433358673415</v>
      </c>
      <c r="K73" s="335">
        <f>IF(H73="","",IF(G73=0,"-",(H73-G73)/G73))</f>
        <v>0.002481490387300121</v>
      </c>
      <c r="L73" s="266"/>
      <c r="M73" s="266"/>
      <c r="N73" s="266"/>
      <c r="O73" s="266"/>
      <c r="P73" s="266"/>
      <c r="Q73" s="266"/>
      <c r="Z73" s="43"/>
      <c r="AA73" s="43"/>
      <c r="AB73" s="43"/>
    </row>
    <row r="74" spans="3:17" ht="12" customHeight="1">
      <c r="C74" s="25" t="str">
        <f>IF(Indice_index!$Z$1=1,"Fonte: Ministério das Finanças","Source: Ministry of Finance")</f>
        <v>Fonte: Ministério das Finanças</v>
      </c>
      <c r="H74" s="8"/>
      <c r="I74"/>
      <c r="M74"/>
      <c r="N74"/>
      <c r="O74"/>
      <c r="P74"/>
      <c r="Q74"/>
    </row>
    <row r="75" spans="8:9" ht="25.5" customHeight="1">
      <c r="H75" s="8"/>
      <c r="I75"/>
    </row>
    <row r="76" spans="4:10" ht="12.75">
      <c r="D76" s="37"/>
      <c r="E76" s="14"/>
      <c r="F76" s="14"/>
      <c r="G76" s="14"/>
      <c r="H76" s="14"/>
      <c r="J76" s="15"/>
    </row>
    <row r="77" spans="3:11" ht="12.75">
      <c r="C77" s="78" t="str">
        <f>IF(Indice_index!$Z$1=1,"Evolução da Receita, Despesa e Saldo dos Serviços e Fundos Autónomos (valores acumulados)","Autonomous Services and Funds Revenue, Expenditure and Balance Evolution (cumulative values)")</f>
        <v>Evolução da Receita, Despesa e Saldo dos Serviços e Fundos Autónomos (valores acumulados)</v>
      </c>
      <c r="D77" s="38"/>
      <c r="E77" s="38"/>
      <c r="F77" s="38"/>
      <c r="G77" s="38"/>
      <c r="H77" s="38"/>
      <c r="I77" s="38"/>
      <c r="J77" s="39"/>
      <c r="K77" s="89" t="str">
        <f>IF(Indice_index!$Z$1=1,"€ Milhões","€ Millions")</f>
        <v>€ Milhões</v>
      </c>
    </row>
    <row r="78" spans="3:28" s="16" customFormat="1" ht="15.75" customHeight="1">
      <c r="C78" s="80"/>
      <c r="D78" s="80"/>
      <c r="E78" s="342" t="str">
        <f>IF(Indice_index!$Z$1=1,"Receita efetiva","Effective revenue")</f>
        <v>Receita efetiva</v>
      </c>
      <c r="F78" s="343"/>
      <c r="G78" s="342" t="str">
        <f>IF(Indice_index!$Z$1=1,"Despesa  efetiva","Effective expenditure")</f>
        <v>Despesa  efetiva</v>
      </c>
      <c r="H78" s="343"/>
      <c r="I78" s="338" t="str">
        <f>IF(Indice_index!$Z$1=1,"Saldo global","Overall
balance")</f>
        <v>Saldo global</v>
      </c>
      <c r="J78" s="340" t="str">
        <f>IF(Indice_index!$Z$1=1,"VH (%)","YOY Change Rate (%)")</f>
        <v>VH (%)</v>
      </c>
      <c r="K78" s="340"/>
      <c r="L78"/>
      <c r="M78" s="17"/>
      <c r="Z78" s="2"/>
      <c r="AA78" s="2"/>
      <c r="AB78" s="2"/>
    </row>
    <row r="79" spans="3:28" s="16" customFormat="1" ht="15.75" customHeight="1">
      <c r="C79" s="81"/>
      <c r="D79" s="83"/>
      <c r="E79" s="344"/>
      <c r="F79" s="345"/>
      <c r="G79" s="344"/>
      <c r="H79" s="345"/>
      <c r="I79" s="339"/>
      <c r="J79" s="82" t="str">
        <f>IF(Indice_index!$Z$1=1,"Receita","Revenue")</f>
        <v>Receita</v>
      </c>
      <c r="K79" s="82" t="str">
        <f>IF(Indice_index!$Z$1=1,"Despesa","Expenditure")</f>
        <v>Despesa</v>
      </c>
      <c r="L79"/>
      <c r="M79" s="17"/>
      <c r="Z79" s="2"/>
      <c r="AA79" s="2"/>
      <c r="AB79" s="2"/>
    </row>
    <row r="80" spans="3:28" s="16" customFormat="1" ht="15.75" customHeight="1">
      <c r="C80" s="24"/>
      <c r="D80" s="25"/>
      <c r="E80" s="19" t="str">
        <f>IF(Indice_index!$Z$1=1,"Ano n-1","Year n-1")</f>
        <v>Ano n-1</v>
      </c>
      <c r="F80" s="19" t="str">
        <f>IF(Indice_index!$Z$1=1,"Ano n","Year n")</f>
        <v>Ano n</v>
      </c>
      <c r="G80" s="19" t="str">
        <f>IF(Indice_index!$Z$1=1,"Ano n-1","Year n-1")</f>
        <v>Ano n-1</v>
      </c>
      <c r="H80" s="19" t="str">
        <f>IF(Indice_index!$Z$1=1,"Ano n","Year n")</f>
        <v>Ano n</v>
      </c>
      <c r="I80" s="19" t="str">
        <f>IF(Indice_index!$Z$1=1,"Ano n","Year n")</f>
        <v>Ano n</v>
      </c>
      <c r="J80" s="20" t="str">
        <f>IF(Indice_index!$Z$1=1,"Ano n","Year n")</f>
        <v>Ano n</v>
      </c>
      <c r="K80" s="20" t="str">
        <f>IF(Indice_index!$Z$1=1,"Ano n","Year n")</f>
        <v>Ano n</v>
      </c>
      <c r="L80"/>
      <c r="M80" s="17"/>
      <c r="Z80" s="2"/>
      <c r="AA80" s="2"/>
      <c r="AB80" s="2"/>
    </row>
    <row r="81" spans="3:28" s="16" customFormat="1" ht="15.75" customHeight="1">
      <c r="C81" s="21" t="s">
        <v>2</v>
      </c>
      <c r="D81" s="8" t="str">
        <f>IF(Indice_index!$Z$1=1,"janeiro","January")</f>
        <v>janeiro</v>
      </c>
      <c r="E81" s="22">
        <v>1688.763964</v>
      </c>
      <c r="F81" s="22">
        <v>1835.41508</v>
      </c>
      <c r="G81" s="22">
        <v>1287.40611</v>
      </c>
      <c r="H81" s="22">
        <v>1407.262301</v>
      </c>
      <c r="I81" s="8">
        <f aca="true" t="shared" si="12" ref="I81:I91">IF(F81="","",+F81-H81)</f>
        <v>428.152779</v>
      </c>
      <c r="J81" s="23">
        <f aca="true" t="shared" si="13" ref="J81:J92">IF(F81="","",IF(E81=0,"-",(F81-E81)/E81))</f>
        <v>0.08683932102189268</v>
      </c>
      <c r="K81" s="23">
        <f aca="true" t="shared" si="14" ref="K81:K92">IF(H81="","",IF(G81=0,"-",(H81-G81)/G81))</f>
        <v>0.09309897635952659</v>
      </c>
      <c r="L81"/>
      <c r="M81" s="17"/>
      <c r="Z81" s="2"/>
      <c r="AA81" s="2"/>
      <c r="AB81" s="2"/>
    </row>
    <row r="82" spans="3:28" s="16" customFormat="1" ht="15.75" customHeight="1">
      <c r="C82" s="24"/>
      <c r="D82" s="8" t="str">
        <f>IF(Indice_index!$Z$1=1,"fevereiro","February")</f>
        <v>fevereiro</v>
      </c>
      <c r="E82" s="22">
        <v>3527.580438</v>
      </c>
      <c r="F82" s="22">
        <v>3813.010544</v>
      </c>
      <c r="G82" s="22">
        <v>2875.974071</v>
      </c>
      <c r="H82" s="22">
        <v>3096.4443960000003</v>
      </c>
      <c r="I82" s="8">
        <f t="shared" si="12"/>
        <v>716.5661479999999</v>
      </c>
      <c r="J82" s="23">
        <f t="shared" si="13"/>
        <v>0.08091384761216897</v>
      </c>
      <c r="K82" s="23">
        <f t="shared" si="14"/>
        <v>0.07665935768445258</v>
      </c>
      <c r="L82"/>
      <c r="M82" s="17"/>
      <c r="Z82" s="2"/>
      <c r="AA82" s="2"/>
      <c r="AB82" s="2"/>
    </row>
    <row r="83" spans="3:28" s="16" customFormat="1" ht="15.75" customHeight="1">
      <c r="C83" s="24"/>
      <c r="D83" s="8" t="str">
        <f>IF(Indice_index!$Z$1=1,"março","March")</f>
        <v>março</v>
      </c>
      <c r="E83" s="22">
        <v>5397.064645</v>
      </c>
      <c r="F83" s="22">
        <v>5677.898786</v>
      </c>
      <c r="G83" s="22">
        <v>4684.483229</v>
      </c>
      <c r="H83" s="22">
        <v>4866.285656</v>
      </c>
      <c r="I83" s="8">
        <f t="shared" si="12"/>
        <v>811.6131299999997</v>
      </c>
      <c r="J83" s="23">
        <f t="shared" si="13"/>
        <v>0.05203460760103594</v>
      </c>
      <c r="K83" s="23">
        <f t="shared" si="14"/>
        <v>0.038809494689728906</v>
      </c>
      <c r="L83"/>
      <c r="M83" s="17"/>
      <c r="Z83" s="2"/>
      <c r="AA83" s="2"/>
      <c r="AB83" s="2"/>
    </row>
    <row r="84" spans="3:28" s="16" customFormat="1" ht="15.75" customHeight="1">
      <c r="C84" s="24"/>
      <c r="D84" s="8" t="str">
        <f>IF(Indice_index!$Z$1=1,"abril","April")</f>
        <v>abril</v>
      </c>
      <c r="E84" s="22">
        <v>7355.957125</v>
      </c>
      <c r="F84" s="22">
        <v>7513.003163</v>
      </c>
      <c r="G84" s="22">
        <v>6433.18827</v>
      </c>
      <c r="H84" s="22">
        <v>6710.554073</v>
      </c>
      <c r="I84" s="8">
        <f t="shared" si="12"/>
        <v>802.4490900000001</v>
      </c>
      <c r="J84" s="23">
        <f t="shared" si="13"/>
        <v>0.02134950426318593</v>
      </c>
      <c r="K84" s="23">
        <f t="shared" si="14"/>
        <v>0.04311482757211466</v>
      </c>
      <c r="L84"/>
      <c r="M84" s="17"/>
      <c r="Z84" s="2"/>
      <c r="AA84" s="2"/>
      <c r="AB84" s="2"/>
    </row>
    <row r="85" spans="3:28" s="16" customFormat="1" ht="15.75" customHeight="1">
      <c r="C85" s="24"/>
      <c r="D85" s="8" t="str">
        <f>IF(Indice_index!$Z$1=1,"maio","May")</f>
        <v>maio</v>
      </c>
      <c r="E85" s="22">
        <v>9286.282333</v>
      </c>
      <c r="F85" s="22">
        <v>9432.153533</v>
      </c>
      <c r="G85" s="22">
        <v>8152.934985</v>
      </c>
      <c r="H85" s="22">
        <v>8522.346581</v>
      </c>
      <c r="I85" s="8">
        <f t="shared" si="12"/>
        <v>909.8069520000008</v>
      </c>
      <c r="J85" s="23">
        <f t="shared" si="13"/>
        <v>0.0157082452125787</v>
      </c>
      <c r="K85" s="23">
        <f t="shared" si="14"/>
        <v>0.04531025902692145</v>
      </c>
      <c r="L85"/>
      <c r="M85" s="17"/>
      <c r="Z85" s="2"/>
      <c r="AA85" s="2"/>
      <c r="AB85" s="2"/>
    </row>
    <row r="86" spans="3:28" s="16" customFormat="1" ht="15.75" customHeight="1">
      <c r="C86" s="24"/>
      <c r="D86" s="8" t="str">
        <f>IF(Indice_index!$Z$1=1,"junho","June")</f>
        <v>junho</v>
      </c>
      <c r="E86" s="22">
        <v>10957.951453</v>
      </c>
      <c r="F86" s="22">
        <v>11600.615423</v>
      </c>
      <c r="G86" s="22">
        <v>10331.291215</v>
      </c>
      <c r="H86" s="22">
        <v>10876.032569</v>
      </c>
      <c r="I86" s="8">
        <f t="shared" si="12"/>
        <v>724.5828539999984</v>
      </c>
      <c r="J86" s="23">
        <f t="shared" si="13"/>
        <v>0.05864818554421092</v>
      </c>
      <c r="K86" s="23">
        <f t="shared" si="14"/>
        <v>0.05272732542947698</v>
      </c>
      <c r="L86"/>
      <c r="M86" s="17"/>
      <c r="Z86" s="2"/>
      <c r="AA86" s="2"/>
      <c r="AB86" s="2"/>
    </row>
    <row r="87" spans="3:28" s="16" customFormat="1" ht="15.75" customHeight="1">
      <c r="C87" s="24"/>
      <c r="D87" s="8" t="str">
        <f>IF(Indice_index!$Z$1=1,"julho","July")</f>
        <v>julho</v>
      </c>
      <c r="E87" s="22">
        <v>13360.349851</v>
      </c>
      <c r="F87" s="22">
        <v>14081.91472</v>
      </c>
      <c r="G87" s="22">
        <v>12662.138573</v>
      </c>
      <c r="H87" s="22">
        <v>13120.897161</v>
      </c>
      <c r="I87" s="8">
        <f t="shared" si="12"/>
        <v>961.0175589999999</v>
      </c>
      <c r="J87" s="23">
        <f t="shared" si="13"/>
        <v>0.054007932205906405</v>
      </c>
      <c r="K87" s="23">
        <f t="shared" si="14"/>
        <v>0.03623073506542018</v>
      </c>
      <c r="L87"/>
      <c r="M87" s="17"/>
      <c r="Z87" s="2"/>
      <c r="AA87" s="2"/>
      <c r="AB87" s="2"/>
    </row>
    <row r="88" spans="3:28" s="16" customFormat="1" ht="15.75" customHeight="1">
      <c r="C88" s="24"/>
      <c r="D88" s="8" t="str">
        <f>IF(Indice_index!$Z$1=1,"agosto","August")</f>
        <v>agosto</v>
      </c>
      <c r="E88" s="22">
        <v>15035.283124</v>
      </c>
      <c r="F88" s="22">
        <v>15849.171157</v>
      </c>
      <c r="G88" s="22">
        <v>14328.427237</v>
      </c>
      <c r="H88" s="22">
        <v>15027.455347</v>
      </c>
      <c r="I88" s="8">
        <f t="shared" si="12"/>
        <v>821.7158100000015</v>
      </c>
      <c r="J88" s="23">
        <f t="shared" si="13"/>
        <v>0.05413187276140056</v>
      </c>
      <c r="K88" s="23">
        <f t="shared" si="14"/>
        <v>0.048786101812689775</v>
      </c>
      <c r="L88"/>
      <c r="M88" s="17"/>
      <c r="Z88" s="2"/>
      <c r="AA88" s="2"/>
      <c r="AB88" s="2"/>
    </row>
    <row r="89" spans="3:28" s="16" customFormat="1" ht="15.75" customHeight="1">
      <c r="C89" s="24"/>
      <c r="D89" s="8" t="str">
        <f>IF(Indice_index!$Z$1=1,"setembro","September")</f>
        <v>setembro</v>
      </c>
      <c r="E89" s="22">
        <v>16740.139148</v>
      </c>
      <c r="F89" s="22">
        <v>17719.060898000003</v>
      </c>
      <c r="G89" s="22">
        <v>16063.801683</v>
      </c>
      <c r="H89" s="22">
        <v>16910.483918</v>
      </c>
      <c r="I89" s="8">
        <f t="shared" si="12"/>
        <v>808.5769800000016</v>
      </c>
      <c r="J89" s="23">
        <f t="shared" si="13"/>
        <v>0.05847751570911883</v>
      </c>
      <c r="K89" s="23">
        <f t="shared" si="14"/>
        <v>0.05270746313408668</v>
      </c>
      <c r="L89"/>
      <c r="M89" s="17"/>
      <c r="Z89" s="2"/>
      <c r="AA89" s="2"/>
      <c r="AB89" s="2"/>
    </row>
    <row r="90" spans="3:28" s="16" customFormat="1" ht="15.75" customHeight="1">
      <c r="C90" s="24"/>
      <c r="D90" s="8" t="str">
        <f>IF(Indice_index!$Z$1=1,"outubro","October")</f>
        <v>outubro</v>
      </c>
      <c r="E90" s="22">
        <v>18754.378216</v>
      </c>
      <c r="F90" s="22">
        <v>19937.353558</v>
      </c>
      <c r="G90" s="22">
        <v>18038.014139</v>
      </c>
      <c r="H90" s="22">
        <v>19038.400016</v>
      </c>
      <c r="I90" s="8">
        <f t="shared" si="12"/>
        <v>898.9535419999993</v>
      </c>
      <c r="J90" s="23">
        <f t="shared" si="13"/>
        <v>0.06307728938679295</v>
      </c>
      <c r="K90" s="23">
        <f t="shared" si="14"/>
        <v>0.05545986766010266</v>
      </c>
      <c r="L90"/>
      <c r="M90" s="17"/>
      <c r="Z90" s="2"/>
      <c r="AA90" s="2"/>
      <c r="AB90" s="2"/>
    </row>
    <row r="91" spans="3:28" s="16" customFormat="1" ht="15.75" customHeight="1">
      <c r="C91" s="24"/>
      <c r="D91" s="8" t="str">
        <f>IF(Indice_index!$Z$1=1,"novembro","November")</f>
        <v>novembro</v>
      </c>
      <c r="E91" s="22">
        <v>21150.217443</v>
      </c>
      <c r="F91" s="22">
        <v>22221.234577</v>
      </c>
      <c r="G91" s="22">
        <v>20576.41505</v>
      </c>
      <c r="H91" s="22">
        <v>21736.639422</v>
      </c>
      <c r="I91" s="8">
        <f t="shared" si="12"/>
        <v>484.59515499999907</v>
      </c>
      <c r="J91" s="23">
        <f t="shared" si="13"/>
        <v>0.050638587375585964</v>
      </c>
      <c r="K91" s="23">
        <f t="shared" si="14"/>
        <v>0.05638612796158583</v>
      </c>
      <c r="L91"/>
      <c r="M91" s="17"/>
      <c r="Z91" s="2"/>
      <c r="AA91" s="2"/>
      <c r="AB91" s="2"/>
    </row>
    <row r="92" spans="3:28" s="16" customFormat="1" ht="15.75" customHeight="1">
      <c r="C92" s="24"/>
      <c r="D92" s="25" t="str">
        <f>IF(Indice_index!$Z$1=1,"dezembro","December")</f>
        <v>dezembro</v>
      </c>
      <c r="E92" s="22">
        <v>24239.232591999997</v>
      </c>
      <c r="F92" s="22">
        <v>25644.998104</v>
      </c>
      <c r="G92" s="22">
        <v>23857.643509999998</v>
      </c>
      <c r="H92" s="22">
        <v>25017.038520999995</v>
      </c>
      <c r="I92" s="25">
        <f>IF(F92="","",+F92-H92)</f>
        <v>627.9595830000035</v>
      </c>
      <c r="J92" s="23">
        <f t="shared" si="13"/>
        <v>0.0579954627962919</v>
      </c>
      <c r="K92" s="23">
        <f t="shared" si="14"/>
        <v>0.04859637585388654</v>
      </c>
      <c r="L92"/>
      <c r="M92" s="17"/>
      <c r="Z92" s="2"/>
      <c r="AA92" s="2"/>
      <c r="AB92" s="2"/>
    </row>
    <row r="93" spans="3:28" s="16" customFormat="1" ht="12.75">
      <c r="C93" s="24"/>
      <c r="D93" s="25"/>
      <c r="E93" s="22"/>
      <c r="F93" s="22"/>
      <c r="G93" s="22"/>
      <c r="H93" s="22"/>
      <c r="I93" s="25"/>
      <c r="J93" s="26"/>
      <c r="K93" s="26"/>
      <c r="L93"/>
      <c r="M93" s="17"/>
      <c r="Z93" s="2"/>
      <c r="AA93" s="2"/>
      <c r="AB93" s="2"/>
    </row>
    <row r="94" spans="3:11" ht="15.75" customHeight="1">
      <c r="C94" s="21" t="s">
        <v>3</v>
      </c>
      <c r="D94" s="8" t="str">
        <f>IF(Indice_index!$Z$1=1,"janeiro","January")</f>
        <v>janeiro</v>
      </c>
      <c r="E94" s="22">
        <v>1835.41508</v>
      </c>
      <c r="F94" s="22">
        <v>1844.469867</v>
      </c>
      <c r="G94" s="22">
        <v>1407.262301</v>
      </c>
      <c r="H94" s="22">
        <v>1377.85207</v>
      </c>
      <c r="I94" s="8">
        <f aca="true" t="shared" si="15" ref="I94:I102">IF(F94="","",+F94-H94)</f>
        <v>466.6177970000001</v>
      </c>
      <c r="J94" s="23">
        <f aca="true" t="shared" si="16" ref="J94:J102">IF(F94="","",IF(E94=0,"-",(F94-E94)/E94))</f>
        <v>0.004933372891324415</v>
      </c>
      <c r="K94" s="23">
        <f aca="true" t="shared" si="17" ref="K94:K102">IF(H94="","",IF(G94=0,"-",(H94-G94)/G94))</f>
        <v>-0.02089889779545801</v>
      </c>
    </row>
    <row r="95" spans="3:11" ht="15.75" customHeight="1">
      <c r="C95" s="25"/>
      <c r="D95" s="8" t="str">
        <f>IF(Indice_index!$Z$1=1,"fevereiro","February")</f>
        <v>fevereiro</v>
      </c>
      <c r="E95" s="22">
        <v>3813.17371</v>
      </c>
      <c r="F95" s="22">
        <v>3594.762969</v>
      </c>
      <c r="G95" s="22">
        <v>3086.371972</v>
      </c>
      <c r="H95" s="22">
        <v>2992.437466</v>
      </c>
      <c r="I95" s="8">
        <f t="shared" si="15"/>
        <v>602.325503</v>
      </c>
      <c r="J95" s="23">
        <f t="shared" si="16"/>
        <v>-0.05727794158110886</v>
      </c>
      <c r="K95" s="23">
        <f t="shared" si="17"/>
        <v>-0.030435251114313857</v>
      </c>
    </row>
    <row r="96" spans="4:11" ht="15.75" customHeight="1">
      <c r="D96" s="8" t="str">
        <f>IF(Indice_index!$Z$1=1,"março","March")</f>
        <v>março</v>
      </c>
      <c r="E96" s="22">
        <v>5678.1</v>
      </c>
      <c r="F96" s="22">
        <v>5381</v>
      </c>
      <c r="G96" s="22">
        <v>4856.2</v>
      </c>
      <c r="H96" s="22">
        <v>4645.9</v>
      </c>
      <c r="I96" s="8">
        <f t="shared" si="15"/>
        <v>735.1000000000004</v>
      </c>
      <c r="J96" s="23">
        <f t="shared" si="16"/>
        <v>-0.05232384072136812</v>
      </c>
      <c r="K96" s="23">
        <f t="shared" si="17"/>
        <v>-0.043305465178534695</v>
      </c>
    </row>
    <row r="97" spans="4:11" ht="15.75" customHeight="1">
      <c r="D97" s="8" t="str">
        <f>IF(Indice_index!$Z$1=1,"abril","April")</f>
        <v>abril</v>
      </c>
      <c r="E97" s="22">
        <v>7513.003163</v>
      </c>
      <c r="F97" s="22">
        <v>7107.2688610000005</v>
      </c>
      <c r="G97" s="22">
        <v>6710.554073</v>
      </c>
      <c r="H97" s="22">
        <v>6297.69404</v>
      </c>
      <c r="I97" s="8">
        <f t="shared" si="15"/>
        <v>809.5748210000002</v>
      </c>
      <c r="J97" s="23">
        <f t="shared" si="16"/>
        <v>-0.05400427674490516</v>
      </c>
      <c r="K97" s="23">
        <f t="shared" si="17"/>
        <v>-0.061523985725880304</v>
      </c>
    </row>
    <row r="98" spans="4:11" ht="15.75" customHeight="1">
      <c r="D98" s="8" t="str">
        <f>IF(Indice_index!$Z$1=1,"maio","May")</f>
        <v>maio</v>
      </c>
      <c r="E98" s="28">
        <v>9433.386489</v>
      </c>
      <c r="F98" s="28">
        <v>8956.315493999999</v>
      </c>
      <c r="G98" s="28">
        <v>8522.363322000001</v>
      </c>
      <c r="H98" s="28">
        <v>7920.801589000001</v>
      </c>
      <c r="I98" s="8">
        <f>IF(F98="","",+F98-H98)</f>
        <v>1035.513904999998</v>
      </c>
      <c r="J98" s="23">
        <f t="shared" si="16"/>
        <v>-0.05057261202605242</v>
      </c>
      <c r="K98" s="23">
        <f t="shared" si="17"/>
        <v>-0.07058625762258958</v>
      </c>
    </row>
    <row r="99" spans="4:11" ht="15.75" customHeight="1">
      <c r="D99" s="8" t="str">
        <f>IF(Indice_index!$Z$1=1,"junho","June")</f>
        <v>junho</v>
      </c>
      <c r="E99" s="13">
        <v>11602.694808000002</v>
      </c>
      <c r="F99" s="13">
        <v>11011.724913000002</v>
      </c>
      <c r="G99" s="13">
        <v>10876.04931</v>
      </c>
      <c r="H99" s="30">
        <v>10168.964720000002</v>
      </c>
      <c r="I99" s="8">
        <f>IF(F99="","",+F99-H99)</f>
        <v>842.7601930000001</v>
      </c>
      <c r="J99" s="23">
        <f>IF(F99="","",IF(E99=0,"-",(F99-E99)/E99))</f>
        <v>-0.05093384810850401</v>
      </c>
      <c r="K99" s="23">
        <f>IF(H99="","",IF(G99=0,"-",(H99-G99)/G99))</f>
        <v>-0.06501299965143303</v>
      </c>
    </row>
    <row r="100" spans="4:11" ht="15.75" customHeight="1">
      <c r="D100" s="8" t="str">
        <f>IF(Indice_index!$Z$1=1,"julho","July")</f>
        <v>julho</v>
      </c>
      <c r="E100" s="22">
        <v>14190.901144</v>
      </c>
      <c r="F100" s="28">
        <v>13871.356334000002</v>
      </c>
      <c r="G100" s="28">
        <v>13228.556942000001</v>
      </c>
      <c r="H100" s="28">
        <v>12608.483100000001</v>
      </c>
      <c r="I100" s="8">
        <f>IF(F100="","",+F100-H100)</f>
        <v>1262.8732340000006</v>
      </c>
      <c r="J100" s="23">
        <f>IF(F100="","",IF(E100=0,"-",(F100-E100)/E100))</f>
        <v>-0.022517584102479858</v>
      </c>
      <c r="K100" s="23">
        <f>IF(H100="","",IF(G100=0,"-",(H100-G100)/G100))</f>
        <v>-0.046873883880054715</v>
      </c>
    </row>
    <row r="101" spans="4:11" ht="15.75" customHeight="1">
      <c r="D101" s="8" t="str">
        <f>IF(Indice_index!$Z$1=1,"agosto","August")</f>
        <v>agosto</v>
      </c>
      <c r="E101" s="22">
        <v>16000.504284999997</v>
      </c>
      <c r="F101" s="22">
        <v>15618.153325000001</v>
      </c>
      <c r="G101" s="22">
        <v>15174.946141</v>
      </c>
      <c r="H101" s="22">
        <v>14468.574114000001</v>
      </c>
      <c r="I101" s="8">
        <f t="shared" si="15"/>
        <v>1149.5792110000002</v>
      </c>
      <c r="J101" s="23">
        <f>IF(F101="","",IF(E101=0,"-",(F101-E101)/E101))</f>
        <v>-0.023896181844620917</v>
      </c>
      <c r="K101" s="23">
        <f t="shared" si="17"/>
        <v>-0.04654856896602144</v>
      </c>
    </row>
    <row r="102" spans="4:11" ht="15.75" customHeight="1">
      <c r="D102" s="8" t="str">
        <f>IF(Indice_index!$Z$1=1,"setembro","September")</f>
        <v>setembro</v>
      </c>
      <c r="E102" s="22">
        <v>17892.987549</v>
      </c>
      <c r="F102" s="22">
        <v>17486.594544999996</v>
      </c>
      <c r="G102" s="22">
        <v>17078.428346</v>
      </c>
      <c r="H102" s="22">
        <v>16469.688021</v>
      </c>
      <c r="I102" s="8">
        <f t="shared" si="15"/>
        <v>1016.9065239999945</v>
      </c>
      <c r="J102" s="23">
        <f t="shared" si="16"/>
        <v>-0.02271241752597751</v>
      </c>
      <c r="K102" s="23">
        <f t="shared" si="17"/>
        <v>-0.035643814095023214</v>
      </c>
    </row>
    <row r="103" spans="4:11" ht="15.75" customHeight="1">
      <c r="D103" s="8" t="str">
        <f>IF(Indice_index!$Z$1=1,"outubro","October")</f>
        <v>outubro</v>
      </c>
      <c r="E103" s="28">
        <v>19940.252985000003</v>
      </c>
      <c r="F103" s="28">
        <v>19268.191201</v>
      </c>
      <c r="G103" s="28">
        <v>19038.416757</v>
      </c>
      <c r="H103" s="22">
        <v>18333.419876</v>
      </c>
      <c r="I103" s="8">
        <f>IF(F103="","",+F103-H103)</f>
        <v>934.7713250000015</v>
      </c>
      <c r="J103" s="23">
        <f>IF(F103="","",IF(E103=0,"-",(F103-E103)/E103))</f>
        <v>-0.03370377419511968</v>
      </c>
      <c r="K103" s="23">
        <f>IF(H103="","",IF(G103=0,"-",(H103-G103)/G103))</f>
        <v>-0.037030226304967696</v>
      </c>
    </row>
    <row r="104" spans="4:11" ht="15.75" customHeight="1">
      <c r="D104" s="8" t="str">
        <f>IF(Indice_index!$Z$1=1,"novembro","November")</f>
        <v>novembro</v>
      </c>
      <c r="E104" s="28">
        <v>22226.848056000003</v>
      </c>
      <c r="F104" s="28">
        <v>21717.41272</v>
      </c>
      <c r="G104" s="28">
        <v>21736.657134999998</v>
      </c>
      <c r="H104" s="22">
        <v>21250.73497</v>
      </c>
      <c r="I104" s="8">
        <f>IF(F104="","",+F104-H104)</f>
        <v>466.6777499999989</v>
      </c>
      <c r="J104" s="23">
        <f>IF(F104="","",IF(E104=0,"-",(F104-E104)/E104))</f>
        <v>-0.022919819072703983</v>
      </c>
      <c r="K104" s="23">
        <f>IF(H104="","",IF(G104=0,"-",(H104-G104)/G104))</f>
        <v>-0.02235496295415051</v>
      </c>
    </row>
    <row r="105" spans="4:11" ht="15.75" customHeight="1">
      <c r="D105" s="25" t="str">
        <f>IF(Indice_index!$Z$1=1,"dezembro","December")</f>
        <v>dezembro</v>
      </c>
      <c r="E105" s="22">
        <v>25644.998104</v>
      </c>
      <c r="F105" s="22">
        <v>26526.155274000004</v>
      </c>
      <c r="G105" s="22">
        <v>25017.038520999995</v>
      </c>
      <c r="H105" s="22">
        <v>24431.469589999997</v>
      </c>
      <c r="I105" s="8">
        <f>IF(F105="","",+F105-H105)</f>
        <v>2094.6856840000073</v>
      </c>
      <c r="J105" s="23">
        <f>IF(F105="","",IF(E105=0,"-",(F105-E105)/E105))</f>
        <v>0.034359806400709646</v>
      </c>
      <c r="K105" s="23">
        <f>IF(H105="","",IF(G105=0,"-",(H105-G105)/G105))</f>
        <v>-0.023406804546767405</v>
      </c>
    </row>
    <row r="106" spans="3:9" ht="12.75">
      <c r="C106" s="25"/>
      <c r="D106" s="25"/>
      <c r="E106" s="29"/>
      <c r="F106" s="29"/>
      <c r="G106" s="13"/>
      <c r="H106" s="13"/>
      <c r="I106" s="25"/>
    </row>
    <row r="107" spans="3:11" ht="15.75" customHeight="1">
      <c r="C107" s="21" t="s">
        <v>4</v>
      </c>
      <c r="D107" s="8" t="str">
        <f>IF(Indice_index!$Z$1=1,"janeiro","January")</f>
        <v>janeiro</v>
      </c>
      <c r="E107" s="13">
        <v>1844.508974</v>
      </c>
      <c r="F107" s="13">
        <v>1971.9937710000002</v>
      </c>
      <c r="G107" s="13">
        <v>1377.85207</v>
      </c>
      <c r="H107" s="30">
        <v>1466.6785690000002</v>
      </c>
      <c r="I107" s="8">
        <f aca="true" t="shared" si="18" ref="I107:I131">IF(F107="","",+F107-H107)</f>
        <v>505.315202</v>
      </c>
      <c r="J107" s="23">
        <f aca="true" t="shared" si="19" ref="J107:J131">IF(F107="","",IF(E107=0,"-",(F107-E107)/E107))</f>
        <v>0.06911584535343121</v>
      </c>
      <c r="K107" s="23">
        <f aca="true" t="shared" si="20" ref="K107:K131">IF(H107="","",IF(G107=0,"-",(H107-G107)/G107))</f>
        <v>0.06446736985342719</v>
      </c>
    </row>
    <row r="108" spans="3:11" ht="15.75" customHeight="1">
      <c r="C108" s="21"/>
      <c r="D108" s="8" t="str">
        <f>IF(Indice_index!$Z$1=1,"fevereiro","February")</f>
        <v>fevereiro</v>
      </c>
      <c r="E108" s="13">
        <v>3594.8328099999994</v>
      </c>
      <c r="F108" s="13">
        <v>3835.596807</v>
      </c>
      <c r="G108" s="13">
        <v>2992.4374660000003</v>
      </c>
      <c r="H108" s="30">
        <v>3102.8118710000003</v>
      </c>
      <c r="I108" s="8">
        <f t="shared" si="18"/>
        <v>732.7849359999996</v>
      </c>
      <c r="J108" s="23">
        <f t="shared" si="19"/>
        <v>0.06697501934728378</v>
      </c>
      <c r="K108" s="23">
        <f t="shared" si="20"/>
        <v>0.036884448298108566</v>
      </c>
    </row>
    <row r="109" spans="3:11" ht="15.75" customHeight="1">
      <c r="C109" s="21"/>
      <c r="D109" s="8" t="str">
        <f>IF(Indice_index!$Z$1=1,"março","March")</f>
        <v>março</v>
      </c>
      <c r="E109" s="13">
        <v>5381.148502</v>
      </c>
      <c r="F109" s="13">
        <v>5699.695184</v>
      </c>
      <c r="G109" s="13">
        <v>4645.884901</v>
      </c>
      <c r="H109" s="30">
        <v>4828.711761</v>
      </c>
      <c r="I109" s="8">
        <f t="shared" si="18"/>
        <v>870.9834230000006</v>
      </c>
      <c r="J109" s="23">
        <f t="shared" si="19"/>
        <v>0.05919678334125263</v>
      </c>
      <c r="K109" s="23">
        <f t="shared" si="20"/>
        <v>0.039352429923661426</v>
      </c>
    </row>
    <row r="110" spans="3:11" ht="15.75" customHeight="1">
      <c r="C110" s="21"/>
      <c r="D110" s="8" t="str">
        <f>IF(Indice_index!$Z$1=1,"abril","April")</f>
        <v>abril</v>
      </c>
      <c r="E110" s="13">
        <v>7107.449326</v>
      </c>
      <c r="F110" s="13">
        <v>7495.931771</v>
      </c>
      <c r="G110" s="13">
        <v>6297.69404</v>
      </c>
      <c r="H110" s="13">
        <v>6504.9604389999995</v>
      </c>
      <c r="I110" s="8">
        <f t="shared" si="18"/>
        <v>990.9713320000001</v>
      </c>
      <c r="J110" s="23">
        <f t="shared" si="19"/>
        <v>0.054658489590475014</v>
      </c>
      <c r="K110" s="23">
        <f t="shared" si="20"/>
        <v>0.032911474848339756</v>
      </c>
    </row>
    <row r="111" spans="3:11" ht="15.75" customHeight="1">
      <c r="C111" s="21"/>
      <c r="D111" s="8" t="str">
        <f>IF(Indice_index!$Z$1=1,"maio","May")</f>
        <v>maio</v>
      </c>
      <c r="E111" s="13">
        <v>8956.315493999999</v>
      </c>
      <c r="F111" s="13">
        <v>9525.497484000001</v>
      </c>
      <c r="G111" s="13">
        <v>7920.801589000001</v>
      </c>
      <c r="H111" s="13">
        <v>8447.4632</v>
      </c>
      <c r="I111" s="8">
        <f t="shared" si="18"/>
        <v>1078.0342840000012</v>
      </c>
      <c r="J111" s="23">
        <f t="shared" si="19"/>
        <v>0.06355090889566233</v>
      </c>
      <c r="K111" s="23">
        <f t="shared" si="20"/>
        <v>0.06649094855896907</v>
      </c>
    </row>
    <row r="112" spans="3:11" ht="15.75" customHeight="1">
      <c r="C112" s="21"/>
      <c r="D112" s="8" t="str">
        <f>IF(Indice_index!$Z$1=1,"junho","June")</f>
        <v>junho</v>
      </c>
      <c r="E112" s="13">
        <v>11011.724913000002</v>
      </c>
      <c r="F112" s="13">
        <v>11567.65807</v>
      </c>
      <c r="G112" s="13">
        <v>10168.964720000002</v>
      </c>
      <c r="H112" s="13">
        <v>10461.230002</v>
      </c>
      <c r="I112" s="8">
        <f>IF(F112="","",+F112-H112)</f>
        <v>1106.4280679999993</v>
      </c>
      <c r="J112" s="23">
        <f>IF(F112="","",IF(E112=0,"-",(F112-E112)/E112))</f>
        <v>0.05048556528538824</v>
      </c>
      <c r="K112" s="23">
        <f>IF(H112="","",IF(G112=0,"-",(H112-G112)/G112))</f>
        <v>0.028740908248524086</v>
      </c>
    </row>
    <row r="113" spans="3:13" ht="15.75" customHeight="1">
      <c r="C113" s="25"/>
      <c r="D113" s="8" t="str">
        <f>IF(Indice_index!$Z$1=1,"julho","July")</f>
        <v>julho</v>
      </c>
      <c r="E113" s="13">
        <v>13871.356334000002</v>
      </c>
      <c r="F113" s="13">
        <v>13788.472326</v>
      </c>
      <c r="G113" s="13">
        <v>12608.483100000001</v>
      </c>
      <c r="H113" s="13">
        <v>12804.140156446</v>
      </c>
      <c r="I113" s="8">
        <f t="shared" si="18"/>
        <v>984.3321695539998</v>
      </c>
      <c r="J113" s="23">
        <f t="shared" si="19"/>
        <v>-0.005975191322628358</v>
      </c>
      <c r="K113" s="23">
        <f t="shared" si="20"/>
        <v>0.015517890208854546</v>
      </c>
      <c r="M113" s="31"/>
    </row>
    <row r="114" spans="3:13" ht="15.75" customHeight="1">
      <c r="C114" s="25"/>
      <c r="D114" s="8" t="str">
        <f>IF(Indice_index!$Z$1=1,"agosto","August")</f>
        <v>agosto</v>
      </c>
      <c r="E114" s="13">
        <v>15618.153325000001</v>
      </c>
      <c r="F114" s="13">
        <v>15859.084460999999</v>
      </c>
      <c r="G114" s="13">
        <v>14468.574114000001</v>
      </c>
      <c r="H114" s="13">
        <v>14665.161736000002</v>
      </c>
      <c r="I114" s="8">
        <f t="shared" si="18"/>
        <v>1193.9227249999967</v>
      </c>
      <c r="J114" s="23">
        <f t="shared" si="19"/>
        <v>0.015426352334135342</v>
      </c>
      <c r="K114" s="23">
        <f t="shared" si="20"/>
        <v>0.013587214638502623</v>
      </c>
      <c r="M114" s="31"/>
    </row>
    <row r="115" spans="3:13" ht="15.75" customHeight="1">
      <c r="C115" s="25"/>
      <c r="D115" s="8" t="str">
        <f>IF(Indice_index!$Z$1=1,"setembro","September")</f>
        <v>setembro</v>
      </c>
      <c r="E115" s="13">
        <v>17486.594544999996</v>
      </c>
      <c r="F115" s="13">
        <v>17587.220332999997</v>
      </c>
      <c r="G115" s="13">
        <v>16469.688021</v>
      </c>
      <c r="H115" s="13">
        <v>16429.717404</v>
      </c>
      <c r="I115" s="8">
        <f t="shared" si="18"/>
        <v>1157.5029289999984</v>
      </c>
      <c r="J115" s="23">
        <f t="shared" si="19"/>
        <v>0.005754453089253647</v>
      </c>
      <c r="K115" s="23">
        <f t="shared" si="20"/>
        <v>-0.002426920106139069</v>
      </c>
      <c r="M115" s="31"/>
    </row>
    <row r="116" spans="3:13" ht="15.75" customHeight="1">
      <c r="C116" s="25"/>
      <c r="D116" s="8" t="str">
        <f>IF(Indice_index!$Z$1=1,"outubro","October")</f>
        <v>outubro</v>
      </c>
      <c r="E116" s="8">
        <v>19268.191201</v>
      </c>
      <c r="F116" s="8">
        <v>19633.815931999998</v>
      </c>
      <c r="G116" s="8">
        <v>18333.419876</v>
      </c>
      <c r="H116" s="12">
        <v>18321.163288000003</v>
      </c>
      <c r="I116" s="8">
        <f t="shared" si="18"/>
        <v>1312.6526439999943</v>
      </c>
      <c r="J116" s="23">
        <f t="shared" si="19"/>
        <v>0.01897556066295526</v>
      </c>
      <c r="K116" s="23">
        <f t="shared" si="20"/>
        <v>-0.0006685380077964323</v>
      </c>
      <c r="M116" s="31"/>
    </row>
    <row r="117" spans="3:13" ht="15.75" customHeight="1">
      <c r="C117" s="25"/>
      <c r="D117" s="8" t="str">
        <f>IF(Indice_index!$Z$1=1,"novembro","November")</f>
        <v>novembro</v>
      </c>
      <c r="E117" s="8">
        <v>21717.41272</v>
      </c>
      <c r="F117" s="8">
        <v>21972.912554000002</v>
      </c>
      <c r="G117" s="8">
        <v>21250.73497</v>
      </c>
      <c r="H117" s="12">
        <v>20931.754814999997</v>
      </c>
      <c r="I117" s="8">
        <f t="shared" si="18"/>
        <v>1041.1577390000057</v>
      </c>
      <c r="J117" s="23">
        <f t="shared" si="19"/>
        <v>0.01176474551983382</v>
      </c>
      <c r="K117" s="23">
        <f t="shared" si="20"/>
        <v>-0.015010311664528972</v>
      </c>
      <c r="M117" s="31"/>
    </row>
    <row r="118" spans="3:28" s="33" customFormat="1" ht="15.75" customHeight="1">
      <c r="C118" s="34"/>
      <c r="D118" s="33" t="str">
        <f>IF(Indice_index!$Z$1=1,"dezembro","December")</f>
        <v>dezembro</v>
      </c>
      <c r="E118" s="33">
        <v>26526.155274000004</v>
      </c>
      <c r="F118" s="33">
        <v>24429.838828</v>
      </c>
      <c r="G118" s="33">
        <v>24431.469589999997</v>
      </c>
      <c r="H118" s="33">
        <v>23527.296380000003</v>
      </c>
      <c r="I118" s="33">
        <f t="shared" si="18"/>
        <v>902.5424479999965</v>
      </c>
      <c r="J118" s="40">
        <f t="shared" si="19"/>
        <v>-0.0790282807420169</v>
      </c>
      <c r="K118" s="40">
        <f t="shared" si="20"/>
        <v>-0.037008547794033606</v>
      </c>
      <c r="L118"/>
      <c r="M118" s="41"/>
      <c r="Z118" s="42"/>
      <c r="AA118" s="42"/>
      <c r="AB118" s="42"/>
    </row>
    <row r="119" spans="3:28" s="33" customFormat="1" ht="12.75">
      <c r="C119" s="34"/>
      <c r="J119" s="40"/>
      <c r="K119" s="40"/>
      <c r="L119"/>
      <c r="M119" s="41"/>
      <c r="Z119" s="42"/>
      <c r="AA119" s="42"/>
      <c r="AB119" s="42"/>
    </row>
    <row r="120" spans="3:28" s="33" customFormat="1" ht="15.75" customHeight="1">
      <c r="C120" s="21" t="s">
        <v>5</v>
      </c>
      <c r="D120" s="33" t="str">
        <f>IF(Indice_index!$Z$1=1,"janeiro","January")</f>
        <v>janeiro</v>
      </c>
      <c r="E120" s="33">
        <v>1978.582037</v>
      </c>
      <c r="F120" s="33">
        <v>1803.2299170000001</v>
      </c>
      <c r="G120" s="33">
        <v>1473.427267</v>
      </c>
      <c r="H120" s="33">
        <v>1406.118092</v>
      </c>
      <c r="I120" s="33">
        <f t="shared" si="18"/>
        <v>397.1118250000002</v>
      </c>
      <c r="J120" s="40">
        <f t="shared" si="19"/>
        <v>-0.08862514503865365</v>
      </c>
      <c r="K120" s="40">
        <f t="shared" si="20"/>
        <v>-0.04568204790796782</v>
      </c>
      <c r="L120"/>
      <c r="M120" s="41"/>
      <c r="Z120" s="42"/>
      <c r="AA120" s="42"/>
      <c r="AB120" s="42"/>
    </row>
    <row r="121" spans="3:28" s="33" customFormat="1" ht="15.75" customHeight="1">
      <c r="C121" s="21"/>
      <c r="D121" s="33" t="str">
        <f>IF(Indice_index!$Z$1=1,"fevereiro","February")</f>
        <v>fevereiro</v>
      </c>
      <c r="E121" s="33">
        <v>3835.940316</v>
      </c>
      <c r="F121" s="33">
        <v>3849.3922130000005</v>
      </c>
      <c r="G121" s="33">
        <v>3092.286765</v>
      </c>
      <c r="H121" s="33">
        <v>3014.3772050000002</v>
      </c>
      <c r="I121" s="33">
        <f t="shared" si="18"/>
        <v>835.0150080000003</v>
      </c>
      <c r="J121" s="40">
        <f t="shared" si="19"/>
        <v>0.003506805604845175</v>
      </c>
      <c r="K121" s="40">
        <f t="shared" si="20"/>
        <v>-0.025194804337624103</v>
      </c>
      <c r="L121"/>
      <c r="M121" s="41"/>
      <c r="Z121" s="42"/>
      <c r="AA121" s="42"/>
      <c r="AB121" s="42"/>
    </row>
    <row r="122" spans="3:28" s="33" customFormat="1" ht="15.75" customHeight="1">
      <c r="C122" s="21"/>
      <c r="D122" s="33" t="str">
        <f>IF(Indice_index!$Z$1=1,"março","March")</f>
        <v>março</v>
      </c>
      <c r="E122" s="33">
        <v>5699.695184</v>
      </c>
      <c r="F122" s="33">
        <v>5621.850813999999</v>
      </c>
      <c r="G122" s="33">
        <v>4828.711761</v>
      </c>
      <c r="H122" s="33">
        <v>4677.618352</v>
      </c>
      <c r="I122" s="33">
        <f t="shared" si="18"/>
        <v>944.232461999999</v>
      </c>
      <c r="J122" s="40">
        <f t="shared" si="19"/>
        <v>-0.013657637380069535</v>
      </c>
      <c r="K122" s="40">
        <f t="shared" si="20"/>
        <v>-0.03129062501107097</v>
      </c>
      <c r="L122"/>
      <c r="M122" s="41"/>
      <c r="Z122" s="42"/>
      <c r="AA122" s="42"/>
      <c r="AB122" s="42"/>
    </row>
    <row r="123" spans="3:28" s="33" customFormat="1" ht="15.75" customHeight="1">
      <c r="C123" s="21"/>
      <c r="D123" s="33" t="str">
        <f>IF(Indice_index!$Z$1=1,"abril","April")</f>
        <v>abril</v>
      </c>
      <c r="E123" s="33">
        <v>7528.97523</v>
      </c>
      <c r="F123" s="33">
        <v>7383.580848</v>
      </c>
      <c r="G123" s="33">
        <v>6534.331099999999</v>
      </c>
      <c r="H123" s="33">
        <v>6340.601100000001</v>
      </c>
      <c r="I123" s="33">
        <f t="shared" si="18"/>
        <v>1042.9797479999988</v>
      </c>
      <c r="J123" s="40">
        <f t="shared" si="19"/>
        <v>-0.0193113109763811</v>
      </c>
      <c r="K123" s="40">
        <f t="shared" si="20"/>
        <v>-0.029648023192457858</v>
      </c>
      <c r="L123"/>
      <c r="M123" s="41"/>
      <c r="Z123" s="42"/>
      <c r="AA123" s="42"/>
      <c r="AB123" s="42"/>
    </row>
    <row r="124" spans="3:28" s="33" customFormat="1" ht="15.75" customHeight="1">
      <c r="C124" s="21"/>
      <c r="D124" s="33" t="str">
        <f>IF(Indice_index!$Z$1=1,"maio","May")</f>
        <v>maio</v>
      </c>
      <c r="E124" s="33">
        <v>9532.029034</v>
      </c>
      <c r="F124" s="33">
        <v>9272.32808</v>
      </c>
      <c r="G124" s="33">
        <v>8450.917320999999</v>
      </c>
      <c r="H124" s="33">
        <v>8109.266911</v>
      </c>
      <c r="I124" s="33">
        <f t="shared" si="18"/>
        <v>1163.0611689999996</v>
      </c>
      <c r="J124" s="40">
        <f t="shared" si="19"/>
        <v>-0.027245086337197147</v>
      </c>
      <c r="K124" s="40">
        <f t="shared" si="20"/>
        <v>-0.04042761241445582</v>
      </c>
      <c r="L124"/>
      <c r="M124" s="41"/>
      <c r="Z124" s="42"/>
      <c r="AA124" s="42"/>
      <c r="AB124" s="42"/>
    </row>
    <row r="125" spans="3:28" s="33" customFormat="1" ht="15.75" customHeight="1">
      <c r="C125" s="21"/>
      <c r="D125" s="33" t="str">
        <f>IF(Indice_index!$Z$1=1,"junho","June")</f>
        <v>junho</v>
      </c>
      <c r="E125" s="33">
        <v>11584.029534999998</v>
      </c>
      <c r="F125" s="33">
        <v>11647.629669000002</v>
      </c>
      <c r="G125" s="33">
        <v>10475.639538</v>
      </c>
      <c r="H125" s="33">
        <v>9936.880449</v>
      </c>
      <c r="I125" s="33">
        <f t="shared" si="18"/>
        <v>1710.7492200000015</v>
      </c>
      <c r="J125" s="40">
        <f t="shared" si="19"/>
        <v>0.00549032906104412</v>
      </c>
      <c r="K125" s="40">
        <f t="shared" si="20"/>
        <v>-0.05142970861546642</v>
      </c>
      <c r="L125"/>
      <c r="M125" s="41"/>
      <c r="Z125" s="42"/>
      <c r="AA125" s="42"/>
      <c r="AB125" s="42"/>
    </row>
    <row r="126" spans="3:28" s="33" customFormat="1" ht="15.75" customHeight="1">
      <c r="C126" s="21"/>
      <c r="D126" s="33" t="str">
        <f>IF(Indice_index!$Z$1=1,"julho","July")</f>
        <v>julho</v>
      </c>
      <c r="E126" s="33">
        <v>13807.840927000001</v>
      </c>
      <c r="F126" s="33">
        <v>13392.037001000008</v>
      </c>
      <c r="G126" s="33">
        <v>12820.684417000002</v>
      </c>
      <c r="H126" s="33">
        <v>12338.681549000004</v>
      </c>
      <c r="I126" s="33">
        <f t="shared" si="18"/>
        <v>1053.3554520000034</v>
      </c>
      <c r="J126" s="40">
        <f t="shared" si="19"/>
        <v>-0.030113609231036675</v>
      </c>
      <c r="K126" s="40">
        <f t="shared" si="20"/>
        <v>-0.037595720503101254</v>
      </c>
      <c r="L126"/>
      <c r="M126" s="41"/>
      <c r="Z126" s="42"/>
      <c r="AA126" s="42"/>
      <c r="AB126" s="42"/>
    </row>
    <row r="127" spans="3:28" s="33" customFormat="1" ht="15.75" customHeight="1">
      <c r="C127" s="21"/>
      <c r="D127" s="13" t="str">
        <f>IF(Indice_index!$Z$1=1,"agosto","August")</f>
        <v>agosto</v>
      </c>
      <c r="E127" s="33">
        <v>15865.183721</v>
      </c>
      <c r="F127" s="33">
        <v>16057.946268999995</v>
      </c>
      <c r="G127" s="33">
        <v>14674.003821</v>
      </c>
      <c r="H127" s="33">
        <v>14932.196591000002</v>
      </c>
      <c r="I127" s="33">
        <f t="shared" si="18"/>
        <v>1125.7496779999929</v>
      </c>
      <c r="J127" s="40">
        <f t="shared" si="19"/>
        <v>0.012150035662356964</v>
      </c>
      <c r="K127" s="40">
        <f t="shared" si="20"/>
        <v>0.01759525029089206</v>
      </c>
      <c r="L127"/>
      <c r="M127" s="41"/>
      <c r="Z127" s="42"/>
      <c r="AA127" s="42"/>
      <c r="AB127" s="42"/>
    </row>
    <row r="128" spans="3:28" s="33" customFormat="1" ht="15.75" customHeight="1">
      <c r="C128" s="21"/>
      <c r="D128" s="13" t="str">
        <f>IF(Indice_index!$Z$1=1,"setembro","September")</f>
        <v>setembro</v>
      </c>
      <c r="E128" s="33">
        <v>17594.074724</v>
      </c>
      <c r="F128" s="33">
        <v>17706.042662</v>
      </c>
      <c r="G128" s="33">
        <v>16439.616589</v>
      </c>
      <c r="H128" s="33">
        <v>16710.011814</v>
      </c>
      <c r="I128" s="33">
        <f t="shared" si="18"/>
        <v>996.0308479999985</v>
      </c>
      <c r="J128" s="40">
        <f t="shared" si="19"/>
        <v>0.006363957170607366</v>
      </c>
      <c r="K128" s="40">
        <f t="shared" si="20"/>
        <v>0.01644778170683894</v>
      </c>
      <c r="L128"/>
      <c r="M128" s="41"/>
      <c r="Z128" s="42"/>
      <c r="AA128" s="42"/>
      <c r="AB128" s="42"/>
    </row>
    <row r="129" spans="3:28" s="33" customFormat="1" ht="15.75" customHeight="1">
      <c r="C129" s="21"/>
      <c r="D129" s="13" t="str">
        <f>IF(Indice_index!$Z$1=1,"outubro","October")</f>
        <v>outubro</v>
      </c>
      <c r="E129" s="33">
        <v>19641.286084999996</v>
      </c>
      <c r="F129" s="33">
        <v>19587.150177</v>
      </c>
      <c r="G129" s="33">
        <v>18332.111044</v>
      </c>
      <c r="H129" s="33">
        <v>18536.470005999996</v>
      </c>
      <c r="I129" s="33">
        <f t="shared" si="18"/>
        <v>1050.6801710000036</v>
      </c>
      <c r="J129" s="40">
        <f t="shared" si="19"/>
        <v>-0.0027562303082250823</v>
      </c>
      <c r="K129" s="40">
        <f t="shared" si="20"/>
        <v>0.011147595686579716</v>
      </c>
      <c r="L129"/>
      <c r="M129" s="41"/>
      <c r="Z129" s="42"/>
      <c r="AA129" s="42"/>
      <c r="AB129" s="42"/>
    </row>
    <row r="130" spans="3:28" s="33" customFormat="1" ht="15.75" customHeight="1">
      <c r="C130" s="21"/>
      <c r="D130" s="13" t="str">
        <f>IF(Indice_index!$Z$1=1,"novembro","November")</f>
        <v>novembro</v>
      </c>
      <c r="E130" s="33">
        <v>21980.142507999997</v>
      </c>
      <c r="F130" s="33">
        <v>21392.188301</v>
      </c>
      <c r="G130" s="33">
        <v>20937.679405000003</v>
      </c>
      <c r="H130" s="33">
        <v>20280.184905000006</v>
      </c>
      <c r="I130" s="33">
        <f t="shared" si="18"/>
        <v>1112.0033959999928</v>
      </c>
      <c r="J130" s="40">
        <f t="shared" si="19"/>
        <v>-0.026749335532561005</v>
      </c>
      <c r="K130" s="40">
        <f t="shared" si="20"/>
        <v>-0.031402453313091834</v>
      </c>
      <c r="L130"/>
      <c r="M130" s="41"/>
      <c r="Z130" s="42"/>
      <c r="AA130" s="42"/>
      <c r="AB130" s="42"/>
    </row>
    <row r="131" spans="3:28" s="33" customFormat="1" ht="12.75">
      <c r="C131" s="21"/>
      <c r="D131" s="33" t="str">
        <f>IF(Indice_index!$Z$1=1,"dezembro","December")</f>
        <v>dezembro</v>
      </c>
      <c r="E131" s="33">
        <v>24552.122698</v>
      </c>
      <c r="F131" s="33">
        <v>24789.539256999997</v>
      </c>
      <c r="G131" s="33">
        <v>24006.257606</v>
      </c>
      <c r="H131" s="33">
        <v>22941.152934999995</v>
      </c>
      <c r="I131" s="33">
        <f t="shared" si="18"/>
        <v>1848.386322000002</v>
      </c>
      <c r="J131" s="35">
        <f t="shared" si="19"/>
        <v>0.009669899499945775</v>
      </c>
      <c r="K131" s="35">
        <f t="shared" si="20"/>
        <v>-0.04436779311798262</v>
      </c>
      <c r="L131"/>
      <c r="M131" s="41"/>
      <c r="Z131" s="42"/>
      <c r="AA131" s="42"/>
      <c r="AB131" s="42"/>
    </row>
    <row r="132" spans="3:28" s="33" customFormat="1" ht="12.75">
      <c r="C132" s="21"/>
      <c r="J132" s="35"/>
      <c r="K132" s="35"/>
      <c r="L132"/>
      <c r="M132" s="41"/>
      <c r="Z132" s="42"/>
      <c r="AA132" s="42"/>
      <c r="AB132" s="42"/>
    </row>
    <row r="133" spans="3:28" s="25" customFormat="1" ht="17.25" customHeight="1">
      <c r="C133" s="21">
        <v>2013</v>
      </c>
      <c r="D133" s="25" t="str">
        <f>IF(Indice_index!$Z$1=1,"janeiro","January")</f>
        <v>janeiro</v>
      </c>
      <c r="E133" s="34">
        <v>1803.867655</v>
      </c>
      <c r="F133" s="34">
        <v>1923.7154380000002</v>
      </c>
      <c r="G133" s="34">
        <v>1407.14141788</v>
      </c>
      <c r="H133" s="34">
        <v>1438.1972020199996</v>
      </c>
      <c r="I133" s="34">
        <f aca="true" t="shared" si="21" ref="I133:I142">IF(F133="","",+F133-H133)</f>
        <v>485.51823598000055</v>
      </c>
      <c r="J133" s="233">
        <f aca="true" t="shared" si="22" ref="J133:J142">IF(F133="","",IF(E133=0,"-",(F133-E133)/E133))</f>
        <v>0.06643934363355507</v>
      </c>
      <c r="K133" s="233">
        <f aca="true" t="shared" si="23" ref="K133:K142">IF(H133="","",IF(G133=0,"-",(H133-G133)/G133))</f>
        <v>0.022070122977964943</v>
      </c>
      <c r="L133"/>
      <c r="M133" s="44"/>
      <c r="Z133" s="43"/>
      <c r="AA133" s="43"/>
      <c r="AB133" s="43"/>
    </row>
    <row r="134" spans="3:28" s="25" customFormat="1" ht="12.75">
      <c r="C134" s="21"/>
      <c r="D134" s="25" t="str">
        <f>IF(Indice_index!$Z$1=1,"fevereiro","February")</f>
        <v>fevereiro</v>
      </c>
      <c r="E134" s="34">
        <v>3849.3922129999996</v>
      </c>
      <c r="F134" s="34">
        <v>3803.9464409999996</v>
      </c>
      <c r="G134" s="34">
        <v>3014.3563994499996</v>
      </c>
      <c r="H134" s="34">
        <v>3122.1341978799987</v>
      </c>
      <c r="I134" s="34">
        <f t="shared" si="21"/>
        <v>681.8122431200009</v>
      </c>
      <c r="J134" s="233">
        <f t="shared" si="22"/>
        <v>-0.01180596039201268</v>
      </c>
      <c r="K134" s="233">
        <f t="shared" si="23"/>
        <v>0.03575482927289697</v>
      </c>
      <c r="L134"/>
      <c r="M134" s="240"/>
      <c r="N134" s="238"/>
      <c r="Z134" s="43"/>
      <c r="AA134" s="43"/>
      <c r="AB134" s="43"/>
    </row>
    <row r="135" spans="4:28" s="25" customFormat="1" ht="12.75">
      <c r="D135" s="25" t="str">
        <f>IF(Indice_index!$Z$1=1,"março","March")</f>
        <v>março</v>
      </c>
      <c r="E135" s="34">
        <v>5621.850814000002</v>
      </c>
      <c r="F135" s="34">
        <v>5588.614887000002</v>
      </c>
      <c r="G135" s="34">
        <v>4677.6164691700005</v>
      </c>
      <c r="H135" s="34">
        <v>4816.10411287</v>
      </c>
      <c r="I135" s="34">
        <f t="shared" si="21"/>
        <v>772.5107741300026</v>
      </c>
      <c r="J135" s="233">
        <f t="shared" si="22"/>
        <v>-0.0059119190635996315</v>
      </c>
      <c r="K135" s="233">
        <f t="shared" si="23"/>
        <v>0.029606455469952775</v>
      </c>
      <c r="L135"/>
      <c r="M135" s="240"/>
      <c r="N135" s="238"/>
      <c r="Z135" s="43"/>
      <c r="AA135" s="43"/>
      <c r="AB135" s="43"/>
    </row>
    <row r="136" spans="4:28" s="25" customFormat="1" ht="12.75">
      <c r="D136" s="25" t="str">
        <f>IF(Indice_index!$Z$1=1,"abril","April")</f>
        <v>abril</v>
      </c>
      <c r="E136" s="34">
        <v>7383.580848</v>
      </c>
      <c r="F136" s="34">
        <v>7305.337693</v>
      </c>
      <c r="G136" s="34">
        <v>6340.60109955</v>
      </c>
      <c r="H136" s="34">
        <v>6533.072738269998</v>
      </c>
      <c r="I136" s="34">
        <f t="shared" si="21"/>
        <v>772.2649547300025</v>
      </c>
      <c r="J136" s="233">
        <f t="shared" si="22"/>
        <v>-0.010596911798046206</v>
      </c>
      <c r="K136" s="233">
        <f t="shared" si="23"/>
        <v>0.030355424619545577</v>
      </c>
      <c r="L136"/>
      <c r="M136" s="240"/>
      <c r="N136" s="238"/>
      <c r="Z136" s="43"/>
      <c r="AA136" s="43"/>
      <c r="AB136" s="43"/>
    </row>
    <row r="137" spans="4:28" s="25" customFormat="1" ht="12.75">
      <c r="D137" s="25" t="str">
        <f>IF(Indice_index!$Z$1=1,"maio","May")</f>
        <v>maio</v>
      </c>
      <c r="E137" s="34">
        <v>9245.970816</v>
      </c>
      <c r="F137" s="34">
        <v>9302.8057</v>
      </c>
      <c r="G137" s="34">
        <v>8109.266910999999</v>
      </c>
      <c r="H137" s="34">
        <v>8347.70575</v>
      </c>
      <c r="I137" s="34">
        <f t="shared" si="21"/>
        <v>955.0999500000016</v>
      </c>
      <c r="J137" s="233">
        <f t="shared" si="22"/>
        <v>0.006146989335251834</v>
      </c>
      <c r="K137" s="233">
        <f t="shared" si="23"/>
        <v>0.029403254525580434</v>
      </c>
      <c r="L137"/>
      <c r="M137" s="240"/>
      <c r="N137" s="238"/>
      <c r="Z137" s="43"/>
      <c r="AA137" s="43"/>
      <c r="AB137" s="43"/>
    </row>
    <row r="138" spans="4:28" s="25" customFormat="1" ht="12.75">
      <c r="D138" s="29" t="str">
        <f>IF(Indice_index!$Z$1=1,"junho","June")</f>
        <v>junho</v>
      </c>
      <c r="E138" s="29">
        <v>11647.629669</v>
      </c>
      <c r="F138" s="29">
        <v>11176.012941</v>
      </c>
      <c r="G138" s="29">
        <v>9936.880449</v>
      </c>
      <c r="H138" s="29">
        <v>10161.398548</v>
      </c>
      <c r="I138" s="29">
        <f t="shared" si="21"/>
        <v>1014.6143930000017</v>
      </c>
      <c r="J138" s="283">
        <f t="shared" si="22"/>
        <v>-0.04049036082038222</v>
      </c>
      <c r="K138" s="283">
        <f t="shared" si="23"/>
        <v>0.022594424895450303</v>
      </c>
      <c r="L138"/>
      <c r="M138" s="240"/>
      <c r="N138" s="238"/>
      <c r="O138"/>
      <c r="Z138" s="43"/>
      <c r="AA138" s="43"/>
      <c r="AB138" s="43"/>
    </row>
    <row r="139" spans="4:28" s="25" customFormat="1" ht="12.75">
      <c r="D139" s="34" t="str">
        <f>IF(Indice_index!$Z$1=1,"julho","July")</f>
        <v>julho</v>
      </c>
      <c r="E139" s="34">
        <v>13392.006815000004</v>
      </c>
      <c r="F139" s="34">
        <v>12807.26033</v>
      </c>
      <c r="G139" s="34">
        <v>12338.683866999996</v>
      </c>
      <c r="H139" s="34">
        <v>12016.489689999999</v>
      </c>
      <c r="I139" s="34">
        <f t="shared" si="21"/>
        <v>790.7706400000006</v>
      </c>
      <c r="J139" s="234">
        <f t="shared" si="22"/>
        <v>-0.043663843147469676</v>
      </c>
      <c r="K139" s="234">
        <f t="shared" si="23"/>
        <v>-0.026112523869884614</v>
      </c>
      <c r="L139"/>
      <c r="M139" s="240"/>
      <c r="N139" s="238"/>
      <c r="Z139" s="43"/>
      <c r="AA139" s="43"/>
      <c r="AB139" s="43"/>
    </row>
    <row r="140" spans="4:28" s="25" customFormat="1" ht="12.75">
      <c r="D140" s="34" t="str">
        <f>IF(Indice_index!$Z$1=1,"agosto","August")</f>
        <v>agosto</v>
      </c>
      <c r="E140" s="34">
        <v>16077.509619</v>
      </c>
      <c r="F140" s="34">
        <v>15234.988259000002</v>
      </c>
      <c r="G140" s="34">
        <v>14946.77014</v>
      </c>
      <c r="H140" s="34">
        <v>14122.497252</v>
      </c>
      <c r="I140" s="34">
        <f t="shared" si="21"/>
        <v>1112.4910070000024</v>
      </c>
      <c r="J140" s="234">
        <f t="shared" si="22"/>
        <v>-0.05240372296243742</v>
      </c>
      <c r="K140" s="234">
        <f t="shared" si="23"/>
        <v>-0.05514722446919233</v>
      </c>
      <c r="L140"/>
      <c r="M140" s="240"/>
      <c r="N140" s="238"/>
      <c r="Z140" s="43"/>
      <c r="AA140" s="43"/>
      <c r="AB140" s="43"/>
    </row>
    <row r="141" spans="3:28" s="25" customFormat="1" ht="12.75">
      <c r="C141" s="34"/>
      <c r="D141" s="34" t="str">
        <f>IF(Indice_index!$Z$1=1,"setembro","September")</f>
        <v>setembro</v>
      </c>
      <c r="E141" s="34">
        <v>17717.802709000003</v>
      </c>
      <c r="F141" s="34">
        <v>17038.831778</v>
      </c>
      <c r="G141" s="34">
        <v>16722.021706</v>
      </c>
      <c r="H141" s="34">
        <v>16019.857863999998</v>
      </c>
      <c r="I141" s="34">
        <f t="shared" si="21"/>
        <v>1018.973914000002</v>
      </c>
      <c r="J141" s="234">
        <f t="shared" si="22"/>
        <v>-0.03832139583849812</v>
      </c>
      <c r="K141" s="234">
        <f t="shared" si="23"/>
        <v>-0.04199036781228788</v>
      </c>
      <c r="L141"/>
      <c r="M141" s="240"/>
      <c r="N141" s="238"/>
      <c r="Z141" s="43"/>
      <c r="AA141" s="43"/>
      <c r="AB141" s="43"/>
    </row>
    <row r="142" spans="3:28" s="25" customFormat="1" ht="12.75">
      <c r="C142" s="34"/>
      <c r="D142" s="34" t="str">
        <f>IF(Indice_index!$Z$1=1,"outubro","October")</f>
        <v>outubro</v>
      </c>
      <c r="E142" s="34">
        <v>19604.161859</v>
      </c>
      <c r="F142" s="34">
        <v>19124.307113</v>
      </c>
      <c r="G142" s="34">
        <v>18550.151069999996</v>
      </c>
      <c r="H142" s="34">
        <v>18256.563728</v>
      </c>
      <c r="I142" s="34">
        <f t="shared" si="21"/>
        <v>867.7433849999979</v>
      </c>
      <c r="J142" s="234">
        <f t="shared" si="22"/>
        <v>-0.024477187520246177</v>
      </c>
      <c r="K142" s="234">
        <f t="shared" si="23"/>
        <v>-0.015826681998013254</v>
      </c>
      <c r="L142"/>
      <c r="M142" s="240"/>
      <c r="N142" s="238"/>
      <c r="Z142" s="43"/>
      <c r="AA142" s="43"/>
      <c r="AB142" s="43"/>
    </row>
    <row r="143" spans="3:28" s="25" customFormat="1" ht="12.75">
      <c r="C143" s="34"/>
      <c r="D143" s="34" t="str">
        <f>IF(Indice_index!$Z$1=1,"novembro","November")</f>
        <v>novembro</v>
      </c>
      <c r="E143" s="34">
        <v>21392.188301759998</v>
      </c>
      <c r="F143" s="34">
        <v>21495.662681</v>
      </c>
      <c r="G143" s="34">
        <v>20280.184905000002</v>
      </c>
      <c r="H143" s="34">
        <v>20868.237250000002</v>
      </c>
      <c r="I143" s="34">
        <f>IF(F143="","",+F143-H143)</f>
        <v>627.4254309999997</v>
      </c>
      <c r="J143" s="234">
        <f>IF(F143="","",IF(E143=0,"-",(F143-E143)/E143))</f>
        <v>0.004837017035395622</v>
      </c>
      <c r="K143" s="234">
        <f>IF(H143="","",IF(G143=0,"-",(H143-G143)/G143))</f>
        <v>0.02899639957695938</v>
      </c>
      <c r="L143" s="266"/>
      <c r="M143" s="240"/>
      <c r="N143" s="238"/>
      <c r="Z143" s="43"/>
      <c r="AA143" s="43"/>
      <c r="AB143" s="43"/>
    </row>
    <row r="144" spans="3:28" s="25" customFormat="1" ht="12.75">
      <c r="C144" s="93"/>
      <c r="D144" s="93" t="str">
        <f>IF(Indice_index!$Z$1=1,"dezembro","December")</f>
        <v>dezembro</v>
      </c>
      <c r="E144" s="93">
        <v>28194.409235140007</v>
      </c>
      <c r="F144" s="93">
        <v>26432.079020999998</v>
      </c>
      <c r="G144" s="93">
        <v>27347.140215460007</v>
      </c>
      <c r="H144" s="93">
        <v>27086.760245890004</v>
      </c>
      <c r="I144" s="93">
        <f>IF(F144="","",+F144-H144)</f>
        <v>-654.681224890006</v>
      </c>
      <c r="J144" s="335">
        <f>IF(F144="","",IF(E144=0,"-",(F144-E144)/E144))</f>
        <v>-0.06250637136753817</v>
      </c>
      <c r="K144" s="335">
        <f>IF(H144="","",IF(G144=0,"-",(H144-G144)/G144))</f>
        <v>-0.009521286961581615</v>
      </c>
      <c r="L144" s="266"/>
      <c r="M144" s="240"/>
      <c r="N144" s="238"/>
      <c r="Z144" s="43"/>
      <c r="AA144" s="43"/>
      <c r="AB144" s="43"/>
    </row>
    <row r="145" spans="3:14" ht="14.25" customHeight="1">
      <c r="C145" s="84" t="str">
        <f>IF(Indice_index!$Z$1=1,"Os valores não incluem a execução orçamental das EPR","data does not includes the budget execution for SOEs")</f>
        <v>Os valores não incluem a execução orçamental das EPR</v>
      </c>
      <c r="D145" s="84"/>
      <c r="E145"/>
      <c r="F145"/>
      <c r="G145"/>
      <c r="H145"/>
      <c r="I145"/>
      <c r="J145" s="84"/>
      <c r="K145" s="84"/>
      <c r="M145" s="241"/>
      <c r="N145" s="239"/>
    </row>
    <row r="146" spans="3:11" ht="12" customHeight="1">
      <c r="C146" s="84" t="str">
        <f>IF(Indice_index!$Z$1=1,"Os valores constantes do presente quadro apenas excluem transferências intra-setoriais.","Data of the present chart only excludes intra-sectoral transfers.")</f>
        <v>Os valores constantes do presente quadro apenas excluem transferências intra-setoriais.</v>
      </c>
      <c r="D146" s="84"/>
      <c r="E146"/>
      <c r="F146"/>
      <c r="G146"/>
      <c r="H146"/>
      <c r="I146"/>
      <c r="J146" s="84"/>
      <c r="K146" s="84"/>
    </row>
    <row r="147" spans="3:11" ht="12.75">
      <c r="C147" s="65" t="str">
        <f>IF(Indice_index!$Z$1=1,"Fonte: Ministério das Finanças","Source: Ministry of Finance")</f>
        <v>Fonte: Ministério das Finanças</v>
      </c>
      <c r="D147" s="45"/>
      <c r="E147"/>
      <c r="F147"/>
      <c r="G147"/>
      <c r="H147"/>
      <c r="I147"/>
      <c r="J147" s="45"/>
      <c r="K147" s="45"/>
    </row>
    <row r="148" spans="3:11" ht="12" customHeight="1">
      <c r="C148" s="45"/>
      <c r="D148" s="45"/>
      <c r="E148"/>
      <c r="F148"/>
      <c r="G148"/>
      <c r="H148"/>
      <c r="I148"/>
      <c r="J148" s="45"/>
      <c r="K148" s="45"/>
    </row>
    <row r="149" spans="4:10" ht="12" customHeight="1">
      <c r="D149" s="37"/>
      <c r="E149" s="14"/>
      <c r="F149" s="14"/>
      <c r="G149" s="14"/>
      <c r="H149" s="14"/>
      <c r="J149" s="15"/>
    </row>
    <row r="150" spans="3:11" ht="23.25" customHeight="1">
      <c r="C150" s="355" t="str">
        <f>IF(Indice_index!$Z$1=1,"Evolução da Receita, Despesa e Saldo das Entidades Publicas Reclassificadas (valores acumulados)","State-Owned Enterprises, Expenditure and Balance Evolution (cumulative values)")</f>
        <v>Evolução da Receita, Despesa e Saldo das Entidades Publicas Reclassificadas (valores acumulados)</v>
      </c>
      <c r="D150" s="356"/>
      <c r="E150" s="356"/>
      <c r="F150" s="356"/>
      <c r="G150" s="356"/>
      <c r="H150" s="356"/>
      <c r="I150" s="356"/>
      <c r="J150" s="356"/>
      <c r="K150" s="89" t="str">
        <f>IF(Indice_index!$Z$1=1,"€ Milhões","€ Millions")</f>
        <v>€ Milhões</v>
      </c>
    </row>
    <row r="151" spans="3:11" ht="12" customHeight="1">
      <c r="C151" s="80"/>
      <c r="D151" s="86"/>
      <c r="E151" s="342" t="str">
        <f>IF(Indice_index!$Z$1=1,"Receita efetiva","Effective revenue")</f>
        <v>Receita efetiva</v>
      </c>
      <c r="F151" s="343"/>
      <c r="G151" s="342" t="str">
        <f>IF(Indice_index!$Z$1=1,"Despesa  efetiva","Effective expenditure")</f>
        <v>Despesa  efetiva</v>
      </c>
      <c r="H151" s="343"/>
      <c r="I151" s="338" t="str">
        <f>IF(Indice_index!$Z$1=1,"Saldo global","Overall
balance")</f>
        <v>Saldo global</v>
      </c>
      <c r="J151" s="340" t="str">
        <f>IF(Indice_index!$Z$1=1,"VH (%)","YOY Change Rate (%)")</f>
        <v>VH (%)</v>
      </c>
      <c r="K151" s="340"/>
    </row>
    <row r="152" spans="3:11" ht="12" customHeight="1">
      <c r="C152" s="83"/>
      <c r="D152" s="87"/>
      <c r="E152" s="344"/>
      <c r="F152" s="345"/>
      <c r="G152" s="344"/>
      <c r="H152" s="345"/>
      <c r="I152" s="339"/>
      <c r="J152" s="67" t="str">
        <f>IF(Indice_index!$Z$1=1,"Receita","Revenue")</f>
        <v>Receita</v>
      </c>
      <c r="K152" s="82" t="str">
        <f>IF(Indice_index!$Z$1=1,"Despesa","Expenditure")</f>
        <v>Despesa</v>
      </c>
    </row>
    <row r="153" spans="3:11" ht="12" customHeight="1">
      <c r="C153" s="24"/>
      <c r="D153" s="25"/>
      <c r="E153" s="19" t="str">
        <f>IF(Indice_index!$Z$1=1,"Ano n-1","Year n-1")</f>
        <v>Ano n-1</v>
      </c>
      <c r="F153" s="19" t="str">
        <f>IF(Indice_index!$Z$1=1,"Ano n","Year n")</f>
        <v>Ano n</v>
      </c>
      <c r="G153" s="19" t="str">
        <f>IF(Indice_index!$Z$1=1,"Ano n-1","Year n-1")</f>
        <v>Ano n-1</v>
      </c>
      <c r="H153" s="19" t="str">
        <f>IF(Indice_index!$Z$1=1,"Ano n","Year n")</f>
        <v>Ano n</v>
      </c>
      <c r="I153" s="19" t="str">
        <f>IF(Indice_index!$Z$1=1,"Ano n","Year n")</f>
        <v>Ano n</v>
      </c>
      <c r="J153" s="20" t="str">
        <f>IF(Indice_index!$Z$1=1,"Ano n","Year n")</f>
        <v>Ano n</v>
      </c>
      <c r="K153" s="20" t="str">
        <f>IF(Indice_index!$Z$1=1,"Ano n","Year n")</f>
        <v>Ano n</v>
      </c>
    </row>
    <row r="154" spans="3:13" ht="15.75" customHeight="1">
      <c r="C154" s="24" t="s">
        <v>5</v>
      </c>
      <c r="D154" s="8" t="str">
        <f>IF(Indice_index!$Z$1=1,"janeiro","January")</f>
        <v>janeiro</v>
      </c>
      <c r="E154" s="46"/>
      <c r="F154" s="46">
        <v>363.718148</v>
      </c>
      <c r="G154" s="46"/>
      <c r="H154" s="46">
        <v>226.42325899999997</v>
      </c>
      <c r="I154" s="8">
        <f>IF(F154="","",+F154-H154)</f>
        <v>137.294889</v>
      </c>
      <c r="J154" s="47" t="s">
        <v>6</v>
      </c>
      <c r="K154" s="47" t="s">
        <v>6</v>
      </c>
      <c r="M154" s="48"/>
    </row>
    <row r="155" spans="3:13" ht="15.75" customHeight="1">
      <c r="C155" s="25"/>
      <c r="D155" s="8" t="str">
        <f>IF(Indice_index!$Z$1=1,"fevereiro","February")</f>
        <v>fevereiro</v>
      </c>
      <c r="E155" s="46"/>
      <c r="F155" s="46">
        <v>729.92439</v>
      </c>
      <c r="G155" s="46"/>
      <c r="H155" s="46">
        <v>640.7350739999999</v>
      </c>
      <c r="I155" s="8">
        <f>IF(F155="","",+F155-H155)</f>
        <v>89.18931600000008</v>
      </c>
      <c r="J155" s="47" t="s">
        <v>6</v>
      </c>
      <c r="K155" s="47" t="s">
        <v>6</v>
      </c>
      <c r="M155" s="48"/>
    </row>
    <row r="156" spans="3:28" s="33" customFormat="1" ht="15.75" customHeight="1">
      <c r="C156" s="34"/>
      <c r="D156" s="33" t="str">
        <f>IF(Indice_index!$Z$1=1,"março","March")</f>
        <v>março</v>
      </c>
      <c r="E156" s="46"/>
      <c r="F156" s="46">
        <v>888.73242</v>
      </c>
      <c r="G156" s="46"/>
      <c r="H156" s="46">
        <v>956.8710000000001</v>
      </c>
      <c r="I156" s="33">
        <f>IF(F156="","",+F156-H156)</f>
        <v>-68.13858000000005</v>
      </c>
      <c r="J156" s="49" t="s">
        <v>6</v>
      </c>
      <c r="K156" s="49" t="s">
        <v>6</v>
      </c>
      <c r="L156"/>
      <c r="M156" s="50"/>
      <c r="Z156" s="42"/>
      <c r="AA156" s="42"/>
      <c r="AB156" s="42"/>
    </row>
    <row r="157" spans="3:28" s="33" customFormat="1" ht="15.75" customHeight="1">
      <c r="C157" s="51"/>
      <c r="D157" s="33" t="str">
        <f>IF(Indice_index!$Z$1=1,"abril","April")</f>
        <v>abril</v>
      </c>
      <c r="E157" s="46"/>
      <c r="F157" s="46">
        <v>1049.9203269999998</v>
      </c>
      <c r="G157" s="46"/>
      <c r="H157" s="46">
        <v>1209.0980799999998</v>
      </c>
      <c r="I157" s="33">
        <f>IF(F157="","",+F157-H157)</f>
        <v>-159.17775299999994</v>
      </c>
      <c r="J157" s="49" t="s">
        <v>6</v>
      </c>
      <c r="K157" s="49" t="s">
        <v>6</v>
      </c>
      <c r="L157"/>
      <c r="M157" s="50"/>
      <c r="Z157" s="42"/>
      <c r="AA157" s="42"/>
      <c r="AB157" s="42"/>
    </row>
    <row r="158" spans="3:28" s="33" customFormat="1" ht="15.75" customHeight="1">
      <c r="C158" s="51"/>
      <c r="D158" s="33" t="str">
        <f>IF(Indice_index!$Z$1=1,"maio","May")</f>
        <v>maio</v>
      </c>
      <c r="E158" s="46"/>
      <c r="F158" s="46">
        <v>1254.573926</v>
      </c>
      <c r="G158" s="46"/>
      <c r="H158" s="46">
        <v>1715.02502</v>
      </c>
      <c r="I158" s="33">
        <v>-460.451094</v>
      </c>
      <c r="J158" s="49" t="s">
        <v>6</v>
      </c>
      <c r="K158" s="49" t="s">
        <v>6</v>
      </c>
      <c r="L158"/>
      <c r="M158" s="50"/>
      <c r="Z158" s="42"/>
      <c r="AA158" s="42"/>
      <c r="AB158" s="42"/>
    </row>
    <row r="159" spans="3:28" s="33" customFormat="1" ht="15.75" customHeight="1">
      <c r="C159" s="51"/>
      <c r="D159" s="33" t="str">
        <f>IF(Indice_index!$Z$1=1,"junho","June")</f>
        <v>junho</v>
      </c>
      <c r="E159" s="46"/>
      <c r="F159" s="46">
        <v>1433.9124442</v>
      </c>
      <c r="G159" s="46"/>
      <c r="H159" s="46">
        <v>1906.3989779999997</v>
      </c>
      <c r="I159" s="33">
        <f aca="true" t="shared" si="24" ref="I159:I167">IF(F159="","",+F159-H159)</f>
        <v>-472.48653379999973</v>
      </c>
      <c r="J159" s="49" t="s">
        <v>6</v>
      </c>
      <c r="K159" s="49" t="s">
        <v>6</v>
      </c>
      <c r="L159"/>
      <c r="M159" s="50"/>
      <c r="Z159" s="42"/>
      <c r="AA159" s="42"/>
      <c r="AB159" s="42"/>
    </row>
    <row r="160" spans="3:28" s="33" customFormat="1" ht="15.75" customHeight="1">
      <c r="C160" s="51"/>
      <c r="D160" s="33" t="str">
        <f>IF(Indice_index!$Z$1=1,"julho","July")</f>
        <v>julho</v>
      </c>
      <c r="E160" s="46"/>
      <c r="F160" s="46">
        <v>1763.316298</v>
      </c>
      <c r="G160" s="46"/>
      <c r="H160" s="46">
        <v>2268.1437459999997</v>
      </c>
      <c r="I160" s="33">
        <f t="shared" si="24"/>
        <v>-504.8274479999998</v>
      </c>
      <c r="J160" s="49" t="s">
        <v>6</v>
      </c>
      <c r="K160" s="49" t="s">
        <v>6</v>
      </c>
      <c r="L160"/>
      <c r="M160"/>
      <c r="Z160" s="42"/>
      <c r="AA160" s="42"/>
      <c r="AB160" s="42"/>
    </row>
    <row r="161" spans="3:28" s="33" customFormat="1" ht="15.75" customHeight="1">
      <c r="C161" s="51"/>
      <c r="D161" s="33" t="str">
        <f>IF(Indice_index!$Z$1=1,"agosto","August")</f>
        <v>agosto</v>
      </c>
      <c r="E161" s="46"/>
      <c r="F161" s="46">
        <v>2009.521786</v>
      </c>
      <c r="G161" s="46"/>
      <c r="H161" s="46">
        <v>2526.054537</v>
      </c>
      <c r="I161" s="33">
        <f t="shared" si="24"/>
        <v>-516.532751</v>
      </c>
      <c r="J161" s="49" t="s">
        <v>6</v>
      </c>
      <c r="K161" s="49" t="s">
        <v>6</v>
      </c>
      <c r="L161"/>
      <c r="M161" s="50"/>
      <c r="Z161" s="42"/>
      <c r="AA161" s="42"/>
      <c r="AB161" s="42"/>
    </row>
    <row r="162" spans="3:28" s="33" customFormat="1" ht="15.75" customHeight="1">
      <c r="C162" s="51"/>
      <c r="D162" s="33" t="str">
        <f>IF(Indice_index!$Z$1=1,"setembro","September")</f>
        <v>setembro</v>
      </c>
      <c r="E162" s="46"/>
      <c r="F162" s="46">
        <v>2203.320077</v>
      </c>
      <c r="G162" s="46"/>
      <c r="H162" s="46">
        <v>2704.6312420000004</v>
      </c>
      <c r="I162" s="33">
        <f t="shared" si="24"/>
        <v>-501.3111650000005</v>
      </c>
      <c r="J162" s="49" t="s">
        <v>6</v>
      </c>
      <c r="K162" s="49" t="s">
        <v>6</v>
      </c>
      <c r="L162"/>
      <c r="M162" s="50"/>
      <c r="Z162" s="42"/>
      <c r="AA162" s="42"/>
      <c r="AB162" s="42"/>
    </row>
    <row r="163" spans="3:28" s="33" customFormat="1" ht="15.75" customHeight="1">
      <c r="C163" s="51"/>
      <c r="D163" s="33" t="str">
        <f>IF(Indice_index!$Z$1=1,"outubro","October")</f>
        <v>outubro</v>
      </c>
      <c r="E163" s="46"/>
      <c r="F163" s="46">
        <v>2426.194477</v>
      </c>
      <c r="G163" s="46"/>
      <c r="H163" s="46">
        <v>3084.475343</v>
      </c>
      <c r="I163" s="33">
        <f t="shared" si="24"/>
        <v>-658.2808660000001</v>
      </c>
      <c r="J163" s="49" t="s">
        <v>6</v>
      </c>
      <c r="K163" s="49" t="s">
        <v>6</v>
      </c>
      <c r="L163"/>
      <c r="M163" s="50"/>
      <c r="Z163" s="42"/>
      <c r="AA163" s="42"/>
      <c r="AB163" s="42"/>
    </row>
    <row r="164" spans="3:28" s="33" customFormat="1" ht="15.75" customHeight="1">
      <c r="C164" s="51"/>
      <c r="D164" s="33" t="str">
        <f>IF(Indice_index!$Z$1=1,"novembro","November")</f>
        <v>novembro</v>
      </c>
      <c r="E164" s="46"/>
      <c r="F164" s="46">
        <v>2673.488094</v>
      </c>
      <c r="G164" s="46"/>
      <c r="H164" s="46">
        <v>3376.816652</v>
      </c>
      <c r="I164" s="33">
        <v>-703.3285580000002</v>
      </c>
      <c r="J164" s="49" t="s">
        <v>6</v>
      </c>
      <c r="K164" s="49" t="s">
        <v>6</v>
      </c>
      <c r="L164"/>
      <c r="M164" s="50"/>
      <c r="Z164" s="42"/>
      <c r="AA164" s="42"/>
      <c r="AB164" s="42"/>
    </row>
    <row r="165" spans="3:28" s="33" customFormat="1" ht="15.75" customHeight="1">
      <c r="C165" s="51"/>
      <c r="D165" s="33" t="str">
        <f>IF(Indice_index!$Z$1=1,"dezembro","December")</f>
        <v>dezembro</v>
      </c>
      <c r="E165" s="46"/>
      <c r="F165" s="28">
        <v>3354.9348999999997</v>
      </c>
      <c r="G165" s="28"/>
      <c r="H165" s="28">
        <v>4211.90039</v>
      </c>
      <c r="I165" s="13">
        <f t="shared" si="24"/>
        <v>-856.96549</v>
      </c>
      <c r="J165" s="52" t="s">
        <v>6</v>
      </c>
      <c r="K165" s="52" t="s">
        <v>6</v>
      </c>
      <c r="L165"/>
      <c r="M165" s="50"/>
      <c r="Z165" s="42"/>
      <c r="AA165" s="42"/>
      <c r="AB165" s="42"/>
    </row>
    <row r="166" ht="15.75" customHeight="1">
      <c r="H166" s="8"/>
    </row>
    <row r="167" spans="3:11" ht="15.75" customHeight="1">
      <c r="C167" s="21">
        <v>2013</v>
      </c>
      <c r="D167" s="25" t="str">
        <f>IF(Indice_index!$Z$1=1,"janeiro","January")</f>
        <v>janeiro</v>
      </c>
      <c r="E167" s="25">
        <v>384.7488960000002</v>
      </c>
      <c r="F167" s="25">
        <v>196.530229</v>
      </c>
      <c r="G167" s="25">
        <v>284.48197056</v>
      </c>
      <c r="H167" s="25">
        <v>117.84502918000004</v>
      </c>
      <c r="I167" s="25">
        <f t="shared" si="24"/>
        <v>78.68519981999995</v>
      </c>
      <c r="J167" s="233">
        <f aca="true" t="shared" si="25" ref="J167:J176">IF(F167="","",IF(E167=0,"-",(F167-E167)/E167))</f>
        <v>-0.4891987188444073</v>
      </c>
      <c r="K167" s="233">
        <f aca="true" t="shared" si="26" ref="K167:K176">IF(H167="","",IF(G167=0,"-",(H167-G167)/G167))</f>
        <v>-0.5857557196049252</v>
      </c>
    </row>
    <row r="168" spans="3:11" ht="15.75" customHeight="1">
      <c r="C168" s="51"/>
      <c r="D168" s="33" t="str">
        <f>IF(Indice_index!$Z$1=1,"fevereiro","February")</f>
        <v>fevereiro</v>
      </c>
      <c r="E168" s="46">
        <v>729.92439</v>
      </c>
      <c r="F168" s="46">
        <v>377.58224599999994</v>
      </c>
      <c r="G168" s="46">
        <v>640.7350741</v>
      </c>
      <c r="H168" s="46">
        <v>499.65955398000006</v>
      </c>
      <c r="I168" s="33">
        <f aca="true" t="shared" si="27" ref="I168:I173">IF(F168="","",+F168-H168)</f>
        <v>-122.07730798000011</v>
      </c>
      <c r="J168" s="233">
        <f t="shared" si="25"/>
        <v>-0.4827104681349257</v>
      </c>
      <c r="K168" s="233">
        <f t="shared" si="26"/>
        <v>-0.22017761446594727</v>
      </c>
    </row>
    <row r="169" spans="3:11" ht="15.75" customHeight="1">
      <c r="C169" s="51"/>
      <c r="D169" s="33" t="str">
        <f>IF(Indice_index!$Z$1=1,"março","March")</f>
        <v>março</v>
      </c>
      <c r="E169" s="46">
        <v>888.7324199999998</v>
      </c>
      <c r="F169" s="46">
        <v>548.317138</v>
      </c>
      <c r="G169" s="46">
        <v>956.8710001</v>
      </c>
      <c r="H169" s="46">
        <v>938.30111926</v>
      </c>
      <c r="I169" s="33">
        <f t="shared" si="27"/>
        <v>-389.98398125999995</v>
      </c>
      <c r="J169" s="40">
        <f t="shared" si="25"/>
        <v>-0.383034616876022</v>
      </c>
      <c r="K169" s="40">
        <f t="shared" si="26"/>
        <v>-0.019406880173042457</v>
      </c>
    </row>
    <row r="170" spans="3:11" ht="15.75" customHeight="1">
      <c r="C170" s="51"/>
      <c r="D170" s="33" t="str">
        <f>IF(Indice_index!$Z$1=1,"abril","April")</f>
        <v>abril</v>
      </c>
      <c r="E170" s="46">
        <v>1054.7830800000002</v>
      </c>
      <c r="F170" s="46">
        <v>748.1424279999999</v>
      </c>
      <c r="G170" s="46">
        <v>1212.9125664199996</v>
      </c>
      <c r="H170" s="46">
        <v>1069.7627341999998</v>
      </c>
      <c r="I170" s="33">
        <f t="shared" si="27"/>
        <v>-321.62030619999996</v>
      </c>
      <c r="J170" s="40">
        <f t="shared" si="25"/>
        <v>-0.29071442063708514</v>
      </c>
      <c r="K170" s="40">
        <f t="shared" si="26"/>
        <v>-0.11802155916523893</v>
      </c>
    </row>
    <row r="171" spans="3:14" ht="15.75" customHeight="1">
      <c r="C171" s="51"/>
      <c r="D171" s="33" t="str">
        <f>IF(Indice_index!$Z$1=1,"maio","May")</f>
        <v>maio</v>
      </c>
      <c r="E171" s="28">
        <v>1254.5739260000003</v>
      </c>
      <c r="F171" s="28">
        <v>976.0333619999997</v>
      </c>
      <c r="G171" s="28">
        <v>1715.0250200799999</v>
      </c>
      <c r="H171" s="28">
        <v>1495.26750441</v>
      </c>
      <c r="I171" s="13">
        <f t="shared" si="27"/>
        <v>-519.2341424100002</v>
      </c>
      <c r="J171" s="282">
        <f t="shared" si="25"/>
        <v>-0.2220200485818167</v>
      </c>
      <c r="K171" s="282">
        <f t="shared" si="26"/>
        <v>-0.1281366237209467</v>
      </c>
      <c r="M171" s="237"/>
      <c r="N171" s="239"/>
    </row>
    <row r="172" spans="3:14" ht="15.75" customHeight="1">
      <c r="C172" s="51"/>
      <c r="D172" s="33" t="str">
        <f>IF(Indice_index!$Z$1=1,"junho","June")</f>
        <v>junho</v>
      </c>
      <c r="E172" s="28">
        <v>1433.9124450000002</v>
      </c>
      <c r="F172" s="28">
        <v>1158.8187099999998</v>
      </c>
      <c r="G172" s="28">
        <v>1906.39897844</v>
      </c>
      <c r="H172" s="28">
        <v>1757.2040095599996</v>
      </c>
      <c r="I172" s="13">
        <f t="shared" si="27"/>
        <v>-598.3852995599998</v>
      </c>
      <c r="J172" s="282">
        <f t="shared" si="25"/>
        <v>-0.19184834887181718</v>
      </c>
      <c r="K172" s="282">
        <f t="shared" si="26"/>
        <v>-0.07826009695099934</v>
      </c>
      <c r="M172" s="237"/>
      <c r="N172" s="239"/>
    </row>
    <row r="173" spans="3:14" ht="15.75" customHeight="1">
      <c r="C173" s="51"/>
      <c r="D173" s="33" t="str">
        <f>IF(Indice_index!$Z$1=1,"julho","July")</f>
        <v>julho</v>
      </c>
      <c r="E173" s="46">
        <v>1763.316298</v>
      </c>
      <c r="F173" s="46">
        <v>1378.306781</v>
      </c>
      <c r="G173" s="46">
        <v>2268.1437467299993</v>
      </c>
      <c r="H173" s="46">
        <v>1992.4600410199996</v>
      </c>
      <c r="I173" s="33">
        <f t="shared" si="27"/>
        <v>-614.1532600199996</v>
      </c>
      <c r="J173" s="40">
        <f t="shared" si="25"/>
        <v>-0.21834399048922076</v>
      </c>
      <c r="K173" s="40">
        <f t="shared" si="26"/>
        <v>-0.12154595849908326</v>
      </c>
      <c r="M173" s="237"/>
      <c r="N173" s="239"/>
    </row>
    <row r="174" spans="3:14" ht="15.75" customHeight="1">
      <c r="C174" s="51"/>
      <c r="D174" s="33" t="str">
        <f>IF(Indice_index!$Z$1=1,"agosto","August")</f>
        <v>agosto</v>
      </c>
      <c r="E174" s="46">
        <v>2009.6945160000007</v>
      </c>
      <c r="F174" s="46">
        <v>1585.2963160000002</v>
      </c>
      <c r="G174" s="46">
        <v>2526.0545366799997</v>
      </c>
      <c r="H174" s="46">
        <v>2141.7741381000005</v>
      </c>
      <c r="I174" s="33">
        <f>IF(F174="","",+F174-H174)</f>
        <v>-556.4778221000004</v>
      </c>
      <c r="J174" s="40">
        <f t="shared" si="25"/>
        <v>-0.21117547797498215</v>
      </c>
      <c r="K174" s="40">
        <f t="shared" si="26"/>
        <v>-0.15212672291907836</v>
      </c>
      <c r="M174" s="237"/>
      <c r="N174" s="239"/>
    </row>
    <row r="175" spans="3:14" ht="15.75" customHeight="1">
      <c r="C175" s="51"/>
      <c r="D175" s="33" t="str">
        <f>IF(Indice_index!$Z$1=1,"setembro","September")</f>
        <v>setembro</v>
      </c>
      <c r="E175" s="46">
        <v>2208.7182149999994</v>
      </c>
      <c r="F175" s="46">
        <v>1666.7171700000001</v>
      </c>
      <c r="G175" s="46">
        <v>2713.41332861</v>
      </c>
      <c r="H175" s="46">
        <v>2260.1596422800003</v>
      </c>
      <c r="I175" s="33">
        <f>IF(F175="","",+F175-H175)</f>
        <v>-593.4424722800002</v>
      </c>
      <c r="J175" s="40">
        <f t="shared" si="25"/>
        <v>-0.24539166713034033</v>
      </c>
      <c r="K175" s="40">
        <f t="shared" si="26"/>
        <v>-0.1670418883665571</v>
      </c>
      <c r="M175" s="237"/>
      <c r="N175" s="239"/>
    </row>
    <row r="176" spans="3:14" ht="15.75" customHeight="1">
      <c r="C176" s="51"/>
      <c r="D176" s="33" t="str">
        <f>IF(Indice_index!$Z$1=1,"outubro","October")</f>
        <v>outubro</v>
      </c>
      <c r="E176" s="46">
        <v>2458.4038689999998</v>
      </c>
      <c r="F176" s="46">
        <v>2040.9742699999995</v>
      </c>
      <c r="G176" s="46">
        <v>3115.7079618899998</v>
      </c>
      <c r="H176" s="46">
        <v>2680.2878630299992</v>
      </c>
      <c r="I176" s="33">
        <f>IF(F176="","",+F176-H176)</f>
        <v>-639.3135930299998</v>
      </c>
      <c r="J176" s="40">
        <f t="shared" si="25"/>
        <v>-0.16979699888358754</v>
      </c>
      <c r="K176" s="40">
        <f t="shared" si="26"/>
        <v>-0.1397499714947203</v>
      </c>
      <c r="M176" s="237"/>
      <c r="N176" s="239"/>
    </row>
    <row r="177" spans="3:14" ht="15.75" customHeight="1">
      <c r="C177" s="51"/>
      <c r="D177" s="33" t="str">
        <f>IF(Indice_index!$Z$1=1,"novembro","November")</f>
        <v>novembro</v>
      </c>
      <c r="E177" s="46">
        <v>2705.697485</v>
      </c>
      <c r="F177" s="46">
        <v>2227.3875</v>
      </c>
      <c r="G177" s="46">
        <v>3408.04927116</v>
      </c>
      <c r="H177" s="46">
        <v>2932.7378868399996</v>
      </c>
      <c r="I177" s="33">
        <f>IF(F177="","",+F177-H177)</f>
        <v>-705.3503868399998</v>
      </c>
      <c r="J177" s="40">
        <f>IF(F177="","",IF(E177=0,"-",(F177-E177)/E177))</f>
        <v>-0.17677881124984685</v>
      </c>
      <c r="K177" s="40">
        <f>IF(H177="","",IF(G177=0,"-",(H177-G177)/G177))</f>
        <v>-0.13946728656250273</v>
      </c>
      <c r="M177" s="237"/>
      <c r="N177" s="239"/>
    </row>
    <row r="178" spans="3:14" ht="15.75" customHeight="1">
      <c r="C178" s="51"/>
      <c r="D178" s="33" t="str">
        <f>IF(Indice_index!$Z$1=1,"dezembro","December")</f>
        <v>dezembro</v>
      </c>
      <c r="E178" s="46">
        <v>3424.558774</v>
      </c>
      <c r="F178" s="46">
        <v>2528.4666249999996</v>
      </c>
      <c r="G178" s="46">
        <v>4259.4395073099995</v>
      </c>
      <c r="H178" s="46">
        <v>3501.3474395499993</v>
      </c>
      <c r="I178" s="33">
        <f>IF(F178="","",+F178-H178)</f>
        <v>-972.8808145499997</v>
      </c>
      <c r="J178" s="40">
        <f>IF(F178="","",IF(E178=0,"-",(F178-E178)/E178))</f>
        <v>-0.2616664534430912</v>
      </c>
      <c r="K178" s="40">
        <f>IF(H178="","",IF(G178=0,"-",(H178-G178)/G178))</f>
        <v>-0.1779793013749747</v>
      </c>
      <c r="M178" s="237"/>
      <c r="N178" s="239"/>
    </row>
    <row r="179" spans="3:11" ht="12.75">
      <c r="C179" s="353" t="str">
        <f>IF(Indice_index!$Z$1=1,"Notas: Os valores da receita e da despesa correspondem aos divulgados no respetivo período tendo, em alguns casos, sido objeto de ajustamento posterior à sua divulgação.","Notes: The revenue and expenditure data presented correspond to that reported during the respective period and may, in some cases, have been subject to adjustments after publication.")</f>
        <v>Notas: Os valores da receita e da despesa correspondem aos divulgados no respetivo período tendo, em alguns casos, sido objeto de ajustamento posterior à sua divulgação.</v>
      </c>
      <c r="D179" s="353"/>
      <c r="E179" s="353"/>
      <c r="F179" s="353"/>
      <c r="G179" s="353"/>
      <c r="H179" s="353"/>
      <c r="I179" s="353"/>
      <c r="J179" s="353"/>
      <c r="K179" s="353"/>
    </row>
    <row r="180" spans="3:11" ht="12.75">
      <c r="C180" s="354" t="s">
        <v>16</v>
      </c>
      <c r="D180" s="354"/>
      <c r="E180" s="354"/>
      <c r="F180" s="354"/>
      <c r="G180" s="354"/>
      <c r="H180" s="354"/>
      <c r="I180" s="354"/>
      <c r="J180" s="354"/>
      <c r="K180" s="354"/>
    </row>
    <row r="181" spans="3:11" ht="12.75">
      <c r="C181" s="84" t="str">
        <f>IF(Indice_index!$Z$1=1,"Os valores constantes do presente quadro apenas excluem transferências intra-setoriais.","Data of the present chat only excludes intra-sectoral transfers.")</f>
        <v>Os valores constantes do presente quadro apenas excluem transferências intra-setoriais.</v>
      </c>
      <c r="D181" s="268"/>
      <c r="E181" s="268"/>
      <c r="F181" s="268"/>
      <c r="G181" s="268"/>
      <c r="H181" s="268"/>
      <c r="I181" s="268"/>
      <c r="J181" s="268"/>
      <c r="K181" s="268"/>
    </row>
    <row r="182" spans="3:11" ht="23.25" customHeight="1">
      <c r="C182" s="357" t="str">
        <f>IF(Indice_index!$Z$1=1,"Fonte: Ministério das Finanças","Source: Ministry of Finance")</f>
        <v>Fonte: Ministério das Finanças</v>
      </c>
      <c r="D182" s="357"/>
      <c r="E182" s="357"/>
      <c r="F182" s="357"/>
      <c r="G182" s="357"/>
      <c r="H182" s="357"/>
      <c r="I182" s="357"/>
      <c r="J182" s="357"/>
      <c r="K182" s="357"/>
    </row>
    <row r="183" spans="3:11" ht="15" customHeight="1">
      <c r="C183" s="45"/>
      <c r="D183" s="45"/>
      <c r="E183" s="45"/>
      <c r="F183" s="45"/>
      <c r="G183" s="45"/>
      <c r="H183" s="45"/>
      <c r="I183" s="45"/>
      <c r="J183" s="45"/>
      <c r="K183" s="45"/>
    </row>
    <row r="184" spans="3:11" ht="15" customHeight="1">
      <c r="C184" s="85" t="str">
        <f>IF(Indice_index!$Z$1=1,"Evolução da Receita, Despesa e Saldo da Segurança Social (valores acumulados)","Social Security Revenue, Expenditure and Balance Evolution (cumulative values)")</f>
        <v>Evolução da Receita, Despesa e Saldo da Segurança Social (valores acumulados)</v>
      </c>
      <c r="D184" s="38"/>
      <c r="E184" s="38"/>
      <c r="F184" s="38"/>
      <c r="G184" s="38"/>
      <c r="H184" s="38"/>
      <c r="I184" s="38"/>
      <c r="J184" s="39"/>
      <c r="K184" s="89" t="str">
        <f>IF(Indice_index!$Z$1=1,"€ Milhões","€ Millions")</f>
        <v>€ Milhões</v>
      </c>
    </row>
    <row r="185" spans="3:11" ht="15" customHeight="1">
      <c r="C185" s="80"/>
      <c r="D185" s="80"/>
      <c r="E185" s="338" t="str">
        <f>IF(Indice_index!$Z$1=1,"Receita efetiva","Effective revenue")</f>
        <v>Receita efetiva</v>
      </c>
      <c r="F185" s="338"/>
      <c r="G185" s="338" t="str">
        <f>IF(Indice_index!$Z$1=1,"Despesa  efetiva","Effective expenditure")</f>
        <v>Despesa  efetiva</v>
      </c>
      <c r="H185" s="338"/>
      <c r="I185" s="338" t="str">
        <f>IF(Indice_index!$Z$1=1,"Saldo global","Overall
balance")</f>
        <v>Saldo global</v>
      </c>
      <c r="J185" s="340" t="str">
        <f>IF(Indice_index!$Z$1=1,"VH (%)","YOY Change Rate (%)")</f>
        <v>VH (%)</v>
      </c>
      <c r="K185" s="340"/>
    </row>
    <row r="186" spans="3:11" ht="15" customHeight="1">
      <c r="C186" s="81"/>
      <c r="D186" s="83"/>
      <c r="E186" s="339"/>
      <c r="F186" s="339"/>
      <c r="G186" s="339"/>
      <c r="H186" s="339"/>
      <c r="I186" s="339"/>
      <c r="J186" s="67" t="str">
        <f>IF(Indice_index!$Z$1=1,"Receita","Revenue")</f>
        <v>Receita</v>
      </c>
      <c r="K186" s="82" t="str">
        <f>IF(Indice_index!$Z$1=1,"Despesa","Expenditure")</f>
        <v>Despesa</v>
      </c>
    </row>
    <row r="187" spans="3:28" s="16" customFormat="1" ht="15.75" customHeight="1">
      <c r="C187" s="24"/>
      <c r="D187" s="25"/>
      <c r="E187" s="19" t="str">
        <f>IF(Indice_index!$Z$1=1,"Ano n-1","Year n-1")</f>
        <v>Ano n-1</v>
      </c>
      <c r="F187" s="19" t="str">
        <f>IF(Indice_index!$Z$1=1,"Ano n","Year n")</f>
        <v>Ano n</v>
      </c>
      <c r="G187" s="19" t="str">
        <f>IF(Indice_index!$Z$1=1,"Ano n-1","Year n-1")</f>
        <v>Ano n-1</v>
      </c>
      <c r="H187" s="19" t="str">
        <f>IF(Indice_index!$Z$1=1,"Ano n","Year n")</f>
        <v>Ano n</v>
      </c>
      <c r="I187" s="19" t="str">
        <f>IF(Indice_index!$Z$1=1,"Ano n","Year n")</f>
        <v>Ano n</v>
      </c>
      <c r="J187" s="20" t="str">
        <f>IF(Indice_index!$Z$1=1,"Ano n","Year n")</f>
        <v>Ano n</v>
      </c>
      <c r="K187" s="20" t="str">
        <f>IF(Indice_index!$Z$1=1,"Ano n","Year n")</f>
        <v>Ano n</v>
      </c>
      <c r="L187"/>
      <c r="M187" s="17"/>
      <c r="Z187" s="2"/>
      <c r="AA187" s="2"/>
      <c r="AB187" s="2"/>
    </row>
    <row r="188" spans="3:28" s="16" customFormat="1" ht="15.75" customHeight="1">
      <c r="C188" s="21" t="s">
        <v>2</v>
      </c>
      <c r="D188" s="8" t="str">
        <f>IF(Indice_index!$Z$1=1,"janeiro","January")</f>
        <v>janeiro</v>
      </c>
      <c r="E188" s="28">
        <v>1996.8926433</v>
      </c>
      <c r="F188" s="28">
        <v>1926.3779699</v>
      </c>
      <c r="G188" s="28">
        <v>1425.6979075</v>
      </c>
      <c r="H188" s="28">
        <v>1541.5801919</v>
      </c>
      <c r="I188" s="8">
        <f aca="true" t="shared" si="28" ref="I188:I198">IF(F188="","",+F188-H188)</f>
        <v>384.7977779999999</v>
      </c>
      <c r="J188" s="23">
        <f aca="true" t="shared" si="29" ref="J188:J199">IF(F188="","",IF(E188=0,"-",(F188-E188)/E188))</f>
        <v>-0.035312200501409895</v>
      </c>
      <c r="K188" s="23">
        <f aca="true" t="shared" si="30" ref="K188:K199">IF(H188="","",IF(G188=0,"-",(H188-G188)/G188))</f>
        <v>0.08128109313367995</v>
      </c>
      <c r="L188"/>
      <c r="M188" s="17"/>
      <c r="Z188" s="2"/>
      <c r="AA188" s="2"/>
      <c r="AB188" s="2"/>
    </row>
    <row r="189" spans="3:28" s="16" customFormat="1" ht="15.75" customHeight="1">
      <c r="C189" s="24"/>
      <c r="D189" s="8" t="str">
        <f>IF(Indice_index!$Z$1=1,"fevereiro","February")</f>
        <v>fevereiro</v>
      </c>
      <c r="E189" s="28">
        <v>3644.464237</v>
      </c>
      <c r="F189" s="28">
        <v>3710.6738088</v>
      </c>
      <c r="G189" s="28">
        <v>2949.9491103</v>
      </c>
      <c r="H189" s="28">
        <v>3105.0225474</v>
      </c>
      <c r="I189" s="8">
        <f t="shared" si="28"/>
        <v>605.6512614000003</v>
      </c>
      <c r="J189" s="23">
        <f t="shared" si="29"/>
        <v>0.018167161891126563</v>
      </c>
      <c r="K189" s="23">
        <f t="shared" si="30"/>
        <v>0.05256817365375819</v>
      </c>
      <c r="L189"/>
      <c r="M189" s="17"/>
      <c r="Z189" s="2"/>
      <c r="AA189" s="2"/>
      <c r="AB189" s="2"/>
    </row>
    <row r="190" spans="3:28" s="16" customFormat="1" ht="15.75" customHeight="1">
      <c r="C190" s="24"/>
      <c r="D190" s="8" t="str">
        <f>IF(Indice_index!$Z$1=1,"março","March")</f>
        <v>março</v>
      </c>
      <c r="E190" s="28">
        <v>5291.5660819</v>
      </c>
      <c r="F190" s="28">
        <v>5389.318277</v>
      </c>
      <c r="G190" s="28">
        <v>4390.3603233</v>
      </c>
      <c r="H190" s="28">
        <v>4684.8547855</v>
      </c>
      <c r="I190" s="8">
        <f t="shared" si="28"/>
        <v>704.4634915000006</v>
      </c>
      <c r="J190" s="23">
        <f t="shared" si="29"/>
        <v>0.018473206908322458</v>
      </c>
      <c r="K190" s="23">
        <f t="shared" si="30"/>
        <v>0.06707751540052265</v>
      </c>
      <c r="L190"/>
      <c r="M190" s="17"/>
      <c r="Z190" s="2"/>
      <c r="AA190" s="2"/>
      <c r="AB190" s="2"/>
    </row>
    <row r="191" spans="3:28" s="16" customFormat="1" ht="15.75" customHeight="1">
      <c r="C191" s="24"/>
      <c r="D191" s="8" t="str">
        <f>IF(Indice_index!$Z$1=1,"abril","April")</f>
        <v>abril</v>
      </c>
      <c r="E191" s="28">
        <v>7195.8011182</v>
      </c>
      <c r="F191" s="28">
        <v>7235.376573</v>
      </c>
      <c r="G191" s="28">
        <v>5850.3945984</v>
      </c>
      <c r="H191" s="28">
        <v>6350.9868559</v>
      </c>
      <c r="I191" s="8">
        <f t="shared" si="28"/>
        <v>884.3897170999999</v>
      </c>
      <c r="J191" s="23">
        <f t="shared" si="29"/>
        <v>0.005499798305973633</v>
      </c>
      <c r="K191" s="23">
        <f t="shared" si="30"/>
        <v>0.08556555443916627</v>
      </c>
      <c r="L191"/>
      <c r="M191" s="17"/>
      <c r="Z191" s="2"/>
      <c r="AA191" s="2"/>
      <c r="AB191" s="2"/>
    </row>
    <row r="192" spans="3:28" s="16" customFormat="1" ht="15.75" customHeight="1">
      <c r="C192" s="24"/>
      <c r="D192" s="8" t="str">
        <f>IF(Indice_index!$Z$1=1,"maio","May")</f>
        <v>maio</v>
      </c>
      <c r="E192" s="28">
        <v>8870.5789127</v>
      </c>
      <c r="F192" s="28">
        <v>9122.5059396</v>
      </c>
      <c r="G192" s="28">
        <v>7308.8957681</v>
      </c>
      <c r="H192" s="28">
        <v>8018.3076363</v>
      </c>
      <c r="I192" s="8">
        <f t="shared" si="28"/>
        <v>1104.1983032999997</v>
      </c>
      <c r="J192" s="23">
        <f t="shared" si="29"/>
        <v>0.028400291500627454</v>
      </c>
      <c r="K192" s="23">
        <f t="shared" si="30"/>
        <v>0.09706142907335735</v>
      </c>
      <c r="L192"/>
      <c r="M192" s="17"/>
      <c r="Z192" s="2"/>
      <c r="AA192" s="2"/>
      <c r="AB192" s="2"/>
    </row>
    <row r="193" spans="3:28" s="16" customFormat="1" ht="15.75" customHeight="1">
      <c r="C193" s="24"/>
      <c r="D193" s="8" t="str">
        <f>IF(Indice_index!$Z$1=1,"junho","June")</f>
        <v>junho</v>
      </c>
      <c r="E193" s="28">
        <v>10649.4351677</v>
      </c>
      <c r="F193" s="28">
        <v>10933.2998074</v>
      </c>
      <c r="G193" s="28">
        <v>8817.4813712</v>
      </c>
      <c r="H193" s="28">
        <v>9754.5895716</v>
      </c>
      <c r="I193" s="8">
        <f t="shared" si="28"/>
        <v>1178.710235800001</v>
      </c>
      <c r="J193" s="23">
        <f t="shared" si="29"/>
        <v>0.026655370470817983</v>
      </c>
      <c r="K193" s="23">
        <f t="shared" si="30"/>
        <v>0.10627844403060711</v>
      </c>
      <c r="L193"/>
      <c r="M193" s="17"/>
      <c r="Z193" s="2"/>
      <c r="AA193" s="2"/>
      <c r="AB193" s="2"/>
    </row>
    <row r="194" spans="3:28" s="16" customFormat="1" ht="15.75" customHeight="1">
      <c r="C194" s="24"/>
      <c r="D194" s="8" t="str">
        <f>IF(Indice_index!$Z$1=1,"julho","July")</f>
        <v>julho</v>
      </c>
      <c r="E194" s="28">
        <v>12529.9083878</v>
      </c>
      <c r="F194" s="28">
        <v>12876.9011444</v>
      </c>
      <c r="G194" s="28">
        <v>11268.0759503</v>
      </c>
      <c r="H194" s="28">
        <v>12410.4073787</v>
      </c>
      <c r="I194" s="8">
        <f t="shared" si="28"/>
        <v>466.49376570000095</v>
      </c>
      <c r="J194" s="23">
        <f t="shared" si="29"/>
        <v>0.02769315990672822</v>
      </c>
      <c r="K194" s="23">
        <f t="shared" si="30"/>
        <v>0.10137768270629961</v>
      </c>
      <c r="L194"/>
      <c r="M194" s="17"/>
      <c r="Z194" s="2"/>
      <c r="AA194" s="2"/>
      <c r="AB194" s="2"/>
    </row>
    <row r="195" spans="3:28" s="16" customFormat="1" ht="15.75" customHeight="1">
      <c r="C195" s="24"/>
      <c r="D195" s="8" t="str">
        <f>IF(Indice_index!$Z$1=1,"agosto","August")</f>
        <v>agosto</v>
      </c>
      <c r="E195" s="28">
        <v>14344.0476053</v>
      </c>
      <c r="F195" s="28">
        <v>14762.7927158</v>
      </c>
      <c r="G195" s="28">
        <v>12810.0709405</v>
      </c>
      <c r="H195" s="28">
        <v>14134.7054721</v>
      </c>
      <c r="I195" s="8">
        <f t="shared" si="28"/>
        <v>628.0872436999998</v>
      </c>
      <c r="J195" s="23">
        <f t="shared" si="29"/>
        <v>0.029192953204176298</v>
      </c>
      <c r="K195" s="23">
        <f t="shared" si="30"/>
        <v>0.10340571396931685</v>
      </c>
      <c r="L195"/>
      <c r="M195" s="17"/>
      <c r="Z195" s="2"/>
      <c r="AA195" s="2"/>
      <c r="AB195" s="2"/>
    </row>
    <row r="196" spans="3:28" s="16" customFormat="1" ht="15.75" customHeight="1">
      <c r="C196" s="24"/>
      <c r="D196" s="8" t="str">
        <f>IF(Indice_index!$Z$1=1,"setembro","September")</f>
        <v>setembro</v>
      </c>
      <c r="E196" s="28">
        <v>16032.2500896</v>
      </c>
      <c r="F196" s="28">
        <v>16879.888337</v>
      </c>
      <c r="G196" s="28">
        <v>14311.266007</v>
      </c>
      <c r="H196" s="28">
        <v>15878.0003596</v>
      </c>
      <c r="I196" s="8">
        <f t="shared" si="28"/>
        <v>1001.8879773999997</v>
      </c>
      <c r="J196" s="23">
        <f t="shared" si="29"/>
        <v>0.052870822414993184</v>
      </c>
      <c r="K196" s="23">
        <f t="shared" si="30"/>
        <v>0.10947559439071786</v>
      </c>
      <c r="L196"/>
      <c r="M196" s="17"/>
      <c r="Z196" s="2"/>
      <c r="AA196" s="2"/>
      <c r="AB196" s="2"/>
    </row>
    <row r="197" spans="3:28" s="16" customFormat="1" ht="15.75" customHeight="1">
      <c r="C197" s="24"/>
      <c r="D197" s="8" t="str">
        <f>IF(Indice_index!$Z$1=1,"outubro","October")</f>
        <v>outubro</v>
      </c>
      <c r="E197" s="28">
        <v>17821.0413366</v>
      </c>
      <c r="F197" s="28">
        <v>18666.8006046</v>
      </c>
      <c r="G197" s="28">
        <v>15917.8420093</v>
      </c>
      <c r="H197" s="28">
        <v>17667.8231525</v>
      </c>
      <c r="I197" s="8">
        <f t="shared" si="28"/>
        <v>998.9774520999999</v>
      </c>
      <c r="J197" s="23">
        <f t="shared" si="29"/>
        <v>0.04745846508211739</v>
      </c>
      <c r="K197" s="23">
        <f t="shared" si="30"/>
        <v>0.10993834102496897</v>
      </c>
      <c r="L197"/>
      <c r="M197" s="17"/>
      <c r="Z197" s="2"/>
      <c r="AA197" s="2"/>
      <c r="AB197" s="2"/>
    </row>
    <row r="198" spans="3:28" s="16" customFormat="1" ht="15.75" customHeight="1">
      <c r="C198" s="24"/>
      <c r="D198" s="8" t="str">
        <f>IF(Indice_index!$Z$1=1,"novembro","November")</f>
        <v>novembro</v>
      </c>
      <c r="E198" s="28">
        <v>19497.4580078</v>
      </c>
      <c r="F198" s="28">
        <v>20568.9993787</v>
      </c>
      <c r="G198" s="28">
        <v>17574.2670471</v>
      </c>
      <c r="H198" s="28">
        <v>19471.9121093</v>
      </c>
      <c r="I198" s="8">
        <f t="shared" si="28"/>
        <v>1097.087269399999</v>
      </c>
      <c r="J198" s="23">
        <f t="shared" si="29"/>
        <v>0.05495800378035568</v>
      </c>
      <c r="K198" s="23">
        <f t="shared" si="30"/>
        <v>0.10797861766378128</v>
      </c>
      <c r="L198"/>
      <c r="M198" s="17"/>
      <c r="Z198" s="2"/>
      <c r="AA198" s="2"/>
      <c r="AB198" s="2"/>
    </row>
    <row r="199" spans="3:28" s="16" customFormat="1" ht="8.25" customHeight="1">
      <c r="C199" s="24"/>
      <c r="D199" s="25" t="str">
        <f>IF(Indice_index!$Z$1=1,"dezembro","December")</f>
        <v>dezembro</v>
      </c>
      <c r="E199" s="28">
        <v>21649.9</v>
      </c>
      <c r="F199" s="28">
        <v>22849.1</v>
      </c>
      <c r="G199" s="28">
        <v>20038.5</v>
      </c>
      <c r="H199" s="28">
        <v>22269.7</v>
      </c>
      <c r="I199" s="25">
        <f>IF(F199="","",+F199-H199)</f>
        <v>579.3999999999978</v>
      </c>
      <c r="J199" s="23">
        <f t="shared" si="29"/>
        <v>0.055390556076471344</v>
      </c>
      <c r="K199" s="23">
        <f t="shared" si="30"/>
        <v>0.11134565960525991</v>
      </c>
      <c r="L199"/>
      <c r="M199" s="17"/>
      <c r="Z199" s="2"/>
      <c r="AA199" s="2"/>
      <c r="AB199" s="2"/>
    </row>
    <row r="200" spans="3:11" ht="15.75" customHeight="1">
      <c r="C200" s="24"/>
      <c r="D200" s="25"/>
      <c r="E200" s="28"/>
      <c r="F200" s="28"/>
      <c r="G200" s="28"/>
      <c r="H200" s="28"/>
      <c r="I200" s="25"/>
      <c r="J200" s="26"/>
      <c r="K200" s="26"/>
    </row>
    <row r="201" spans="3:11" ht="15.75" customHeight="1">
      <c r="C201" s="21" t="s">
        <v>3</v>
      </c>
      <c r="D201" s="8" t="str">
        <f>IF(Indice_index!$Z$1=1,"janeiro","January")</f>
        <v>janeiro</v>
      </c>
      <c r="E201" s="28">
        <v>1926.9506584</v>
      </c>
      <c r="F201" s="28">
        <v>1981.8487274</v>
      </c>
      <c r="G201" s="28">
        <v>1543.2234024</v>
      </c>
      <c r="H201" s="28">
        <v>1617.6272065</v>
      </c>
      <c r="I201" s="8">
        <f aca="true" t="shared" si="31" ref="I201:I209">IF(F201="","",+F201-H201)</f>
        <v>364.22152089999986</v>
      </c>
      <c r="J201" s="23">
        <f aca="true" t="shared" si="32" ref="J201:J209">IF(F201="","",IF(E201=0,"-",(F201-E201)/E201))</f>
        <v>0.028489608055446123</v>
      </c>
      <c r="K201" s="23">
        <f>IF(H201="","",IF(G201=0,"-",(H201-G201)/G201))</f>
        <v>0.04821324247953235</v>
      </c>
    </row>
    <row r="202" spans="4:11" ht="15.75" customHeight="1">
      <c r="D202" s="8" t="str">
        <f>IF(Indice_index!$Z$1=1,"fevereiro","February")</f>
        <v>fevereiro</v>
      </c>
      <c r="E202" s="28">
        <v>3705.0036458</v>
      </c>
      <c r="F202" s="28">
        <v>3720.4210883</v>
      </c>
      <c r="G202" s="28">
        <v>3105.177308</v>
      </c>
      <c r="H202" s="28">
        <v>3310.9460838</v>
      </c>
      <c r="I202" s="8">
        <f t="shared" si="31"/>
        <v>409.47500450000007</v>
      </c>
      <c r="J202" s="23">
        <f t="shared" si="32"/>
        <v>0.0041612489416784654</v>
      </c>
      <c r="K202" s="23">
        <f aca="true" t="shared" si="33" ref="K202:K209">IF(H202="","",IF(G202=0,"-",(H202-G202)/G202))</f>
        <v>0.06626635305812308</v>
      </c>
    </row>
    <row r="203" spans="4:11" ht="15.75" customHeight="1">
      <c r="D203" s="8" t="str">
        <f>IF(Indice_index!$Z$1=1,"março","March")</f>
        <v>março</v>
      </c>
      <c r="E203" s="28">
        <v>5389.4</v>
      </c>
      <c r="F203" s="28">
        <v>5570.6</v>
      </c>
      <c r="G203" s="28">
        <v>4685</v>
      </c>
      <c r="H203" s="28">
        <v>5068</v>
      </c>
      <c r="I203" s="8">
        <f t="shared" si="31"/>
        <v>502.60000000000036</v>
      </c>
      <c r="J203" s="23">
        <f t="shared" si="32"/>
        <v>0.0336215534196758</v>
      </c>
      <c r="K203" s="23">
        <f t="shared" si="33"/>
        <v>0.08175026680896479</v>
      </c>
    </row>
    <row r="204" spans="4:11" ht="15.75" customHeight="1">
      <c r="D204" s="8" t="str">
        <f>IF(Indice_index!$Z$1=1,"abril","April")</f>
        <v>abril</v>
      </c>
      <c r="E204" s="28">
        <v>7236.0886313</v>
      </c>
      <c r="F204" s="28">
        <v>7451.084437880001</v>
      </c>
      <c r="G204" s="28">
        <v>6356.0472554299995</v>
      </c>
      <c r="H204" s="28">
        <v>6974.99659634</v>
      </c>
      <c r="I204" s="8">
        <f t="shared" si="31"/>
        <v>476.08784154000114</v>
      </c>
      <c r="J204" s="23">
        <f t="shared" si="32"/>
        <v>0.029711604920098382</v>
      </c>
      <c r="K204" s="32">
        <f t="shared" si="33"/>
        <v>0.09737960025096247</v>
      </c>
    </row>
    <row r="205" spans="4:11" ht="15.75" customHeight="1">
      <c r="D205" s="8" t="str">
        <f>IF(Indice_index!$Z$1=1,"maio","May")</f>
        <v>maio</v>
      </c>
      <c r="E205" s="28">
        <v>9122.749186919998</v>
      </c>
      <c r="F205" s="28">
        <v>9503.590895899999</v>
      </c>
      <c r="G205" s="28">
        <v>8018.583124939998</v>
      </c>
      <c r="H205" s="28">
        <v>8783.590538590002</v>
      </c>
      <c r="I205" s="8">
        <f t="shared" si="31"/>
        <v>720.0003573099966</v>
      </c>
      <c r="J205" s="23">
        <f t="shared" si="32"/>
        <v>0.041746375042957785</v>
      </c>
      <c r="K205" s="32">
        <f t="shared" si="33"/>
        <v>0.09540431292289293</v>
      </c>
    </row>
    <row r="206" spans="4:11" ht="15.75" customHeight="1">
      <c r="D206" s="8" t="str">
        <f>IF(Indice_index!$Z$1=1,"junho","June")</f>
        <v>junho</v>
      </c>
      <c r="E206" s="28">
        <v>10933.17429768</v>
      </c>
      <c r="F206" s="28">
        <v>11484.108591630002</v>
      </c>
      <c r="G206" s="28">
        <v>9754.866764960003</v>
      </c>
      <c r="H206" s="28">
        <v>10535.90807539</v>
      </c>
      <c r="I206" s="8">
        <f t="shared" si="31"/>
        <v>948.2005162400019</v>
      </c>
      <c r="J206" s="23">
        <f t="shared" si="32"/>
        <v>0.05039106474932073</v>
      </c>
      <c r="K206" s="32">
        <f t="shared" si="33"/>
        <v>0.08006683527811355</v>
      </c>
    </row>
    <row r="207" spans="4:11" ht="15.75" customHeight="1">
      <c r="D207" s="8" t="str">
        <f>IF(Indice_index!$Z$1=1,"julho","July")</f>
        <v>julho</v>
      </c>
      <c r="E207" s="28">
        <v>12875.741117740003</v>
      </c>
      <c r="F207" s="28">
        <v>13808.567682090003</v>
      </c>
      <c r="G207" s="28">
        <v>12410.989768690004</v>
      </c>
      <c r="H207" s="28">
        <v>13334.453361359998</v>
      </c>
      <c r="I207" s="8">
        <f t="shared" si="31"/>
        <v>474.1143207300047</v>
      </c>
      <c r="J207" s="23">
        <f t="shared" si="32"/>
        <v>0.07244837837448949</v>
      </c>
      <c r="K207" s="32">
        <f t="shared" si="33"/>
        <v>0.07440692562648585</v>
      </c>
    </row>
    <row r="208" spans="4:11" ht="15.75" customHeight="1">
      <c r="D208" s="8" t="str">
        <f>IF(Indice_index!$Z$1=1,"agosto","August")</f>
        <v>agosto</v>
      </c>
      <c r="E208" s="28">
        <v>14763.395171010003</v>
      </c>
      <c r="F208" s="28">
        <v>15765.101172139997</v>
      </c>
      <c r="G208" s="28">
        <v>14134.761505630002</v>
      </c>
      <c r="H208" s="28">
        <v>15104.623455269995</v>
      </c>
      <c r="I208" s="8">
        <f t="shared" si="31"/>
        <v>660.477716870002</v>
      </c>
      <c r="J208" s="23">
        <f t="shared" si="32"/>
        <v>0.06785065288349015</v>
      </c>
      <c r="K208" s="32">
        <f t="shared" si="33"/>
        <v>0.06861537417901876</v>
      </c>
    </row>
    <row r="209" spans="4:11" ht="15.75" customHeight="1">
      <c r="D209" s="8" t="str">
        <f>IF(Indice_index!$Z$1=1,"setembro","September")</f>
        <v>setembro</v>
      </c>
      <c r="E209" s="22">
        <v>16880.61526817</v>
      </c>
      <c r="F209" s="22">
        <v>17725.393157790004</v>
      </c>
      <c r="G209" s="22">
        <v>15878.031074769999</v>
      </c>
      <c r="H209" s="22">
        <v>16838.51344947</v>
      </c>
      <c r="I209" s="8">
        <f t="shared" si="31"/>
        <v>886.8797083200043</v>
      </c>
      <c r="J209" s="23">
        <f t="shared" si="32"/>
        <v>0.0500442594182519</v>
      </c>
      <c r="K209" s="32">
        <f t="shared" si="33"/>
        <v>0.060491276920738364</v>
      </c>
    </row>
    <row r="210" spans="4:11" ht="15.75" customHeight="1">
      <c r="D210" s="8" t="str">
        <f>IF(Indice_index!$Z$1=1,"outubro","October")</f>
        <v>outubro</v>
      </c>
      <c r="E210" s="28">
        <v>18666.163600649998</v>
      </c>
      <c r="F210" s="22">
        <v>19600.069190310005</v>
      </c>
      <c r="G210" s="28">
        <v>17667.846427690005</v>
      </c>
      <c r="H210" s="22">
        <v>18601.21826323</v>
      </c>
      <c r="I210" s="8">
        <f>IF(F210="","",+F210-H210)</f>
        <v>998.8509270800059</v>
      </c>
      <c r="J210" s="23">
        <f>IF(F210="","",IF(E210=0,"-",(F210-E210)/E210))</f>
        <v>0.05003200494972019</v>
      </c>
      <c r="K210" s="32">
        <f>IF(H210="","",IF(G210=0,"-",(H210-G210)/G210))</f>
        <v>0.052828840196231464</v>
      </c>
    </row>
    <row r="211" spans="4:11" ht="15.75" customHeight="1">
      <c r="D211" s="8" t="str">
        <f>IF(Indice_index!$Z$1=1,"novembro","November")</f>
        <v>novembro</v>
      </c>
      <c r="E211" s="28">
        <v>20570.630313219994</v>
      </c>
      <c r="F211" s="22">
        <v>21586.38325407</v>
      </c>
      <c r="G211" s="28">
        <v>19471.997256470007</v>
      </c>
      <c r="H211" s="22">
        <v>20382.286394319995</v>
      </c>
      <c r="I211" s="8">
        <f>IF(F211="","",+F211-H211)</f>
        <v>1204.0968597500032</v>
      </c>
      <c r="J211" s="23">
        <f>IF(F211="","",IF(E211=0,"-",(F211-E211)/E211))</f>
        <v>0.04937879517465333</v>
      </c>
      <c r="K211" s="32">
        <f>IF(H211="","",IF(G211=0,"-",(H211-G211)/G211))</f>
        <v>0.04674862705968819</v>
      </c>
    </row>
    <row r="212" spans="3:28" s="16" customFormat="1" ht="12.75">
      <c r="C212" s="8"/>
      <c r="D212" s="25" t="str">
        <f>IF(Indice_index!$Z$1=1,"dezembro","December")</f>
        <v>dezembro</v>
      </c>
      <c r="E212" s="22">
        <v>22849.15056654</v>
      </c>
      <c r="F212" s="22">
        <v>23836.24657016</v>
      </c>
      <c r="G212" s="22">
        <v>22269.774235569992</v>
      </c>
      <c r="H212" s="22">
        <v>23185.25210801</v>
      </c>
      <c r="I212" s="8">
        <f>IF(F212="","",+F212-H212)</f>
        <v>650.9944621499999</v>
      </c>
      <c r="J212" s="23">
        <f>IF(F212="","",IF(E212=0,"-",(F212-E212)/E212))</f>
        <v>0.04320055578195068</v>
      </c>
      <c r="K212" s="32">
        <f>IF(H212="","",IF(G212=0,"-",(H212-G212)/G212))</f>
        <v>0.04110853853999916</v>
      </c>
      <c r="L212"/>
      <c r="M212" s="17"/>
      <c r="Z212" s="2"/>
      <c r="AA212" s="2"/>
      <c r="AB212" s="2"/>
    </row>
    <row r="213" spans="3:11" ht="15.75" customHeight="1">
      <c r="C213" s="24"/>
      <c r="D213" s="25"/>
      <c r="E213" s="13"/>
      <c r="F213" s="13"/>
      <c r="G213" s="29"/>
      <c r="H213" s="29"/>
      <c r="I213" s="25"/>
      <c r="J213" s="23"/>
      <c r="K213" s="32"/>
    </row>
    <row r="214" spans="3:11" ht="15.75" customHeight="1">
      <c r="C214" s="21" t="s">
        <v>4</v>
      </c>
      <c r="D214" s="8" t="str">
        <f>IF(Indice_index!$Z$1=1,"janeiro","January")</f>
        <v>janeiro</v>
      </c>
      <c r="E214" s="13">
        <v>1980.7018442399997</v>
      </c>
      <c r="F214" s="13">
        <v>1994.8362822399995</v>
      </c>
      <c r="G214" s="13">
        <v>1617.8829799100001</v>
      </c>
      <c r="H214" s="30">
        <v>1684.3354851299994</v>
      </c>
      <c r="I214" s="8">
        <f aca="true" t="shared" si="34" ref="I214:I224">IF(F214="","",+F214-H214)</f>
        <v>310.5007971100001</v>
      </c>
      <c r="J214" s="23">
        <f aca="true" t="shared" si="35" ref="J214:J224">IF(F214="","",IF(E214=0,"-",(F214-E214)/E214))</f>
        <v>0.007136075548727142</v>
      </c>
      <c r="K214" s="32">
        <f aca="true" t="shared" si="36" ref="K214:K224">IF(H214="","",IF(G214=0,"-",(H214-G214)/G214))</f>
        <v>0.04107374021803225</v>
      </c>
    </row>
    <row r="215" spans="3:11" ht="15.75" customHeight="1">
      <c r="C215" s="21"/>
      <c r="D215" s="8" t="str">
        <f>IF(Indice_index!$Z$1=1,"fevereiro","February")</f>
        <v>fevereiro</v>
      </c>
      <c r="E215" s="13">
        <v>3721.1972781100003</v>
      </c>
      <c r="F215" s="13">
        <v>3852.9162513799993</v>
      </c>
      <c r="G215" s="13">
        <v>3311.30113596</v>
      </c>
      <c r="H215" s="30">
        <v>3371.5302627799992</v>
      </c>
      <c r="I215" s="8">
        <f t="shared" si="34"/>
        <v>481.3859886</v>
      </c>
      <c r="J215" s="23">
        <f t="shared" si="35"/>
        <v>0.035396933681758246</v>
      </c>
      <c r="K215" s="32">
        <f t="shared" si="36"/>
        <v>0.018188960878829232</v>
      </c>
    </row>
    <row r="216" spans="3:11" ht="15.75" customHeight="1">
      <c r="C216" s="21"/>
      <c r="D216" s="8" t="str">
        <f>IF(Indice_index!$Z$1=1,"março","March")</f>
        <v>março</v>
      </c>
      <c r="E216" s="13">
        <v>5572.441765630002</v>
      </c>
      <c r="F216" s="13">
        <v>5746.645014019999</v>
      </c>
      <c r="G216" s="13">
        <v>5069.3282613400015</v>
      </c>
      <c r="H216" s="30">
        <v>5166.970289759996</v>
      </c>
      <c r="I216" s="8">
        <f t="shared" si="34"/>
        <v>579.6747242600022</v>
      </c>
      <c r="J216" s="23">
        <f t="shared" si="35"/>
        <v>0.03126156462763891</v>
      </c>
      <c r="K216" s="32">
        <f t="shared" si="36"/>
        <v>0.019261334714628372</v>
      </c>
    </row>
    <row r="217" spans="3:11" ht="15.75" customHeight="1">
      <c r="C217" s="21"/>
      <c r="D217" s="8" t="str">
        <f>IF(Indice_index!$Z$1=1,"abril","April")</f>
        <v>abril</v>
      </c>
      <c r="E217" s="29">
        <v>7452.49872273</v>
      </c>
      <c r="F217" s="29">
        <v>7632.48049113</v>
      </c>
      <c r="G217" s="29">
        <v>6976.394119209998</v>
      </c>
      <c r="H217" s="29">
        <v>6906.118306829997</v>
      </c>
      <c r="I217" s="8">
        <f t="shared" si="34"/>
        <v>726.3621843000028</v>
      </c>
      <c r="J217" s="23">
        <f t="shared" si="35"/>
        <v>0.024150526567828654</v>
      </c>
      <c r="K217" s="32">
        <f t="shared" si="36"/>
        <v>-0.010073371885124988</v>
      </c>
    </row>
    <row r="218" spans="3:11" ht="15.75" customHeight="1">
      <c r="C218" s="21"/>
      <c r="D218" s="8" t="str">
        <f>IF(Indice_index!$Z$1=1,"maio","May")</f>
        <v>maio</v>
      </c>
      <c r="E218" s="29">
        <v>9505.171175549998</v>
      </c>
      <c r="F218" s="29">
        <v>9505.64299894</v>
      </c>
      <c r="G218" s="29">
        <v>8785.121131679998</v>
      </c>
      <c r="H218" s="29">
        <v>8762.412164679998</v>
      </c>
      <c r="I218" s="8">
        <f t="shared" si="34"/>
        <v>743.2308342600027</v>
      </c>
      <c r="J218" s="23">
        <f t="shared" si="35"/>
        <v>4.963860000919966E-05</v>
      </c>
      <c r="K218" s="32">
        <f t="shared" si="36"/>
        <v>-0.0025849349894686994</v>
      </c>
    </row>
    <row r="219" spans="3:13" ht="15.75" customHeight="1">
      <c r="C219" s="21"/>
      <c r="D219" s="8" t="str">
        <f>IF(Indice_index!$Z$1=1,"junho","June")</f>
        <v>junho</v>
      </c>
      <c r="E219" s="29">
        <v>11485.62458926</v>
      </c>
      <c r="F219" s="29">
        <v>11648.67225729</v>
      </c>
      <c r="G219" s="29">
        <v>10537.42873441</v>
      </c>
      <c r="H219" s="29">
        <v>10567.59654454</v>
      </c>
      <c r="I219" s="8">
        <f>IF(F219="","",+F219-H219)</f>
        <v>1081.07571275</v>
      </c>
      <c r="J219" s="23">
        <f>IF(F219="","",IF(E219=0,"-",(F219-E219)/E219))</f>
        <v>0.014195803350778396</v>
      </c>
      <c r="K219" s="32">
        <f>IF(H219="","",IF(G219=0,"-",(H219-G219)/G219))</f>
        <v>0.002862919493015151</v>
      </c>
      <c r="M219" s="31"/>
    </row>
    <row r="220" spans="3:13" ht="15.75" customHeight="1">
      <c r="C220" s="25"/>
      <c r="D220" s="8" t="str">
        <f>IF(Indice_index!$Z$1=1,"julho","July")</f>
        <v>julho</v>
      </c>
      <c r="E220" s="29">
        <v>13810.051159730001</v>
      </c>
      <c r="F220" s="29">
        <v>13634.38542702</v>
      </c>
      <c r="G220" s="29">
        <v>13335.982814590001</v>
      </c>
      <c r="H220" s="29">
        <v>13333.67963488</v>
      </c>
      <c r="I220" s="8">
        <f t="shared" si="34"/>
        <v>300.705792140001</v>
      </c>
      <c r="J220" s="23">
        <f t="shared" si="35"/>
        <v>-0.012720136274530251</v>
      </c>
      <c r="K220" s="32">
        <f t="shared" si="36"/>
        <v>-0.00017270416001746627</v>
      </c>
      <c r="M220" s="31"/>
    </row>
    <row r="221" spans="3:13" ht="15.75" customHeight="1">
      <c r="C221" s="25"/>
      <c r="D221" s="8" t="str">
        <f>IF(Indice_index!$Z$1=1,"agosto","August")</f>
        <v>agosto</v>
      </c>
      <c r="E221" s="29">
        <v>15766.616709869997</v>
      </c>
      <c r="F221" s="29">
        <v>15810.292052830002</v>
      </c>
      <c r="G221" s="29">
        <v>15106.152937070001</v>
      </c>
      <c r="H221" s="29">
        <v>15076.206869899997</v>
      </c>
      <c r="I221" s="8">
        <f t="shared" si="34"/>
        <v>734.0851829300045</v>
      </c>
      <c r="J221" s="23">
        <f t="shared" si="35"/>
        <v>0.0027701150959459696</v>
      </c>
      <c r="K221" s="32">
        <f t="shared" si="36"/>
        <v>-0.001982375479366216</v>
      </c>
      <c r="M221" s="31"/>
    </row>
    <row r="222" spans="3:13" ht="15.75" customHeight="1">
      <c r="C222" s="25"/>
      <c r="D222" s="8" t="str">
        <f>IF(Indice_index!$Z$1=1,"setembro","September")</f>
        <v>setembro</v>
      </c>
      <c r="E222" s="29">
        <v>17728.2792837</v>
      </c>
      <c r="F222" s="29">
        <v>17635.31778085</v>
      </c>
      <c r="G222" s="29">
        <v>16839.98155153</v>
      </c>
      <c r="H222" s="29">
        <v>16831.64805284</v>
      </c>
      <c r="I222" s="8">
        <f t="shared" si="34"/>
        <v>803.6697280100016</v>
      </c>
      <c r="J222" s="23">
        <f t="shared" si="35"/>
        <v>-0.005243684475090212</v>
      </c>
      <c r="K222" s="32">
        <f t="shared" si="36"/>
        <v>-0.0004948638847673625</v>
      </c>
      <c r="M222" s="31"/>
    </row>
    <row r="223" spans="3:13" ht="15.75" customHeight="1">
      <c r="C223" s="25"/>
      <c r="D223" s="8" t="str">
        <f>IF(Indice_index!$Z$1=1,"outubro","October")</f>
        <v>outubro</v>
      </c>
      <c r="E223" s="8">
        <v>19603.36121723</v>
      </c>
      <c r="F223" s="8">
        <v>19602.812945870006</v>
      </c>
      <c r="G223" s="8">
        <v>18601.964430969998</v>
      </c>
      <c r="H223" s="12">
        <v>18563.868724019998</v>
      </c>
      <c r="I223" s="8">
        <f t="shared" si="34"/>
        <v>1038.944221850008</v>
      </c>
      <c r="J223" s="23">
        <f t="shared" si="35"/>
        <v>-2.7968232280184626E-05</v>
      </c>
      <c r="K223" s="32">
        <f t="shared" si="36"/>
        <v>-0.0020479399953359403</v>
      </c>
      <c r="M223" s="31"/>
    </row>
    <row r="224" spans="3:13" ht="15.75" customHeight="1">
      <c r="C224" s="25"/>
      <c r="D224" s="8" t="str">
        <f>IF(Indice_index!$Z$1=1,"novembro","November")</f>
        <v>novembro</v>
      </c>
      <c r="E224" s="8">
        <v>21586.43220053</v>
      </c>
      <c r="F224" s="8">
        <v>21327.869570660005</v>
      </c>
      <c r="G224" s="8">
        <v>20382.261737689998</v>
      </c>
      <c r="H224" s="12">
        <v>20364.780081529996</v>
      </c>
      <c r="I224" s="8">
        <f t="shared" si="34"/>
        <v>963.0894891300086</v>
      </c>
      <c r="J224" s="23">
        <f t="shared" si="35"/>
        <v>-0.011978015980966285</v>
      </c>
      <c r="K224" s="32">
        <f t="shared" si="36"/>
        <v>-0.0008576897100519297</v>
      </c>
      <c r="M224" s="31"/>
    </row>
    <row r="225" spans="3:13" ht="12.75">
      <c r="C225" s="25"/>
      <c r="D225" s="13" t="str">
        <f>IF(Indice_index!$Z$1=1,"dezembro","December")</f>
        <v>dezembro</v>
      </c>
      <c r="E225" s="8">
        <v>23857.400163380004</v>
      </c>
      <c r="F225" s="8">
        <v>23537.59332172</v>
      </c>
      <c r="G225" s="8">
        <v>23168.25125254001</v>
      </c>
      <c r="H225" s="8">
        <v>23108.325992809998</v>
      </c>
      <c r="I225" s="8">
        <v>429.2673289100021</v>
      </c>
      <c r="J225" s="8">
        <v>-0.013404932619225297</v>
      </c>
      <c r="K225" s="8">
        <v>-0.0025865249421205766</v>
      </c>
      <c r="M225" s="31"/>
    </row>
    <row r="226" spans="3:13" ht="15.75" customHeight="1">
      <c r="C226" s="25"/>
      <c r="D226" s="13"/>
      <c r="H226" s="8"/>
      <c r="M226" s="31"/>
    </row>
    <row r="227" spans="3:13" ht="15.75" customHeight="1">
      <c r="C227" s="24" t="s">
        <v>5</v>
      </c>
      <c r="D227" s="8" t="str">
        <f>IF(Indice_index!$Z$1=1,"janeiro","January")</f>
        <v>janeiro</v>
      </c>
      <c r="E227" s="29">
        <v>1993.7978470399999</v>
      </c>
      <c r="F227" s="29">
        <v>2016.9395548599996</v>
      </c>
      <c r="G227" s="29">
        <v>1683.5343674699993</v>
      </c>
      <c r="H227" s="29">
        <v>1787.9919711900002</v>
      </c>
      <c r="I227" s="13">
        <f aca="true" t="shared" si="37" ref="I227:I237">IF(F227="","",+F227-H227)</f>
        <v>228.9475836699994</v>
      </c>
      <c r="J227" s="53">
        <f aca="true" t="shared" si="38" ref="J227:J232">IF(F227="","",IF(E227=0,"-",(F227-E227)/E227))</f>
        <v>0.011606847632199026</v>
      </c>
      <c r="K227" s="54">
        <f aca="true" t="shared" si="39" ref="K227:K232">IF(H227="","",IF(G227=0,"-",(H227-G227)/G227))</f>
        <v>0.06204661201955671</v>
      </c>
      <c r="M227" s="31"/>
    </row>
    <row r="228" spans="3:13" ht="15.75" customHeight="1">
      <c r="C228" s="24"/>
      <c r="D228" s="8" t="str">
        <f>IF(Indice_index!$Z$1=1,"fevereiro","February")</f>
        <v>fevereiro</v>
      </c>
      <c r="E228" s="29">
        <v>3850.943712809999</v>
      </c>
      <c r="F228" s="29">
        <v>4056.71971162</v>
      </c>
      <c r="G228" s="29">
        <v>3369.6808819499993</v>
      </c>
      <c r="H228" s="29">
        <v>3643.2719772299997</v>
      </c>
      <c r="I228" s="13">
        <f t="shared" si="37"/>
        <v>413.4477343900003</v>
      </c>
      <c r="J228" s="53">
        <f t="shared" si="38"/>
        <v>0.053435213328487774</v>
      </c>
      <c r="K228" s="54">
        <f t="shared" si="39"/>
        <v>0.08119198964670984</v>
      </c>
      <c r="M228" s="31"/>
    </row>
    <row r="229" spans="3:13" ht="15.75" customHeight="1">
      <c r="C229" s="24"/>
      <c r="D229" s="8" t="str">
        <f>IF(Indice_index!$Z$1=1,"março","March")</f>
        <v>março</v>
      </c>
      <c r="E229" s="29">
        <v>5743.689359409999</v>
      </c>
      <c r="F229" s="29">
        <v>5806.38994592</v>
      </c>
      <c r="G229" s="29">
        <v>5164.014788019998</v>
      </c>
      <c r="H229" s="29">
        <v>5528.17757744</v>
      </c>
      <c r="I229" s="13">
        <f t="shared" si="37"/>
        <v>278.2123684799999</v>
      </c>
      <c r="J229" s="53">
        <f t="shared" si="38"/>
        <v>0.010916430640051468</v>
      </c>
      <c r="K229" s="54">
        <f t="shared" si="39"/>
        <v>0.07051931575889818</v>
      </c>
      <c r="M229" s="31"/>
    </row>
    <row r="230" spans="3:13" ht="15.75" customHeight="1">
      <c r="C230" s="24"/>
      <c r="D230" s="8" t="str">
        <f>IF(Indice_index!$Z$1=1,"abril","April")</f>
        <v>abril</v>
      </c>
      <c r="E230" s="29">
        <v>7628.567588529997</v>
      </c>
      <c r="F230" s="29">
        <v>7697.41661583</v>
      </c>
      <c r="G230" s="29">
        <v>6902.20676572</v>
      </c>
      <c r="H230" s="29">
        <v>7422.10910309</v>
      </c>
      <c r="I230" s="13">
        <f t="shared" si="37"/>
        <v>275.3075127400007</v>
      </c>
      <c r="J230" s="53">
        <f t="shared" si="38"/>
        <v>0.009025157934436078</v>
      </c>
      <c r="K230" s="54">
        <f t="shared" si="39"/>
        <v>0.07532407460641566</v>
      </c>
      <c r="M230" s="31"/>
    </row>
    <row r="231" spans="3:13" ht="15.75" customHeight="1">
      <c r="C231" s="24"/>
      <c r="D231" s="8" t="str">
        <f>IF(Indice_index!$Z$1=1,"maio","May")</f>
        <v>maio</v>
      </c>
      <c r="E231" s="29">
        <v>9500.761521840002</v>
      </c>
      <c r="F231" s="29">
        <v>9598.680127529999</v>
      </c>
      <c r="G231" s="29">
        <v>8757.52306345</v>
      </c>
      <c r="H231" s="29">
        <v>9283.40964353</v>
      </c>
      <c r="I231" s="13">
        <f t="shared" si="37"/>
        <v>315.27048399999876</v>
      </c>
      <c r="J231" s="53">
        <f t="shared" si="38"/>
        <v>0.010306395488919965</v>
      </c>
      <c r="K231" s="54">
        <f t="shared" si="39"/>
        <v>0.06004969399108017</v>
      </c>
      <c r="M231" s="31"/>
    </row>
    <row r="232" spans="3:13" ht="15.75" customHeight="1">
      <c r="C232" s="24"/>
      <c r="D232" s="8" t="str">
        <f>IF(Indice_index!$Z$1=1,"junho","June")</f>
        <v>junho</v>
      </c>
      <c r="E232" s="29">
        <v>11642.775585049998</v>
      </c>
      <c r="F232" s="29">
        <v>11429.84272599</v>
      </c>
      <c r="G232" s="29">
        <v>10561.693882630001</v>
      </c>
      <c r="H232" s="29">
        <v>11156.007194150001</v>
      </c>
      <c r="I232" s="13">
        <f t="shared" si="37"/>
        <v>273.835531839999</v>
      </c>
      <c r="J232" s="53">
        <f t="shared" si="38"/>
        <v>-0.018288839933788315</v>
      </c>
      <c r="K232" s="54">
        <f t="shared" si="39"/>
        <v>0.056270643527873955</v>
      </c>
      <c r="M232" s="31"/>
    </row>
    <row r="233" spans="3:13" ht="15.75" customHeight="1">
      <c r="C233" s="24"/>
      <c r="D233" s="8" t="str">
        <f>IF(Indice_index!$Z$1=1,"julho","July")</f>
        <v>julho</v>
      </c>
      <c r="E233" s="29">
        <v>13628.31883907</v>
      </c>
      <c r="F233" s="29">
        <v>13874.462689139998</v>
      </c>
      <c r="G233" s="29">
        <v>13325.89595639</v>
      </c>
      <c r="H233" s="29">
        <v>13734.814966610002</v>
      </c>
      <c r="I233" s="13">
        <f t="shared" si="37"/>
        <v>139.64772252999683</v>
      </c>
      <c r="J233" s="53">
        <f aca="true" t="shared" si="40" ref="J233:J238">IF(F233="","",IF(E233=0,"-",(F233-E233)/E233))</f>
        <v>0.01806120424511551</v>
      </c>
      <c r="K233" s="54">
        <f aca="true" t="shared" si="41" ref="K233:K238">IF(H233="","",IF(G233=0,"-",(H233-G233)/G233))</f>
        <v>0.030686042541396032</v>
      </c>
      <c r="M233" s="31"/>
    </row>
    <row r="234" spans="3:13" ht="15.75" customHeight="1">
      <c r="C234" s="24"/>
      <c r="D234" s="8" t="str">
        <f>IF(Indice_index!$Z$1=1,"agosto","August")</f>
        <v>agosto</v>
      </c>
      <c r="E234" s="29">
        <v>15795.19962802</v>
      </c>
      <c r="F234" s="29">
        <v>15911.097511919997</v>
      </c>
      <c r="G234" s="29">
        <v>15067.51715743</v>
      </c>
      <c r="H234" s="29">
        <v>15642.34336234</v>
      </c>
      <c r="I234" s="13">
        <f t="shared" si="37"/>
        <v>268.75414957999783</v>
      </c>
      <c r="J234" s="53">
        <f t="shared" si="40"/>
        <v>0.007337538405934393</v>
      </c>
      <c r="K234" s="54">
        <f t="shared" si="41"/>
        <v>0.038150028229869626</v>
      </c>
      <c r="M234" s="31"/>
    </row>
    <row r="235" spans="3:13" ht="15.75" customHeight="1">
      <c r="C235" s="24"/>
      <c r="D235" s="8" t="str">
        <f>IF(Indice_index!$Z$1=1,"setembro","September")</f>
        <v>setembro</v>
      </c>
      <c r="E235" s="29">
        <v>17625.833886320004</v>
      </c>
      <c r="F235" s="29">
        <v>17678.50242318</v>
      </c>
      <c r="G235" s="29">
        <v>16822.15831751</v>
      </c>
      <c r="H235" s="29">
        <v>17434.273757959996</v>
      </c>
      <c r="I235" s="13">
        <f t="shared" si="37"/>
        <v>244.2286652200055</v>
      </c>
      <c r="J235" s="53">
        <f t="shared" si="40"/>
        <v>0.0029881444021139453</v>
      </c>
      <c r="K235" s="54">
        <f t="shared" si="41"/>
        <v>0.03638744974911176</v>
      </c>
      <c r="M235" s="31"/>
    </row>
    <row r="236" spans="3:13" ht="15.75" customHeight="1">
      <c r="C236" s="24"/>
      <c r="D236" s="8" t="str">
        <f>IF(Indice_index!$Z$1=1,"outubro","October")</f>
        <v>outubro</v>
      </c>
      <c r="E236" s="29">
        <v>19592.1839231</v>
      </c>
      <c r="F236" s="29">
        <v>19492.85743806</v>
      </c>
      <c r="G236" s="29">
        <v>18553.239701250004</v>
      </c>
      <c r="H236" s="29">
        <v>19256.160851750003</v>
      </c>
      <c r="I236" s="13">
        <f t="shared" si="37"/>
        <v>236.69658630999766</v>
      </c>
      <c r="J236" s="53">
        <f t="shared" si="40"/>
        <v>-0.005069699500058844</v>
      </c>
      <c r="K236" s="54">
        <f t="shared" si="41"/>
        <v>0.037886706678652994</v>
      </c>
      <c r="M236" s="31"/>
    </row>
    <row r="237" spans="3:13" ht="15.75" customHeight="1">
      <c r="C237" s="24"/>
      <c r="D237" s="8" t="str">
        <f>IF(Indice_index!$Z$1=1,"novembro","November")</f>
        <v>novembro</v>
      </c>
      <c r="E237" s="29">
        <v>21316.245875430002</v>
      </c>
      <c r="F237" s="29">
        <v>21236.805954370004</v>
      </c>
      <c r="G237" s="29">
        <v>20353.15681524</v>
      </c>
      <c r="H237" s="29">
        <v>21121.645655999997</v>
      </c>
      <c r="I237" s="13">
        <f t="shared" si="37"/>
        <v>115.16029837000679</v>
      </c>
      <c r="J237" s="53">
        <f t="shared" si="40"/>
        <v>-0.0037267313167730146</v>
      </c>
      <c r="K237" s="54">
        <f t="shared" si="41"/>
        <v>0.037757722191997745</v>
      </c>
      <c r="M237" s="31"/>
    </row>
    <row r="238" spans="3:13" ht="12.75">
      <c r="C238" s="24"/>
      <c r="D238" s="33" t="str">
        <f>IF(Indice_index!$Z$1=1,"dezembro","December")</f>
        <v>dezembro</v>
      </c>
      <c r="E238" s="29">
        <v>23542.59254923</v>
      </c>
      <c r="F238" s="29">
        <v>24180.345967390003</v>
      </c>
      <c r="G238" s="29">
        <v>23103.15896791</v>
      </c>
      <c r="H238" s="29">
        <v>23767.32513461</v>
      </c>
      <c r="I238" s="13">
        <f>IF(F238="","",+F238-H238)</f>
        <v>413.0208327800028</v>
      </c>
      <c r="J238" s="53">
        <f t="shared" si="40"/>
        <v>0.027089345271825677</v>
      </c>
      <c r="K238" s="54">
        <f t="shared" si="41"/>
        <v>0.028747850786228813</v>
      </c>
      <c r="M238" s="75"/>
    </row>
    <row r="239" spans="5:13" ht="15.75" customHeight="1">
      <c r="E239" s="29"/>
      <c r="F239" s="29"/>
      <c r="G239" s="29"/>
      <c r="H239" s="29"/>
      <c r="I239" s="13"/>
      <c r="J239" s="53"/>
      <c r="K239" s="54"/>
      <c r="M239" s="75"/>
    </row>
    <row r="240" spans="3:15" ht="15.75" customHeight="1">
      <c r="C240" s="21">
        <v>2013</v>
      </c>
      <c r="D240" s="25" t="str">
        <f>IF(Indice_index!$Z$1=1,"janeiro","January")</f>
        <v>janeiro</v>
      </c>
      <c r="E240" s="25">
        <v>2016.92845751</v>
      </c>
      <c r="F240" s="25">
        <v>2068.14366996</v>
      </c>
      <c r="G240" s="25">
        <v>1788.13935273</v>
      </c>
      <c r="H240" s="25">
        <v>1927.0954650299998</v>
      </c>
      <c r="I240" s="25">
        <f aca="true" t="shared" si="42" ref="I240:I249">IF(F240="","",+F240-H240)</f>
        <v>141.0482049300001</v>
      </c>
      <c r="J240" s="233">
        <f aca="true" t="shared" si="43" ref="J240:J249">IF(F240="","",IF(E240=0,"-",(F240-E240)/E240))</f>
        <v>0.025392676799864095</v>
      </c>
      <c r="K240" s="233">
        <f aca="true" t="shared" si="44" ref="K240:K249">IF(H240="","",IF(G240=0,"-",(H240-G240)/G240))</f>
        <v>0.07770988994110099</v>
      </c>
      <c r="M240" s="75"/>
      <c r="N240"/>
      <c r="O240"/>
    </row>
    <row r="241" spans="3:15" ht="15.75" customHeight="1">
      <c r="C241" s="24"/>
      <c r="D241" s="8" t="str">
        <f>IF(Indice_index!$Z$1=1,"fevereiro","February")</f>
        <v>fevereiro</v>
      </c>
      <c r="E241" s="29">
        <v>4056.71984562</v>
      </c>
      <c r="F241" s="29">
        <v>3986.9205790600004</v>
      </c>
      <c r="G241" s="29">
        <v>3643.274218339999</v>
      </c>
      <c r="H241" s="29">
        <v>3922.39454417</v>
      </c>
      <c r="I241" s="13">
        <f t="shared" si="42"/>
        <v>64.52603489000057</v>
      </c>
      <c r="J241" s="53">
        <f t="shared" si="43"/>
        <v>-0.01720583851393167</v>
      </c>
      <c r="K241" s="54">
        <f t="shared" si="44"/>
        <v>0.07661249444934108</v>
      </c>
      <c r="M241" s="75"/>
      <c r="N241"/>
      <c r="O241"/>
    </row>
    <row r="242" spans="3:15" ht="17.25" customHeight="1">
      <c r="C242" s="21"/>
      <c r="D242" s="25" t="str">
        <f>IF(Indice_index!$Z$1=1,"março","March")</f>
        <v>março</v>
      </c>
      <c r="E242" s="25">
        <v>5806.38994612</v>
      </c>
      <c r="F242" s="25">
        <v>6134.02822575</v>
      </c>
      <c r="G242" s="25">
        <v>5528.177467129999</v>
      </c>
      <c r="H242" s="25">
        <v>5999.31502877</v>
      </c>
      <c r="I242" s="25">
        <f t="shared" si="42"/>
        <v>134.71319698000025</v>
      </c>
      <c r="J242" s="233">
        <f t="shared" si="43"/>
        <v>0.056427191881753984</v>
      </c>
      <c r="K242" s="233">
        <f t="shared" si="44"/>
        <v>0.08522475344565884</v>
      </c>
      <c r="M242" s="76"/>
      <c r="N242"/>
      <c r="O242"/>
    </row>
    <row r="243" spans="3:13" ht="17.25" customHeight="1">
      <c r="C243" s="21"/>
      <c r="D243" s="25" t="str">
        <f>IF(Indice_index!$Z$1=1,"abril","April")</f>
        <v>abril</v>
      </c>
      <c r="E243" s="25">
        <v>7697.421466389998</v>
      </c>
      <c r="F243" s="25">
        <v>8121.523020679999</v>
      </c>
      <c r="G243" s="25">
        <v>7422.10910309</v>
      </c>
      <c r="H243" s="25">
        <v>8063.126953060001</v>
      </c>
      <c r="I243" s="25">
        <f t="shared" si="42"/>
        <v>58.396067619997666</v>
      </c>
      <c r="J243" s="233">
        <f t="shared" si="43"/>
        <v>0.055096574371274375</v>
      </c>
      <c r="K243" s="233">
        <f t="shared" si="44"/>
        <v>0.08636599665493067</v>
      </c>
      <c r="M243" s="76"/>
    </row>
    <row r="244" spans="3:14" ht="17.25" customHeight="1">
      <c r="C244" s="21"/>
      <c r="D244" s="25" t="str">
        <f>IF(Indice_index!$Z$1=1,"maio","May")</f>
        <v>maio</v>
      </c>
      <c r="E244" s="29">
        <v>9598.680127529999</v>
      </c>
      <c r="F244" s="29">
        <v>10328.530085469996</v>
      </c>
      <c r="G244" s="29">
        <v>9283.40964354</v>
      </c>
      <c r="H244" s="29">
        <v>9997.0277737</v>
      </c>
      <c r="I244" s="29">
        <f t="shared" si="42"/>
        <v>331.5023117699966</v>
      </c>
      <c r="J244" s="283">
        <f t="shared" si="43"/>
        <v>0.07603649129287195</v>
      </c>
      <c r="K244" s="283">
        <f t="shared" si="44"/>
        <v>0.07687026185002845</v>
      </c>
      <c r="M244" s="76"/>
      <c r="N244" s="239"/>
    </row>
    <row r="245" spans="3:14" ht="17.25" customHeight="1">
      <c r="C245" s="21"/>
      <c r="D245" s="25" t="str">
        <f>IF(Indice_index!$Z$1=1,"junho","June")</f>
        <v>junho</v>
      </c>
      <c r="E245" s="29">
        <v>11429.842725989998</v>
      </c>
      <c r="F245" s="29">
        <v>12382.62343942</v>
      </c>
      <c r="G245" s="29">
        <v>11156.00719415</v>
      </c>
      <c r="H245" s="29">
        <v>11964.52108044</v>
      </c>
      <c r="I245" s="29">
        <f t="shared" si="42"/>
        <v>418.10235898000064</v>
      </c>
      <c r="J245" s="283">
        <f t="shared" si="43"/>
        <v>0.08335903968857775</v>
      </c>
      <c r="K245" s="283">
        <f t="shared" si="44"/>
        <v>0.0724734102640208</v>
      </c>
      <c r="M245" s="76"/>
      <c r="N245" s="239"/>
    </row>
    <row r="246" spans="3:14" ht="17.25" customHeight="1">
      <c r="C246" s="21"/>
      <c r="D246" s="34" t="str">
        <f>IF(Indice_index!$Z$1=1,"julho","July")</f>
        <v>julho</v>
      </c>
      <c r="E246" s="34">
        <v>13874.46268914</v>
      </c>
      <c r="F246" s="34">
        <v>14907.64584347</v>
      </c>
      <c r="G246" s="34">
        <v>13734.821367559998</v>
      </c>
      <c r="H246" s="34">
        <v>14735.363023219998</v>
      </c>
      <c r="I246" s="34">
        <f t="shared" si="42"/>
        <v>172.28282025000226</v>
      </c>
      <c r="J246" s="234">
        <f t="shared" si="43"/>
        <v>0.07446653448704042</v>
      </c>
      <c r="K246" s="234">
        <f t="shared" si="44"/>
        <v>0.07284708179919681</v>
      </c>
      <c r="M246" s="76"/>
      <c r="N246" s="239"/>
    </row>
    <row r="247" spans="3:14" ht="17.25" customHeight="1">
      <c r="C247" s="21"/>
      <c r="D247" s="34" t="str">
        <f>IF(Indice_index!$Z$1=1,"agosto","August")</f>
        <v>agosto</v>
      </c>
      <c r="E247" s="34">
        <v>15911.119858469996</v>
      </c>
      <c r="F247" s="34">
        <v>17161.403245190002</v>
      </c>
      <c r="G247" s="34">
        <v>15642.34499336</v>
      </c>
      <c r="H247" s="34">
        <v>16669.9926506</v>
      </c>
      <c r="I247" s="34">
        <f t="shared" si="42"/>
        <v>491.410594590001</v>
      </c>
      <c r="J247" s="234">
        <f t="shared" si="43"/>
        <v>0.07857921993180389</v>
      </c>
      <c r="K247" s="234">
        <f t="shared" si="44"/>
        <v>0.06569652169647361</v>
      </c>
      <c r="M247" s="76"/>
      <c r="N247" s="239"/>
    </row>
    <row r="248" spans="3:14" ht="17.25" customHeight="1">
      <c r="C248" s="51"/>
      <c r="D248" s="34" t="str">
        <f>IF(Indice_index!$Z$1=1,"setembro","September")</f>
        <v>setembro</v>
      </c>
      <c r="E248" s="34">
        <v>17678.50247968</v>
      </c>
      <c r="F248" s="34">
        <v>19008.0026723</v>
      </c>
      <c r="G248" s="34">
        <v>17434.27375795</v>
      </c>
      <c r="H248" s="34">
        <v>18580.500394619998</v>
      </c>
      <c r="I248" s="34">
        <f t="shared" si="42"/>
        <v>427.5022776800033</v>
      </c>
      <c r="J248" s="234">
        <f t="shared" si="43"/>
        <v>0.07520434460713821</v>
      </c>
      <c r="K248" s="234">
        <f t="shared" si="44"/>
        <v>0.06574559127519271</v>
      </c>
      <c r="M248" s="76"/>
      <c r="N248" s="239"/>
    </row>
    <row r="249" spans="3:14" ht="17.25" customHeight="1">
      <c r="C249" s="51"/>
      <c r="D249" s="34" t="str">
        <f>IF(Indice_index!$Z$1=1,"outubro","October")</f>
        <v>outubro</v>
      </c>
      <c r="E249" s="34">
        <v>19492.85749456</v>
      </c>
      <c r="F249" s="34">
        <v>21093.17873113</v>
      </c>
      <c r="G249" s="34">
        <v>19256.16085174</v>
      </c>
      <c r="H249" s="34">
        <v>20542.694277539995</v>
      </c>
      <c r="I249" s="34">
        <f t="shared" si="42"/>
        <v>550.4844535900047</v>
      </c>
      <c r="J249" s="234">
        <f t="shared" si="43"/>
        <v>0.08209782670481279</v>
      </c>
      <c r="K249" s="234">
        <f t="shared" si="44"/>
        <v>0.06681152259297526</v>
      </c>
      <c r="M249" s="76"/>
      <c r="N249" s="239"/>
    </row>
    <row r="250" spans="3:14" ht="17.25" customHeight="1">
      <c r="C250" s="51"/>
      <c r="D250" s="34" t="str">
        <f>IF(Indice_index!$Z$1=1,"novembro","November")</f>
        <v>novembro</v>
      </c>
      <c r="E250" s="34">
        <v>21236.80595437</v>
      </c>
      <c r="F250" s="34">
        <v>22943.488604979997</v>
      </c>
      <c r="G250" s="34">
        <v>21121.64565599999</v>
      </c>
      <c r="H250" s="34">
        <v>22507.486921409996</v>
      </c>
      <c r="I250" s="34">
        <f>IF(F250="","",+F250-H250)</f>
        <v>436.00168357000075</v>
      </c>
      <c r="J250" s="234">
        <f>IF(F250="","",IF(E250=0,"-",(F250-E250)/E250))</f>
        <v>0.08036437561641913</v>
      </c>
      <c r="K250" s="234">
        <f>IF(H250="","",IF(G250=0,"-",(H250-G250)/G250))</f>
        <v>0.0656123716864047</v>
      </c>
      <c r="M250" s="76"/>
      <c r="N250" s="239"/>
    </row>
    <row r="251" spans="3:14" ht="17.25" customHeight="1">
      <c r="C251" s="51"/>
      <c r="D251" s="34" t="str">
        <f>IF(Indice_index!$Z$1=1,"dezembro","December")</f>
        <v>dezembro</v>
      </c>
      <c r="E251" s="34">
        <v>24192.245710929994</v>
      </c>
      <c r="F251" s="34">
        <v>25336.481583359993</v>
      </c>
      <c r="G251" s="34">
        <v>23760.782702559998</v>
      </c>
      <c r="H251" s="34">
        <v>24857.870727289996</v>
      </c>
      <c r="I251" s="34">
        <f>IF(F251="","",+F251-H251)</f>
        <v>478.6108560699977</v>
      </c>
      <c r="J251" s="234">
        <f>IF(F251="","",IF(E251=0,"-",(F251-E251)/E251))</f>
        <v>0.04729762941821629</v>
      </c>
      <c r="K251" s="234">
        <f>IF(H251="","",IF(G251=0,"-",(H251-G251)/G251))</f>
        <v>0.046172217408132626</v>
      </c>
      <c r="M251" s="76"/>
      <c r="N251" s="239"/>
    </row>
    <row r="252" spans="3:13" ht="21.75" customHeight="1">
      <c r="C252" s="354" t="str">
        <f>IF(Indice_index!$Z$1=1,"Nota: Os valores da receita e da despesa correspondem aos divulgados no respetivo período tendo, em alguns casos, sido objeto de ajustamento posterior à sua divulgação.","Note: The revenue and expenditure data presented correspond to that reported during the respective period and may, in some cases, have been subject to adjustments after publication.")</f>
        <v>Nota: Os valores da receita e da despesa correspondem aos divulgados no respetivo período tendo, em alguns casos, sido objeto de ajustamento posterior à sua divulgação.</v>
      </c>
      <c r="D252" s="354"/>
      <c r="E252" s="354"/>
      <c r="F252" s="354"/>
      <c r="G252" s="354"/>
      <c r="H252" s="354"/>
      <c r="I252" s="354"/>
      <c r="J252" s="354"/>
      <c r="K252" s="354"/>
      <c r="M252" s="297"/>
    </row>
    <row r="253" spans="3:11" ht="12" customHeight="1">
      <c r="C253" s="217" t="str">
        <f>IF(Indice_index!$Z$1=1,"Os valores constantes do presente quadro apenas excluem transferências intra-setoriais.","Data of the present chart only excludes intra-sectoral transfers.")</f>
        <v>Os valores constantes do presente quadro apenas excluem transferências intra-setoriais.</v>
      </c>
      <c r="D253" s="216"/>
      <c r="E253" s="216"/>
      <c r="F253" s="216"/>
      <c r="G253" s="216"/>
      <c r="H253" s="216"/>
      <c r="I253" s="242"/>
      <c r="J253" s="216"/>
      <c r="K253" s="216"/>
    </row>
    <row r="254" spans="3:11" ht="25.5" customHeight="1">
      <c r="C254" s="217" t="str">
        <f>IF(Indice_index!$Z$1=1,"Fonte: Instituto de Gestão Financeira da Segurança Social","Source: Social Security Financial Management Institute")</f>
        <v>Fonte: Instituto de Gestão Financeira da Segurança Social</v>
      </c>
      <c r="D254" s="218"/>
      <c r="E254" s="218"/>
      <c r="F254" s="218"/>
      <c r="G254" s="218"/>
      <c r="H254" s="218"/>
      <c r="I254" s="218"/>
      <c r="J254" s="218"/>
      <c r="K254" s="218"/>
    </row>
    <row r="255" spans="3:11" ht="12.75">
      <c r="C255" s="55"/>
      <c r="D255" s="55"/>
      <c r="E255" s="55"/>
      <c r="F255" s="55"/>
      <c r="G255" s="55"/>
      <c r="H255" s="55"/>
      <c r="I255" s="55"/>
      <c r="J255" s="55"/>
      <c r="K255" s="55"/>
    </row>
    <row r="257" spans="3:11" ht="11.25" customHeight="1">
      <c r="C257" s="90" t="str">
        <f>IF(Indice_index!$Z$1=1,"Evolução da Receita, Despesa e Saldo da Administração Local (valores acumulados)","Local Government Revenue, Expenditure and Balance Evolution (cumulative values)")</f>
        <v>Evolução da Receita, Despesa e Saldo da Administração Local (valores acumulados)</v>
      </c>
      <c r="H257" s="8"/>
      <c r="J257" s="15"/>
      <c r="K257" s="88" t="str">
        <f>IF(Indice_index!$Z$1=1,"€ Milhões","€ Millions")</f>
        <v>€ Milhões</v>
      </c>
    </row>
    <row r="258" spans="3:11" ht="12.75">
      <c r="C258" s="80"/>
      <c r="D258" s="80"/>
      <c r="E258" s="338" t="str">
        <f>IF(Indice_index!$Z$1=1,"Receita efetiva","Effective revenue")</f>
        <v>Receita efetiva</v>
      </c>
      <c r="F258" s="338"/>
      <c r="G258" s="338" t="str">
        <f>IF(Indice_index!$Z$1=1,"Despesa  efetiva","Effective expenditure")</f>
        <v>Despesa  efetiva</v>
      </c>
      <c r="H258" s="338"/>
      <c r="I258" s="338" t="str">
        <f>IF(Indice_index!$Z$1=1,"Saldo global","Overall
balance")</f>
        <v>Saldo global</v>
      </c>
      <c r="J258" s="340" t="str">
        <f>IF(Indice_index!$Z$1=1,"VH (%)","YOY Change Rate (%)")</f>
        <v>VH (%)</v>
      </c>
      <c r="K258" s="340"/>
    </row>
    <row r="259" spans="3:11" ht="12.75">
      <c r="C259" s="81"/>
      <c r="D259" s="83"/>
      <c r="E259" s="339"/>
      <c r="F259" s="339"/>
      <c r="G259" s="339"/>
      <c r="H259" s="339"/>
      <c r="I259" s="339"/>
      <c r="J259" s="215" t="str">
        <f>IF(Indice_index!$Z$1=1,"Receita","Revenue")</f>
        <v>Receita</v>
      </c>
      <c r="K259" s="82" t="str">
        <f>IF(Indice_index!$Z$1=1,"Despesa","Expenditure")</f>
        <v>Despesa</v>
      </c>
    </row>
    <row r="260" spans="3:13" ht="12.75">
      <c r="C260" s="24"/>
      <c r="D260" s="25"/>
      <c r="E260" s="19" t="str">
        <f>IF(Indice_index!$Z$1=1,"Ano n-1","Year n-1")</f>
        <v>Ano n-1</v>
      </c>
      <c r="F260" s="19" t="str">
        <f>IF(Indice_index!$Z$1=1,"Ano n","Year n")</f>
        <v>Ano n</v>
      </c>
      <c r="G260" s="19" t="str">
        <f>IF(Indice_index!$Z$1=1,"Ano n-1","Year n-1")</f>
        <v>Ano n-1</v>
      </c>
      <c r="H260" s="19" t="str">
        <f>IF(Indice_index!$Z$1=1,"Ano n","Year n")</f>
        <v>Ano n</v>
      </c>
      <c r="I260" s="19" t="str">
        <f>IF(Indice_index!$Z$1=1,"Ano n","Year n")</f>
        <v>Ano n</v>
      </c>
      <c r="J260" s="20" t="str">
        <f>IF(Indice_index!$Z$1=1,"Ano n","Year n")</f>
        <v>Ano n</v>
      </c>
      <c r="K260" s="20" t="str">
        <f>IF(Indice_index!$Z$1=1,"Ano n","Year n")</f>
        <v>Ano n</v>
      </c>
      <c r="M260" s="56"/>
    </row>
    <row r="261" spans="3:13" ht="12.75">
      <c r="C261" s="21">
        <v>2009</v>
      </c>
      <c r="D261" s="8" t="str">
        <f>IF(Indice_index!$Z$1=1,"I TR","Q1")</f>
        <v>I TR</v>
      </c>
      <c r="E261" s="33">
        <v>1257.0238103600002</v>
      </c>
      <c r="F261" s="33">
        <v>1484.64702525</v>
      </c>
      <c r="G261" s="33">
        <v>1184.0232639099997</v>
      </c>
      <c r="H261" s="33">
        <v>1462.28245983</v>
      </c>
      <c r="I261" s="33">
        <f>+F261-H261</f>
        <v>22.364565419999963</v>
      </c>
      <c r="J261" s="35">
        <f>IF(E261=0,"-",(F261-E261)/E261)</f>
        <v>0.1810810686432508</v>
      </c>
      <c r="K261" s="35">
        <f>IF(G261=0,"-",(H261-G261)/G261)</f>
        <v>0.23501159512787367</v>
      </c>
      <c r="M261" s="56"/>
    </row>
    <row r="262" spans="3:13" ht="12.75">
      <c r="C262" s="21"/>
      <c r="D262" s="8" t="str">
        <f>IF(Indice_index!$Z$1=1,"II TR","Q2")</f>
        <v>II TR</v>
      </c>
      <c r="E262" s="33">
        <v>2908.8410760299994</v>
      </c>
      <c r="F262" s="33">
        <v>3518.64739039</v>
      </c>
      <c r="G262" s="33">
        <v>2794.0170378799994</v>
      </c>
      <c r="H262" s="33">
        <v>3503.0013819299998</v>
      </c>
      <c r="I262" s="33">
        <f>+F262-H262</f>
        <v>15.646008460000303</v>
      </c>
      <c r="J262" s="35">
        <f>IF(E262=0,"-",(F262-E262)/E262)</f>
        <v>0.20963892437611867</v>
      </c>
      <c r="K262" s="35">
        <f>IF(G262=0,"-",(H262-G262)/G262)</f>
        <v>0.2537509021734357</v>
      </c>
      <c r="M262" s="56"/>
    </row>
    <row r="263" spans="3:13" ht="12.75">
      <c r="C263" s="21"/>
      <c r="D263" s="8" t="str">
        <f>IF(Indice_index!$Z$1=1,"III TR","Q3")</f>
        <v>III TR</v>
      </c>
      <c r="E263" s="33">
        <v>4349.511598369999</v>
      </c>
      <c r="F263" s="33">
        <v>5207.320369149998</v>
      </c>
      <c r="G263" s="33">
        <v>4250.242788389999</v>
      </c>
      <c r="H263" s="33">
        <v>5538.206472329999</v>
      </c>
      <c r="I263" s="33">
        <f>+F263-H263</f>
        <v>-330.88610318000065</v>
      </c>
      <c r="J263" s="35">
        <f>IF(E263=0,"-",(F263-E263)/E263)</f>
        <v>0.1972195616403156</v>
      </c>
      <c r="K263" s="35">
        <f>IF(G263=0,"-",(H263-G263)/G263)</f>
        <v>0.30303296730676493</v>
      </c>
      <c r="M263" s="56"/>
    </row>
    <row r="264" spans="3:13" ht="12.75">
      <c r="C264" s="21"/>
      <c r="D264" s="8" t="str">
        <f>IF(Indice_index!$Z$1=1,"IV TR","Q4")</f>
        <v>IV TR</v>
      </c>
      <c r="E264" s="33">
        <v>6183.91695162</v>
      </c>
      <c r="F264" s="33">
        <v>7202.79345725</v>
      </c>
      <c r="G264" s="33">
        <v>6438.010947829999</v>
      </c>
      <c r="H264" s="33">
        <v>7859.471912630001</v>
      </c>
      <c r="I264" s="33">
        <f>+F264-H264</f>
        <v>-656.6784553800007</v>
      </c>
      <c r="J264" s="35">
        <f>IF(E264=0,"-",(F264-E264)/E264)</f>
        <v>0.1647623203224107</v>
      </c>
      <c r="K264" s="35">
        <f>IF(G264=0,"-",(H264-G264)/G264)</f>
        <v>0.2207919458849507</v>
      </c>
      <c r="M264" s="56"/>
    </row>
    <row r="265" spans="3:13" ht="12.75">
      <c r="C265" s="21"/>
      <c r="E265" s="33"/>
      <c r="F265" s="33"/>
      <c r="G265" s="33"/>
      <c r="H265" s="33"/>
      <c r="I265" s="33"/>
      <c r="J265" s="35"/>
      <c r="K265" s="35"/>
      <c r="M265" s="56"/>
    </row>
    <row r="266" spans="3:13" ht="12.75">
      <c r="C266" s="21" t="s">
        <v>3</v>
      </c>
      <c r="D266" s="8" t="str">
        <f>IF(Indice_index!$Z$1=1,"I TR","Q1")</f>
        <v>I TR</v>
      </c>
      <c r="E266" s="33">
        <f>F261</f>
        <v>1484.64702525</v>
      </c>
      <c r="F266" s="33">
        <v>1394.3627610800002</v>
      </c>
      <c r="G266" s="33">
        <f>H261</f>
        <v>1462.28245983</v>
      </c>
      <c r="H266" s="33">
        <v>1401.11159756</v>
      </c>
      <c r="I266" s="33">
        <f>+F266-H266</f>
        <v>-6.748836479999909</v>
      </c>
      <c r="J266" s="35">
        <f>IF(E266=0,"-",(F266-E266)/E266)</f>
        <v>-0.06081193888816564</v>
      </c>
      <c r="K266" s="35">
        <f>IF(G266=0,"-",(H266-G266)/G266)</f>
        <v>-0.04183245299756352</v>
      </c>
      <c r="M266" s="56"/>
    </row>
    <row r="267" spans="3:13" ht="12.75">
      <c r="C267" s="21"/>
      <c r="D267" s="8" t="str">
        <f>IF(Indice_index!$Z$1=1,"II TR","Q2")</f>
        <v>II TR</v>
      </c>
      <c r="E267" s="33">
        <f>F262</f>
        <v>3518.64739039</v>
      </c>
      <c r="F267" s="33">
        <v>3438.4795355699994</v>
      </c>
      <c r="G267" s="33">
        <f>H262</f>
        <v>3503.0013819299998</v>
      </c>
      <c r="H267" s="33">
        <v>3277.82523051</v>
      </c>
      <c r="I267" s="33">
        <f>+F267-H267</f>
        <v>160.6543050599994</v>
      </c>
      <c r="J267" s="35">
        <f>IF(E267=0,"-",(F267-E267)/E267)</f>
        <v>-0.02278371371878642</v>
      </c>
      <c r="K267" s="35">
        <f>IF(G267=0,"-",(H267-G267)/G267)</f>
        <v>-0.06428091995097576</v>
      </c>
      <c r="M267" s="56"/>
    </row>
    <row r="268" spans="3:13" ht="12.75">
      <c r="C268" s="21"/>
      <c r="D268" s="8" t="str">
        <f>IF(Indice_index!$Z$1=1,"III TR","Q3")</f>
        <v>III TR</v>
      </c>
      <c r="E268" s="33">
        <f>F263</f>
        <v>5207.320369149998</v>
      </c>
      <c r="F268" s="34">
        <v>5137.255331679999</v>
      </c>
      <c r="G268" s="33">
        <f>H263</f>
        <v>5538.206472329999</v>
      </c>
      <c r="H268" s="34">
        <v>4991.6846362999995</v>
      </c>
      <c r="I268" s="33">
        <f>+F268-H268</f>
        <v>145.57069537999905</v>
      </c>
      <c r="J268" s="35">
        <f>IF(E268=0,"-",(F268-E268)/E268)</f>
        <v>-0.013455104065632271</v>
      </c>
      <c r="K268" s="35">
        <f>IF(G268=0,"-",(H268-G268)/G268)</f>
        <v>-0.09868209839422444</v>
      </c>
      <c r="M268" s="56"/>
    </row>
    <row r="269" spans="3:13" ht="12.75">
      <c r="C269" s="21"/>
      <c r="D269" s="25" t="str">
        <f>IF(Indice_index!$Z$1=1,"IV TR","Q4")</f>
        <v>IV TR</v>
      </c>
      <c r="E269" s="33">
        <f>F264</f>
        <v>7202.79345725</v>
      </c>
      <c r="F269" s="34">
        <v>7247.436295640001</v>
      </c>
      <c r="G269" s="33">
        <f>H264</f>
        <v>7859.471912630001</v>
      </c>
      <c r="H269" s="34">
        <v>7181.975229700001</v>
      </c>
      <c r="I269" s="34">
        <f>+F269-H269</f>
        <v>65.46106593999957</v>
      </c>
      <c r="J269" s="57">
        <f>IF(E269=0,"-",(F269-E269)/E269)</f>
        <v>0.0061979895237820075</v>
      </c>
      <c r="K269" s="57">
        <f>IF(G269=0,"-",(H269-G269)/G269)</f>
        <v>-0.08620129831385703</v>
      </c>
      <c r="M269" s="56"/>
    </row>
    <row r="270" spans="3:13" ht="12.75">
      <c r="C270" s="21"/>
      <c r="E270" s="33"/>
      <c r="F270" s="33"/>
      <c r="G270" s="33"/>
      <c r="H270" s="33"/>
      <c r="I270" s="33"/>
      <c r="J270" s="35"/>
      <c r="K270" s="35"/>
      <c r="M270" s="56"/>
    </row>
    <row r="271" spans="3:13" ht="12.75">
      <c r="C271" s="21" t="s">
        <v>4</v>
      </c>
      <c r="D271" s="8" t="str">
        <f>IF(Indice_index!$Z$1=1,"I TR","Q1")</f>
        <v>I TR</v>
      </c>
      <c r="E271" s="33">
        <f>F266</f>
        <v>1394.3627610800002</v>
      </c>
      <c r="F271" s="33">
        <v>1457.4838076600001</v>
      </c>
      <c r="G271" s="33">
        <f>H266</f>
        <v>1401.11159756</v>
      </c>
      <c r="H271" s="33">
        <v>1433.3910903299998</v>
      </c>
      <c r="I271" s="33">
        <f>+F271-H271</f>
        <v>24.09271733000037</v>
      </c>
      <c r="J271" s="35">
        <f>IF(E271=0,"-",(F271-E271)/E271)</f>
        <v>0.0452687409201245</v>
      </c>
      <c r="K271" s="35">
        <f>IF(G271=0,"-",(H271-G271)/G271)</f>
        <v>0.02303848803065624</v>
      </c>
      <c r="M271" s="58"/>
    </row>
    <row r="272" spans="3:13" ht="12.75">
      <c r="C272" s="21"/>
      <c r="D272" s="8" t="str">
        <f>IF(Indice_index!$Z$1=1,"II TR","Q2")</f>
        <v>II TR</v>
      </c>
      <c r="E272" s="33">
        <f>F267</f>
        <v>3438.4795355699994</v>
      </c>
      <c r="F272" s="33">
        <v>3525.01651642</v>
      </c>
      <c r="G272" s="33">
        <f>H267</f>
        <v>3277.82523051</v>
      </c>
      <c r="H272" s="33">
        <v>3307.8199487600004</v>
      </c>
      <c r="I272" s="33">
        <f>+F272-H272</f>
        <v>217.19656765999935</v>
      </c>
      <c r="J272" s="35">
        <f>IF(E272=0,"-",(F272-E272)/E272)</f>
        <v>0.025167222882905748</v>
      </c>
      <c r="K272" s="35">
        <f>IF(G272=0,"-",(H272-G272)/G272)</f>
        <v>0.009150798514456963</v>
      </c>
      <c r="M272" s="58"/>
    </row>
    <row r="273" spans="3:13" ht="12.75">
      <c r="C273" s="21"/>
      <c r="D273" s="8" t="str">
        <f>IF(Indice_index!$Z$1=1,"III TR","Q3")</f>
        <v>III TR</v>
      </c>
      <c r="E273" s="33">
        <f>F268</f>
        <v>5137.255331679999</v>
      </c>
      <c r="F273" s="33">
        <v>5136.986885050001</v>
      </c>
      <c r="G273" s="33">
        <f>H268</f>
        <v>4991.6846362999995</v>
      </c>
      <c r="H273" s="33">
        <v>4941.5581633500005</v>
      </c>
      <c r="I273" s="33">
        <f>+F273-H273</f>
        <v>195.4287217000001</v>
      </c>
      <c r="J273" s="35">
        <f>IF(E273=0,"-",(F273-E273)/E273)</f>
        <v>-5.2254873987378154E-05</v>
      </c>
      <c r="K273" s="35">
        <f>IF(G273=0,"-",(H273-G273)/G273)</f>
        <v>-0.010041995158402947</v>
      </c>
      <c r="M273" s="58"/>
    </row>
    <row r="274" spans="3:13" ht="12.75">
      <c r="C274" s="21"/>
      <c r="D274" s="8" t="str">
        <f>IF(Indice_index!$Z$1=1,"IV TR","Q4")</f>
        <v>IV TR</v>
      </c>
      <c r="E274" s="33">
        <f>F269</f>
        <v>7247.436295640001</v>
      </c>
      <c r="F274" s="33">
        <v>7282.8916132700015</v>
      </c>
      <c r="G274" s="33">
        <f>H269</f>
        <v>7181.975229700001</v>
      </c>
      <c r="H274" s="33">
        <v>7075.029461459997</v>
      </c>
      <c r="I274" s="33">
        <f>+F274-H274</f>
        <v>207.86215181000443</v>
      </c>
      <c r="J274" s="35">
        <f>IF(E274=0,"-",(F274-E274)/E274)</f>
        <v>0.004892118562163861</v>
      </c>
      <c r="K274" s="35">
        <f>IF(G274=0,"-",(H274-G274)/G274)</f>
        <v>-0.01489085729476563</v>
      </c>
      <c r="M274" s="58"/>
    </row>
    <row r="275" spans="3:13" ht="12.75">
      <c r="C275" s="21"/>
      <c r="E275" s="33"/>
      <c r="F275" s="33"/>
      <c r="G275" s="33"/>
      <c r="H275" s="33"/>
      <c r="I275" s="33"/>
      <c r="J275" s="35"/>
      <c r="K275" s="35"/>
      <c r="M275" s="58"/>
    </row>
    <row r="276" spans="3:13" ht="12.75">
      <c r="C276" s="21" t="s">
        <v>5</v>
      </c>
      <c r="D276" s="8" t="str">
        <f>IF(Indice_index!$Z$1=1,"janeiro","January")</f>
        <v>janeiro</v>
      </c>
      <c r="E276" s="33"/>
      <c r="F276" s="33">
        <v>456.06216802999984</v>
      </c>
      <c r="G276" s="33"/>
      <c r="H276" s="33">
        <v>406.15377233000004</v>
      </c>
      <c r="I276" s="33">
        <f>+F276-H276</f>
        <v>49.9083956999998</v>
      </c>
      <c r="J276" s="35" t="str">
        <f>IF(E276=0,"-",(F276-E276)/E276)</f>
        <v>-</v>
      </c>
      <c r="K276" s="35" t="str">
        <f>IF(G276=0,"-",(H276-G276)/G276)</f>
        <v>-</v>
      </c>
      <c r="M276" s="58"/>
    </row>
    <row r="277" spans="3:13" ht="12.75">
      <c r="C277" s="21"/>
      <c r="D277" s="8" t="str">
        <f>IF(Indice_index!$Z$1=1,"fevereiro","February")</f>
        <v>fevereiro</v>
      </c>
      <c r="E277" s="33"/>
      <c r="F277" s="33">
        <v>901.9630837700003</v>
      </c>
      <c r="G277" s="33"/>
      <c r="H277" s="33">
        <v>857.46172854</v>
      </c>
      <c r="I277" s="33">
        <f>+F277-H277</f>
        <v>44.501355230000286</v>
      </c>
      <c r="J277" s="35" t="str">
        <f>IF(E277=0,"-",(F277-E277)/E277)</f>
        <v>-</v>
      </c>
      <c r="K277" s="35" t="str">
        <f>IF(G277=0,"-",(H277-G277)/G277)</f>
        <v>-</v>
      </c>
      <c r="M277" s="58"/>
    </row>
    <row r="278" spans="3:13" ht="12.75">
      <c r="C278" s="21"/>
      <c r="D278" s="8" t="str">
        <f>IF(Indice_index!$Z$1=1,"março","March")</f>
        <v>março</v>
      </c>
      <c r="E278" s="33">
        <f>F271</f>
        <v>1457.4838076600001</v>
      </c>
      <c r="F278" s="33">
        <v>1377.90244223</v>
      </c>
      <c r="G278" s="33">
        <f>H271</f>
        <v>1433.3910903299998</v>
      </c>
      <c r="H278" s="33">
        <v>1352.8408184799998</v>
      </c>
      <c r="I278" s="33">
        <f aca="true" t="shared" si="45" ref="I278:I285">+F278-H278</f>
        <v>25.06162375000008</v>
      </c>
      <c r="J278" s="35">
        <f>IF(E278=0,"-",(F278-E278)/E278)</f>
        <v>-0.05460188649215159</v>
      </c>
      <c r="K278" s="35">
        <f>IF(G278=0,"-",(H278-G278)/G278)</f>
        <v>-0.05619559964716636</v>
      </c>
      <c r="M278" s="58"/>
    </row>
    <row r="279" spans="3:13" ht="12.75">
      <c r="C279" s="21"/>
      <c r="D279" s="8" t="str">
        <f>IF(Indice_index!$Z$1=1,"abril","April")</f>
        <v>abril</v>
      </c>
      <c r="E279" s="33"/>
      <c r="F279" s="33">
        <v>1862.9528817500004</v>
      </c>
      <c r="G279" s="33"/>
      <c r="H279" s="33">
        <v>1820.18269395</v>
      </c>
      <c r="I279" s="33">
        <f t="shared" si="45"/>
        <v>42.770187800000485</v>
      </c>
      <c r="J279" s="35" t="s">
        <v>6</v>
      </c>
      <c r="K279" s="35" t="s">
        <v>6</v>
      </c>
      <c r="M279" s="58"/>
    </row>
    <row r="280" spans="3:28" s="33" customFormat="1" ht="12.75">
      <c r="C280" s="21"/>
      <c r="D280" s="8" t="str">
        <f>IF(Indice_index!$Z$1=1,"maio","May")</f>
        <v>maio</v>
      </c>
      <c r="F280" s="33">
        <v>2916.98589718</v>
      </c>
      <c r="H280" s="33">
        <v>2513.03218343</v>
      </c>
      <c r="I280" s="33">
        <f t="shared" si="45"/>
        <v>403.95371375000013</v>
      </c>
      <c r="J280" s="35" t="s">
        <v>6</v>
      </c>
      <c r="K280" s="35" t="s">
        <v>6</v>
      </c>
      <c r="L280"/>
      <c r="M280" s="59"/>
      <c r="N280" s="8"/>
      <c r="Z280" s="42"/>
      <c r="AA280" s="42"/>
      <c r="AB280" s="42"/>
    </row>
    <row r="281" spans="3:28" s="33" customFormat="1" ht="12.75">
      <c r="C281" s="51"/>
      <c r="D281" s="33" t="str">
        <f>IF(Indice_index!$Z$1=1,"junho","June")</f>
        <v>junho</v>
      </c>
      <c r="E281" s="33">
        <f>+F272</f>
        <v>3525.01651642</v>
      </c>
      <c r="F281" s="33">
        <v>3407.8036578499996</v>
      </c>
      <c r="G281" s="33">
        <f>+H272</f>
        <v>3307.8199487600004</v>
      </c>
      <c r="H281" s="33">
        <v>3118.6312764400004</v>
      </c>
      <c r="I281" s="33">
        <f t="shared" si="45"/>
        <v>289.17238140999916</v>
      </c>
      <c r="J281" s="35">
        <f>IF(E281=0,"-",(F281-E281)/E281)</f>
        <v>-0.03325171897039546</v>
      </c>
      <c r="K281" s="35">
        <f>IF(G281=0,"-",(H281-G281)/G281)</f>
        <v>-0.05719436826992987</v>
      </c>
      <c r="L281"/>
      <c r="M281" s="59"/>
      <c r="N281" s="8"/>
      <c r="Z281" s="42"/>
      <c r="AA281" s="42"/>
      <c r="AB281" s="42"/>
    </row>
    <row r="282" spans="3:28" s="33" customFormat="1" ht="12.75">
      <c r="C282" s="51"/>
      <c r="D282" s="33" t="str">
        <f>IF(Indice_index!$Z$1=1,"julho","July")</f>
        <v>julho</v>
      </c>
      <c r="F282" s="33">
        <v>3943.2928699000004</v>
      </c>
      <c r="H282" s="33">
        <v>3675.61284048</v>
      </c>
      <c r="I282" s="33">
        <f t="shared" si="45"/>
        <v>267.6800294200002</v>
      </c>
      <c r="J282" s="35" t="s">
        <v>6</v>
      </c>
      <c r="K282" s="35" t="s">
        <v>6</v>
      </c>
      <c r="L282"/>
      <c r="M282" s="59"/>
      <c r="N282" s="8"/>
      <c r="Z282" s="42"/>
      <c r="AA282" s="42"/>
      <c r="AB282" s="42"/>
    </row>
    <row r="283" spans="3:28" s="33" customFormat="1" ht="12.75">
      <c r="C283" s="51"/>
      <c r="D283" s="33" t="str">
        <f>IF(Indice_index!$Z$1=1,"agosto","August")</f>
        <v>agosto</v>
      </c>
      <c r="F283" s="33">
        <v>4474.07338537</v>
      </c>
      <c r="H283" s="33">
        <v>4172.11779486</v>
      </c>
      <c r="I283" s="33">
        <f t="shared" si="45"/>
        <v>301.95559051000055</v>
      </c>
      <c r="J283" s="35"/>
      <c r="K283" s="35"/>
      <c r="L283"/>
      <c r="M283" s="59"/>
      <c r="N283" s="8"/>
      <c r="Z283" s="42"/>
      <c r="AA283" s="42"/>
      <c r="AB283" s="42"/>
    </row>
    <row r="284" spans="3:28" s="33" customFormat="1" ht="12.75">
      <c r="C284" s="51"/>
      <c r="D284" s="13" t="str">
        <f>IF(Indice_index!$Z$1=1,"setembro","September")</f>
        <v>setembro</v>
      </c>
      <c r="E284" s="33">
        <f>+F273</f>
        <v>5136.986885050001</v>
      </c>
      <c r="F284" s="33">
        <v>5068.13893996</v>
      </c>
      <c r="G284" s="33">
        <f>+H273</f>
        <v>4941.5581633500005</v>
      </c>
      <c r="H284" s="33">
        <v>4674.30009658</v>
      </c>
      <c r="I284" s="33">
        <f t="shared" si="45"/>
        <v>393.83884338000007</v>
      </c>
      <c r="J284" s="35">
        <f>IF(E284=0,"-",(F284-E284)/E284)</f>
        <v>-0.013402398454698462</v>
      </c>
      <c r="K284" s="35">
        <f>IF(G284=0,"-",(H284-G284)/G284)</f>
        <v>-0.05408376425722767</v>
      </c>
      <c r="L284"/>
      <c r="M284" s="59"/>
      <c r="N284" s="8"/>
      <c r="Z284" s="42"/>
      <c r="AA284" s="42"/>
      <c r="AB284" s="42"/>
    </row>
    <row r="285" spans="3:28" s="33" customFormat="1" ht="12.75">
      <c r="C285" s="51"/>
      <c r="D285" s="13" t="str">
        <f>IF(Indice_index!$Z$1=1,"outubro","October")</f>
        <v>outubro</v>
      </c>
      <c r="F285" s="33">
        <v>6022.5144741</v>
      </c>
      <c r="H285" s="33">
        <v>5298.57961467001</v>
      </c>
      <c r="I285" s="33">
        <f t="shared" si="45"/>
        <v>723.93485942999</v>
      </c>
      <c r="J285" s="35" t="str">
        <f>IF(E285=0,"-",(F285-E285)/E285)</f>
        <v>-</v>
      </c>
      <c r="K285" s="35" t="str">
        <f>IF(G285=0,"-",(H285-G285)/G285)</f>
        <v>-</v>
      </c>
      <c r="L285"/>
      <c r="M285" s="59"/>
      <c r="N285" s="8"/>
      <c r="Z285" s="42"/>
      <c r="AA285" s="42"/>
      <c r="AB285" s="42"/>
    </row>
    <row r="286" spans="3:28" s="33" customFormat="1" ht="12.75">
      <c r="C286" s="51"/>
      <c r="D286" s="13" t="str">
        <f>IF(Indice_index!$Z$1=1,"novembro","November")</f>
        <v>novembro</v>
      </c>
      <c r="F286" s="33">
        <v>6537.50337397</v>
      </c>
      <c r="H286" s="33">
        <v>5883.07874942</v>
      </c>
      <c r="I286" s="33">
        <f>+F286-H286</f>
        <v>654.4246245499999</v>
      </c>
      <c r="J286" s="35" t="s">
        <v>6</v>
      </c>
      <c r="K286" s="35" t="s">
        <v>6</v>
      </c>
      <c r="L286"/>
      <c r="M286" s="59"/>
      <c r="N286" s="8"/>
      <c r="Z286" s="42"/>
      <c r="AA286" s="42"/>
      <c r="AB286" s="42"/>
    </row>
    <row r="287" spans="3:28" s="33" customFormat="1" ht="12.75">
      <c r="C287" s="51"/>
      <c r="D287" s="33" t="str">
        <f>IF(Indice_index!$Z$1=1,"dezembro","December")</f>
        <v>dezembro</v>
      </c>
      <c r="E287" s="33">
        <f>+F274</f>
        <v>7282.8916132700015</v>
      </c>
      <c r="F287" s="33">
        <v>7444.863426619998</v>
      </c>
      <c r="G287" s="33">
        <f>+H274</f>
        <v>7075.029461459997</v>
      </c>
      <c r="H287" s="33">
        <v>6696.164398420002</v>
      </c>
      <c r="I287" s="33">
        <f>+F287-H287</f>
        <v>748.6990281999961</v>
      </c>
      <c r="J287" s="35">
        <f>IF(E287=0,"-",(F287-E287)/E287)</f>
        <v>0.022240041723931608</v>
      </c>
      <c r="K287" s="35">
        <f>IF(G287=0,"-",(H287-G287)/G287)</f>
        <v>-0.05354960924244872</v>
      </c>
      <c r="L287"/>
      <c r="M287" s="59"/>
      <c r="N287" s="8"/>
      <c r="Z287" s="42"/>
      <c r="AA287" s="42"/>
      <c r="AB287" s="42"/>
    </row>
    <row r="288" spans="12:28" s="33" customFormat="1" ht="12.75">
      <c r="L288"/>
      <c r="M288" s="59"/>
      <c r="N288" s="8"/>
      <c r="Z288" s="42"/>
      <c r="AA288" s="42"/>
      <c r="AB288" s="42"/>
    </row>
    <row r="289" spans="3:28" s="33" customFormat="1" ht="12.75">
      <c r="C289" s="21" t="s">
        <v>7</v>
      </c>
      <c r="D289" s="34" t="str">
        <f>IF(Indice_index!$Z$1=1,"janeiro","January")</f>
        <v>janeiro</v>
      </c>
      <c r="E289" s="34">
        <f aca="true" t="shared" si="46" ref="E289:E294">+F276</f>
        <v>456.06216802999984</v>
      </c>
      <c r="F289" s="34">
        <v>429.1127745</v>
      </c>
      <c r="G289" s="34">
        <f>+H276</f>
        <v>406.15377233000004</v>
      </c>
      <c r="H289" s="34">
        <v>376.52587731999995</v>
      </c>
      <c r="I289" s="34">
        <f aca="true" t="shared" si="47" ref="I289:I294">+F289-H289</f>
        <v>52.58689718000005</v>
      </c>
      <c r="J289" s="234">
        <f aca="true" t="shared" si="48" ref="J289:J294">IF(E289=0,"-",(F289-E289)/E289)</f>
        <v>-0.05909149107107499</v>
      </c>
      <c r="K289" s="234">
        <f aca="true" t="shared" si="49" ref="K289:K298">IF(G289=0,"-",(H289-G289)/G289)</f>
        <v>-0.07294748203379339</v>
      </c>
      <c r="L289" s="322"/>
      <c r="M289" s="59"/>
      <c r="N289" s="8"/>
      <c r="Z289" s="42"/>
      <c r="AA289" s="42"/>
      <c r="AB289" s="42"/>
    </row>
    <row r="290" spans="3:28" s="33" customFormat="1" ht="12.75">
      <c r="C290" s="51"/>
      <c r="D290" s="33" t="str">
        <f>IF(Indice_index!$Z$1=1,"fevereiro","February")</f>
        <v>fevereiro</v>
      </c>
      <c r="E290" s="33">
        <f t="shared" si="46"/>
        <v>901.9630837700003</v>
      </c>
      <c r="F290" s="33">
        <v>844.2993404000001</v>
      </c>
      <c r="G290" s="33">
        <f>+H277</f>
        <v>857.46172854</v>
      </c>
      <c r="H290" s="33">
        <v>890.7372756999997</v>
      </c>
      <c r="I290" s="33">
        <f t="shared" si="47"/>
        <v>-46.437935299999594</v>
      </c>
      <c r="J290" s="35">
        <f t="shared" si="48"/>
        <v>-0.06393137857591556</v>
      </c>
      <c r="K290" s="35">
        <f t="shared" si="49"/>
        <v>0.038807034824350724</v>
      </c>
      <c r="L290" s="322"/>
      <c r="M290" s="59"/>
      <c r="N290" s="8"/>
      <c r="Z290" s="42"/>
      <c r="AA290" s="42"/>
      <c r="AB290" s="42"/>
    </row>
    <row r="291" spans="3:28" s="60" customFormat="1" ht="12" customHeight="1">
      <c r="C291" s="51"/>
      <c r="D291" s="34" t="str">
        <f>IF(Indice_index!$Z$1=1,"março","March")</f>
        <v>março</v>
      </c>
      <c r="E291" s="29">
        <f t="shared" si="46"/>
        <v>1377.90244223</v>
      </c>
      <c r="F291" s="29">
        <v>1281.0643142899999</v>
      </c>
      <c r="G291" s="29">
        <f aca="true" t="shared" si="50" ref="G291:G300">+H278</f>
        <v>1352.8408184799998</v>
      </c>
      <c r="H291" s="29">
        <v>1385.1388549499998</v>
      </c>
      <c r="I291" s="34">
        <f t="shared" si="47"/>
        <v>-104.07454065999991</v>
      </c>
      <c r="J291" s="270">
        <f t="shared" si="48"/>
        <v>-0.07027937898366524</v>
      </c>
      <c r="K291" s="270">
        <f t="shared" si="49"/>
        <v>0.02387423267305667</v>
      </c>
      <c r="L291" s="322"/>
      <c r="M291" s="61"/>
      <c r="N291" s="235"/>
      <c r="Z291" s="62"/>
      <c r="AA291" s="62"/>
      <c r="AB291" s="62"/>
    </row>
    <row r="292" spans="3:28" s="60" customFormat="1" ht="12" customHeight="1">
      <c r="C292" s="51"/>
      <c r="D292" s="34" t="str">
        <f>IF(Indice_index!$Z$1=1,"abril","April")</f>
        <v>abril</v>
      </c>
      <c r="E292" s="29">
        <f t="shared" si="46"/>
        <v>1862.9528817500004</v>
      </c>
      <c r="F292" s="29">
        <v>1786.4029229399998</v>
      </c>
      <c r="G292" s="29">
        <f t="shared" si="50"/>
        <v>1820.18269395</v>
      </c>
      <c r="H292" s="29">
        <v>1943.6959593399997</v>
      </c>
      <c r="I292" s="34">
        <f t="shared" si="47"/>
        <v>-157.2930363999999</v>
      </c>
      <c r="J292" s="270">
        <f t="shared" si="48"/>
        <v>-0.04109065750395787</v>
      </c>
      <c r="K292" s="270">
        <f t="shared" si="49"/>
        <v>0.06785761989746325</v>
      </c>
      <c r="L292" s="322"/>
      <c r="M292" s="61"/>
      <c r="N292" s="235"/>
      <c r="Z292" s="62"/>
      <c r="AA292" s="62"/>
      <c r="AB292" s="62"/>
    </row>
    <row r="293" spans="3:28" s="60" customFormat="1" ht="12" customHeight="1">
      <c r="C293" s="51"/>
      <c r="D293" s="34" t="str">
        <f>IF(Indice_index!$Z$1=1,"maio","May")</f>
        <v>maio</v>
      </c>
      <c r="E293" s="29">
        <f t="shared" si="46"/>
        <v>2916.98589718</v>
      </c>
      <c r="F293" s="29">
        <v>2799.69994875</v>
      </c>
      <c r="G293" s="29">
        <f t="shared" si="50"/>
        <v>2513.03218343</v>
      </c>
      <c r="H293" s="29">
        <v>2660.1045034800004</v>
      </c>
      <c r="I293" s="34">
        <f t="shared" si="47"/>
        <v>139.5954452699998</v>
      </c>
      <c r="J293" s="270">
        <f t="shared" si="48"/>
        <v>-0.04020792440010974</v>
      </c>
      <c r="K293" s="270">
        <f t="shared" si="49"/>
        <v>0.058523850597593144</v>
      </c>
      <c r="L293" s="322"/>
      <c r="M293" s="61"/>
      <c r="N293" s="235"/>
      <c r="Z293" s="62"/>
      <c r="AA293" s="62"/>
      <c r="AB293" s="62"/>
    </row>
    <row r="294" spans="3:28" s="60" customFormat="1" ht="12" customHeight="1">
      <c r="C294" s="51"/>
      <c r="D294" s="34" t="str">
        <f>IF(Indice_index!$Z$1=1,"junho","June")</f>
        <v>junho</v>
      </c>
      <c r="E294" s="34">
        <f t="shared" si="46"/>
        <v>3407.8036578499996</v>
      </c>
      <c r="F294" s="34">
        <v>3275.48762154</v>
      </c>
      <c r="G294" s="34">
        <f t="shared" si="50"/>
        <v>3118.6312764400004</v>
      </c>
      <c r="H294" s="34">
        <v>3325.3554102400003</v>
      </c>
      <c r="I294" s="34">
        <f t="shared" si="47"/>
        <v>-49.86778870000035</v>
      </c>
      <c r="J294" s="270">
        <f t="shared" si="48"/>
        <v>-0.0388273649525567</v>
      </c>
      <c r="K294" s="270">
        <f t="shared" si="49"/>
        <v>0.06628681478368963</v>
      </c>
      <c r="L294" s="322"/>
      <c r="M294" s="61"/>
      <c r="N294" s="235"/>
      <c r="Z294" s="62"/>
      <c r="AA294" s="62"/>
      <c r="AB294" s="62"/>
    </row>
    <row r="295" spans="3:28" s="60" customFormat="1" ht="12" customHeight="1">
      <c r="C295" s="51"/>
      <c r="D295" s="34" t="str">
        <f>IF(Indice_index!$Z$1=1,"julho","July")</f>
        <v>julho</v>
      </c>
      <c r="E295" s="34">
        <f aca="true" t="shared" si="51" ref="E295:E300">+F282</f>
        <v>3943.2928699000004</v>
      </c>
      <c r="F295" s="34">
        <v>3851.6121569300008</v>
      </c>
      <c r="G295" s="34">
        <f t="shared" si="50"/>
        <v>3675.61284048</v>
      </c>
      <c r="H295" s="34">
        <v>3993.0549583500015</v>
      </c>
      <c r="I295" s="34">
        <f aca="true" t="shared" si="52" ref="I295:I300">+F295-H295</f>
        <v>-141.4428014200007</v>
      </c>
      <c r="J295" s="270">
        <f aca="true" t="shared" si="53" ref="J295:J300">IF(E295=0,"-",(F295-E295)/E295)</f>
        <v>-0.023249785393780444</v>
      </c>
      <c r="K295" s="270">
        <f t="shared" si="49"/>
        <v>0.08636440551463151</v>
      </c>
      <c r="L295" s="322"/>
      <c r="M295" s="61"/>
      <c r="N295" s="235"/>
      <c r="Z295" s="62"/>
      <c r="AA295" s="62"/>
      <c r="AB295" s="62"/>
    </row>
    <row r="296" spans="3:28" s="60" customFormat="1" ht="12" customHeight="1">
      <c r="C296" s="51"/>
      <c r="D296" s="34" t="str">
        <f>IF(Indice_index!$Z$1=1,"agosto","August")</f>
        <v>agosto</v>
      </c>
      <c r="E296" s="34">
        <f t="shared" si="51"/>
        <v>4474.07338537</v>
      </c>
      <c r="F296" s="34">
        <v>4594.9104129</v>
      </c>
      <c r="G296" s="34">
        <f t="shared" si="50"/>
        <v>4172.11779486</v>
      </c>
      <c r="H296" s="34">
        <v>4606.23690427</v>
      </c>
      <c r="I296" s="34">
        <f t="shared" si="52"/>
        <v>-11.32649137000044</v>
      </c>
      <c r="J296" s="270">
        <f t="shared" si="53"/>
        <v>0.027008280178222058</v>
      </c>
      <c r="K296" s="270">
        <f t="shared" si="49"/>
        <v>0.10405245747011987</v>
      </c>
      <c r="L296" s="323"/>
      <c r="M296" s="61"/>
      <c r="N296" s="235"/>
      <c r="Z296" s="62"/>
      <c r="AA296" s="62"/>
      <c r="AB296" s="62"/>
    </row>
    <row r="297" spans="3:28" s="60" customFormat="1" ht="12" customHeight="1">
      <c r="C297" s="51"/>
      <c r="D297" s="34" t="str">
        <f>IF(Indice_index!$Z$1=1,"setembro","September")</f>
        <v>setembro</v>
      </c>
      <c r="E297" s="34">
        <f t="shared" si="51"/>
        <v>5068.13893996</v>
      </c>
      <c r="F297" s="34">
        <v>5128.983731820001</v>
      </c>
      <c r="G297" s="34">
        <f t="shared" si="50"/>
        <v>4674.30009658</v>
      </c>
      <c r="H297" s="34">
        <v>5237.15891978</v>
      </c>
      <c r="I297" s="34">
        <f t="shared" si="52"/>
        <v>-108.17518795999968</v>
      </c>
      <c r="J297" s="270">
        <f t="shared" si="53"/>
        <v>0.012005351980441297</v>
      </c>
      <c r="K297" s="270">
        <f t="shared" si="49"/>
        <v>0.12041563690183726</v>
      </c>
      <c r="L297" s="323"/>
      <c r="M297" s="61"/>
      <c r="N297" s="235"/>
      <c r="Z297" s="62"/>
      <c r="AA297" s="62"/>
      <c r="AB297" s="62"/>
    </row>
    <row r="298" spans="3:28" s="60" customFormat="1" ht="12" customHeight="1">
      <c r="C298" s="51"/>
      <c r="D298" s="34" t="str">
        <f>IF(Indice_index!$Z$1=1,"outubro","October")</f>
        <v>outubro</v>
      </c>
      <c r="E298" s="34">
        <f t="shared" si="51"/>
        <v>6022.5144741</v>
      </c>
      <c r="F298" s="34">
        <v>5557.518601299999</v>
      </c>
      <c r="G298" s="34">
        <f t="shared" si="50"/>
        <v>5298.57961467001</v>
      </c>
      <c r="H298" s="34">
        <v>5718.292791779999</v>
      </c>
      <c r="I298" s="34">
        <f t="shared" si="52"/>
        <v>-160.77419047999956</v>
      </c>
      <c r="J298" s="270">
        <f t="shared" si="53"/>
        <v>-0.07720958991459953</v>
      </c>
      <c r="K298" s="270">
        <f t="shared" si="49"/>
        <v>0.07921239419484079</v>
      </c>
      <c r="L298" s="323"/>
      <c r="M298" s="61"/>
      <c r="N298" s="235"/>
      <c r="Z298" s="62"/>
      <c r="AA298" s="62"/>
      <c r="AB298" s="62"/>
    </row>
    <row r="299" spans="3:28" s="318" customFormat="1" ht="12" customHeight="1">
      <c r="C299" s="51"/>
      <c r="D299" s="34" t="str">
        <f>IF(Indice_index!$Z$1=1,"novembro","November")</f>
        <v>novembro</v>
      </c>
      <c r="E299" s="34">
        <f t="shared" si="51"/>
        <v>6537.50337397</v>
      </c>
      <c r="F299" s="34">
        <v>6002.10075059</v>
      </c>
      <c r="G299" s="34">
        <f t="shared" si="50"/>
        <v>5883.07874942</v>
      </c>
      <c r="H299" s="34">
        <v>6176.2622869199995</v>
      </c>
      <c r="I299" s="34">
        <f t="shared" si="52"/>
        <v>-174.16153632999976</v>
      </c>
      <c r="J299" s="270">
        <f t="shared" si="53"/>
        <v>-0.08189710853714924</v>
      </c>
      <c r="K299" s="270">
        <f>IF(G299=0,"-",(H299-G299)/G299)</f>
        <v>0.049835052357390844</v>
      </c>
      <c r="L299" s="324"/>
      <c r="M299" s="319"/>
      <c r="N299" s="320"/>
      <c r="Z299" s="321"/>
      <c r="AA299" s="321"/>
      <c r="AB299" s="321"/>
    </row>
    <row r="300" spans="3:28" s="318" customFormat="1" ht="12" customHeight="1">
      <c r="C300" s="313"/>
      <c r="D300" s="93" t="str">
        <f>IF(Indice_index!$Z$1=1,"dezembro","December")</f>
        <v>dezembro</v>
      </c>
      <c r="E300" s="93">
        <f t="shared" si="51"/>
        <v>7444.863426619998</v>
      </c>
      <c r="F300" s="93">
        <v>5513.406407089999</v>
      </c>
      <c r="G300" s="93">
        <f t="shared" si="50"/>
        <v>6696.164398420002</v>
      </c>
      <c r="H300" s="93">
        <v>5580.208885190001</v>
      </c>
      <c r="I300" s="93">
        <f t="shared" si="52"/>
        <v>-66.80247810000128</v>
      </c>
      <c r="J300" s="326">
        <f t="shared" si="53"/>
        <v>-0.25943484908317366</v>
      </c>
      <c r="K300" s="326">
        <f>IF(G300=0,"-",(H300-G300)/G300)</f>
        <v>-0.16665593119149183</v>
      </c>
      <c r="L300" s="324"/>
      <c r="M300" s="319"/>
      <c r="N300" s="320"/>
      <c r="Z300" s="321"/>
      <c r="AA300" s="321"/>
      <c r="AB300" s="321"/>
    </row>
    <row r="301" spans="3:11" ht="12.75">
      <c r="C301" s="337" t="str">
        <f>IF(Indice_index!$Z$1=1,"Fonte: BIORC - DGO com base nos dados do SIIAL, DOMUS - DGO (2009).","Source: BIORC - Budget General Directorate, based on data from SIIAL, DOMUS - Budget General Directorate (2009).")</f>
        <v>Fonte: BIORC - DGO com base nos dados do SIIAL, DOMUS - DGO (2009).</v>
      </c>
      <c r="D301" s="337"/>
      <c r="E301" s="337"/>
      <c r="F301" s="337"/>
      <c r="G301" s="337"/>
      <c r="H301" s="337"/>
      <c r="I301" s="337"/>
      <c r="J301" s="337"/>
      <c r="K301" s="337"/>
    </row>
    <row r="302" spans="3:11" ht="12.75">
      <c r="C302" s="337" t="str">
        <f>IF(Indice_index!$Z$1=1,"Notas: ","Notes:")</f>
        <v>Notas: </v>
      </c>
      <c r="D302" s="337"/>
      <c r="E302" s="337"/>
      <c r="F302" s="337"/>
      <c r="G302" s="337"/>
      <c r="H302" s="337"/>
      <c r="I302" s="337"/>
      <c r="J302" s="337"/>
      <c r="K302" s="337"/>
    </row>
    <row r="303" spans="3:11" ht="12" customHeight="1">
      <c r="C303" s="337" t="str">
        <f>IF(Indice_index!$Z$1=1,"1) Os dados do IV TR de 2009, 2010, 2011 e dezembro de 2012 correspondem à Conta de Gerência.","Data of IV TR 2009, 2010, 2011 and December 2012 refers to the final data.")</f>
        <v>1) Os dados do IV TR de 2009, 2010, 2011 e dezembro de 2012 correspondem à Conta de Gerência.</v>
      </c>
      <c r="D303" s="337"/>
      <c r="E303" s="337"/>
      <c r="F303" s="337"/>
      <c r="G303" s="337"/>
      <c r="H303" s="337"/>
      <c r="I303" s="337"/>
      <c r="J303" s="337"/>
      <c r="K303" s="337"/>
    </row>
    <row r="304" spans="3:28" ht="12" customHeight="1">
      <c r="C304" s="337" t="str">
        <f>IF(Indice_index!$Z$1=1,"2) A informação corresponde ao universo de municípios reportado:","2) Data refers to reported universe of municipalities:")</f>
        <v>2) A informação corresponde ao universo de municípios reportado:</v>
      </c>
      <c r="D304" s="337"/>
      <c r="E304" s="337"/>
      <c r="F304" s="337"/>
      <c r="G304" s="337"/>
      <c r="H304" s="337"/>
      <c r="I304" s="337"/>
      <c r="J304" s="337"/>
      <c r="K304" s="337"/>
      <c r="M304" s="8"/>
      <c r="O304" s="285"/>
      <c r="S304" s="2"/>
      <c r="T304" s="2"/>
      <c r="U304" s="2"/>
      <c r="Z304" s="8"/>
      <c r="AA304" s="8"/>
      <c r="AB304" s="8"/>
    </row>
    <row r="305" spans="3:28" ht="12" customHeight="1">
      <c r="C305" s="337" t="str">
        <f>IF(Indice_index!$Z$1=1,"Em falta: I TR 2010 - Águeda; II TR 2010 - Amadora, Caldas da Rainha; III TR 2010 - Amadora; IV TR 2010 - Amadora; maio 2013 - Montemor-o-Novo; ","Missing reports: I TR 2010 - Águeda; II TR 2010 - Amadora, Caldas da Rainha; III TR 2010 - Amadora; IV TR 2010 - Amadora; May 2013 - Montemor-o-Novo; ")</f>
        <v>Em falta: I TR 2010 - Águeda; II TR 2010 - Amadora, Caldas da Rainha; III TR 2010 - Amadora; IV TR 2010 - Amadora; maio 2013 - Montemor-o-Novo; </v>
      </c>
      <c r="D305" s="337"/>
      <c r="E305" s="337"/>
      <c r="F305" s="337"/>
      <c r="G305" s="337"/>
      <c r="H305" s="337"/>
      <c r="I305" s="337"/>
      <c r="J305" s="337"/>
      <c r="K305" s="337"/>
      <c r="M305" s="8"/>
      <c r="O305" s="341"/>
      <c r="P305" s="341"/>
      <c r="Q305" s="341"/>
      <c r="R305" s="341"/>
      <c r="S305" s="341"/>
      <c r="T305" s="341"/>
      <c r="U305" s="341"/>
      <c r="V305" s="341"/>
      <c r="W305" s="341"/>
      <c r="Z305" s="8"/>
      <c r="AA305" s="8"/>
      <c r="AB305" s="8"/>
    </row>
    <row r="306" spans="3:28" ht="12" customHeight="1">
      <c r="C306" s="337" t="str">
        <f>IF(Indice_index!$Z$1=1,"junho 2013 - Montemor-o-Novo; julho 2013 - Montemor-o-Novo; agosto 2013 -  Montemor-o-Novo; setembro 2013 - Montemor-o-Novo; ","June 2013 -Montemor-o-Novo; july 2013 - Montemor-o-Novo; August 2013 - Montemor-o-Novo; Septembre 2013 - Montemor-o-Novo;")</f>
        <v>junho 2013 - Montemor-o-Novo; julho 2013 - Montemor-o-Novo; agosto 2013 -  Montemor-o-Novo; setembro 2013 - Montemor-o-Novo; </v>
      </c>
      <c r="D306" s="337"/>
      <c r="E306" s="337"/>
      <c r="F306" s="337"/>
      <c r="G306" s="337"/>
      <c r="H306" s="337"/>
      <c r="I306" s="337"/>
      <c r="J306" s="337"/>
      <c r="K306" s="337"/>
      <c r="M306" s="8"/>
      <c r="O306" s="286"/>
      <c r="P306" s="286"/>
      <c r="Q306" s="286"/>
      <c r="R306" s="286"/>
      <c r="S306" s="286"/>
      <c r="T306" s="286"/>
      <c r="U306" s="286"/>
      <c r="V306" s="286"/>
      <c r="W306" s="286"/>
      <c r="Z306" s="8"/>
      <c r="AA306" s="8"/>
      <c r="AB306" s="8"/>
    </row>
    <row r="307" spans="3:28" ht="12" customHeight="1">
      <c r="C307" s="337" t="str">
        <f>IF(Indice_index!$Z$1=1," outubro 2013: - Alenquer - Alijó - Montemor-o-Novo - Ourém - Penafiel - Vila Nova de Paiva; novembro 2013:  - Alijó - Alvaiázere - Arruda dos Vinhos -"," October 2013: - Alenquer - Alijó - Montemor-o-Novo - Ourém - Penafiel - Vila Nova de Paiva; November 2013: - Alijó - Alvaiázere - Arruda dos Vinhos - ")</f>
        <v> outubro 2013: - Alenquer - Alijó - Montemor-o-Novo - Ourém - Penafiel - Vila Nova de Paiva; novembro 2013:  - Alijó - Alvaiázere - Arruda dos Vinhos -</v>
      </c>
      <c r="D307" s="337"/>
      <c r="E307" s="337"/>
      <c r="F307" s="337"/>
      <c r="G307" s="337"/>
      <c r="H307" s="337"/>
      <c r="I307" s="337"/>
      <c r="J307" s="337"/>
      <c r="K307" s="337"/>
      <c r="M307" s="8"/>
      <c r="S307" s="2"/>
      <c r="T307" s="2"/>
      <c r="U307" s="2"/>
      <c r="Z307" s="8"/>
      <c r="AA307" s="8"/>
      <c r="AB307" s="8"/>
    </row>
    <row r="308" spans="3:28" ht="12" customHeight="1">
      <c r="C308" s="337" t="str">
        <f>IF(Indice_index!$Z$1=1,"- Barcelos - Cadaval - Celorico da Beira - Condeixa-a-Nova - Cuba - Grândola - Marvão - Mira - Moimenta da Beira - Monforte - Montemor-o-Novo - Ourém -","- Barcelos - Cadaval - Celorico da Beira - Condeixa-a-Nova - Cuba - Grândola - Marvão - Mira - Moimenta da Beira - Monforte - Montemor-o-Novo - Ourém -")</f>
        <v>- Barcelos - Cadaval - Celorico da Beira - Condeixa-a-Nova - Cuba - Grândola - Marvão - Mira - Moimenta da Beira - Monforte - Montemor-o-Novo - Ourém -</v>
      </c>
      <c r="D308" s="337"/>
      <c r="E308" s="337"/>
      <c r="F308" s="337"/>
      <c r="G308" s="337"/>
      <c r="H308" s="337"/>
      <c r="I308" s="337"/>
      <c r="J308" s="337"/>
      <c r="K308" s="337"/>
      <c r="M308" s="8"/>
      <c r="S308" s="2"/>
      <c r="T308" s="2"/>
      <c r="U308" s="2"/>
      <c r="Z308" s="8"/>
      <c r="AA308" s="8"/>
      <c r="AB308" s="8"/>
    </row>
    <row r="309" spans="3:28" ht="12" customHeight="1">
      <c r="C309" s="337" t="str">
        <f>IF(Indice_index!$Z$1=1,"- Paços de Ferreira - Penafiel - Ponta do Sol - Porto Santo - Redondo - Sardoal - Serpa - Tondela - Vila de Rei - Vila Franca do Campo - Vila Nova de Paiva -","- Paços de Ferreira - Penafiel - Ponta do Sol - Porto Santo - Redondo - Sardoal - Serpa - Tondela - Vila de Rei - Vila Franca do Campo - Vila Nova de Paiva -")</f>
        <v>- Paços de Ferreira - Penafiel - Ponta do Sol - Porto Santo - Redondo - Sardoal - Serpa - Tondela - Vila de Rei - Vila Franca do Campo - Vila Nova de Paiva -</v>
      </c>
      <c r="D309" s="337"/>
      <c r="E309" s="337"/>
      <c r="F309" s="337"/>
      <c r="G309" s="337"/>
      <c r="H309" s="337"/>
      <c r="I309" s="337"/>
      <c r="J309" s="337"/>
      <c r="K309" s="337"/>
      <c r="M309" s="8"/>
      <c r="S309" s="2"/>
      <c r="T309" s="2"/>
      <c r="U309" s="2"/>
      <c r="Z309" s="8"/>
      <c r="AA309" s="8"/>
      <c r="AB309" s="8"/>
    </row>
    <row r="310" spans="3:28" ht="12" customHeight="1">
      <c r="C310" s="337" t="str">
        <f>IF(Indice_index!$Z$1=1,"- Vila Real de Santo António - Vila Verde - Vouzela.","- Vila Real de Santo António - Vila Verde - Vouzela.")</f>
        <v>- Vila Real de Santo António - Vila Verde - Vouzela.</v>
      </c>
      <c r="D310" s="337"/>
      <c r="E310" s="337"/>
      <c r="F310" s="337"/>
      <c r="G310" s="337"/>
      <c r="H310" s="337"/>
      <c r="I310" s="337"/>
      <c r="J310" s="337"/>
      <c r="K310" s="337"/>
      <c r="M310" s="8"/>
      <c r="S310" s="2"/>
      <c r="T310" s="2"/>
      <c r="U310" s="2"/>
      <c r="Z310" s="8"/>
      <c r="AA310" s="8"/>
      <c r="AB310" s="8"/>
    </row>
    <row r="311" spans="3:11" ht="12.75">
      <c r="C311" s="284"/>
      <c r="D311" s="284"/>
      <c r="E311" s="284"/>
      <c r="F311" s="284"/>
      <c r="G311" s="284"/>
      <c r="H311" s="284"/>
      <c r="I311" s="284"/>
      <c r="J311" s="284"/>
      <c r="K311" s="284"/>
    </row>
    <row r="312" spans="3:11" ht="12.75">
      <c r="C312" s="90" t="str">
        <f>IF(Indice_index!$Z$1=1,"Evolução da Receita, Despesa e Saldo da Administração Regional (valores acumulados)","Regional Government Revenue, Expenditure and Balance Evolution (cumulative values)")</f>
        <v>Evolução da Receita, Despesa e Saldo da Administração Regional (valores acumulados)</v>
      </c>
      <c r="D312" s="91"/>
      <c r="E312" s="91"/>
      <c r="F312" s="91"/>
      <c r="G312" s="91"/>
      <c r="H312" s="91"/>
      <c r="I312" s="91"/>
      <c r="J312" s="92"/>
      <c r="K312" s="88" t="str">
        <f>IF(Indice_index!$Z$1=1,"€ Milhões","€ Millions")</f>
        <v>€ Milhões</v>
      </c>
    </row>
    <row r="313" spans="3:11" ht="12.75">
      <c r="C313" s="80"/>
      <c r="D313" s="80"/>
      <c r="E313" s="338" t="str">
        <f>IF(Indice_index!$Z$1=1,"Receita efetiva","Effective revenue")</f>
        <v>Receita efetiva</v>
      </c>
      <c r="F313" s="338"/>
      <c r="G313" s="338" t="str">
        <f>IF(Indice_index!$Z$1=1,"Despesa  efetiva","Effective expenditure")</f>
        <v>Despesa  efetiva</v>
      </c>
      <c r="H313" s="338"/>
      <c r="I313" s="338" t="str">
        <f>IF(Indice_index!$Z$1=1,"Saldo global","Overall
balance")</f>
        <v>Saldo global</v>
      </c>
      <c r="J313" s="340" t="str">
        <f>IF(Indice_index!$Z$1=1,"VH (%)","YOY Change Rate (%)")</f>
        <v>VH (%)</v>
      </c>
      <c r="K313" s="340"/>
    </row>
    <row r="314" spans="3:11" ht="12.75">
      <c r="C314" s="81"/>
      <c r="D314" s="83"/>
      <c r="E314" s="339"/>
      <c r="F314" s="339"/>
      <c r="G314" s="339"/>
      <c r="H314" s="339"/>
      <c r="I314" s="339"/>
      <c r="J314" s="215" t="str">
        <f>IF(Indice_index!$Z$1=1,"Receita","Revenue")</f>
        <v>Receita</v>
      </c>
      <c r="K314" s="82" t="str">
        <f>IF(Indice_index!$Z$1=1,"Despesa","Expenditure")</f>
        <v>Despesa</v>
      </c>
    </row>
    <row r="315" spans="3:11" ht="12.75">
      <c r="C315" s="24"/>
      <c r="D315" s="25"/>
      <c r="E315" s="19" t="str">
        <f>IF(Indice_index!$Z$1=1,"Ano n-1","Year n-1")</f>
        <v>Ano n-1</v>
      </c>
      <c r="F315" s="19" t="str">
        <f>IF(Indice_index!$Z$1=1,"Ano n","Year n")</f>
        <v>Ano n</v>
      </c>
      <c r="G315" s="19" t="str">
        <f>IF(Indice_index!$Z$1=1,"Ano n-1","Year n-1")</f>
        <v>Ano n-1</v>
      </c>
      <c r="H315" s="19" t="str">
        <f>IF(Indice_index!$Z$1=1,"Ano n","Year n")</f>
        <v>Ano n</v>
      </c>
      <c r="I315" s="19" t="str">
        <f>IF(Indice_index!$Z$1=1,"Ano n","Year n")</f>
        <v>Ano n</v>
      </c>
      <c r="J315" s="20" t="str">
        <f>IF(Indice_index!$Z$1=1,"Ano n","Year n")</f>
        <v>Ano n</v>
      </c>
      <c r="K315" s="20" t="str">
        <f>IF(Indice_index!$Z$1=1,"Ano n","Year n")</f>
        <v>Ano n</v>
      </c>
    </row>
    <row r="316" spans="3:11" ht="12.75">
      <c r="C316" s="21">
        <v>2008</v>
      </c>
      <c r="D316" s="8" t="str">
        <f>IF(Indice_index!$Z$1=1,"I TR","Q1")</f>
        <v>I TR</v>
      </c>
      <c r="E316" s="13">
        <v>425.0999018</v>
      </c>
      <c r="F316" s="13">
        <v>404.37642024</v>
      </c>
      <c r="G316" s="13">
        <v>373.72182068000006</v>
      </c>
      <c r="H316" s="13">
        <v>375.25180029</v>
      </c>
      <c r="I316" s="8">
        <f>+F316-H316</f>
        <v>29.12461995000001</v>
      </c>
      <c r="J316" s="63">
        <f>IF(E316=0,"-",(F316-E316)/E316)</f>
        <v>-0.04874967383490462</v>
      </c>
      <c r="K316" s="63">
        <f>IF(G316=0,"-",(H316-G316)/G316)</f>
        <v>0.00409389959413151</v>
      </c>
    </row>
    <row r="317" spans="3:11" ht="12.75">
      <c r="C317" s="24"/>
      <c r="D317" s="8" t="str">
        <f>IF(Indice_index!$Z$1=1,"II TR","Q2")</f>
        <v>II TR</v>
      </c>
      <c r="E317" s="13">
        <v>992.7751816</v>
      </c>
      <c r="F317" s="13">
        <v>937.03355636</v>
      </c>
      <c r="G317" s="13">
        <v>902.06427322</v>
      </c>
      <c r="H317" s="13">
        <v>919.1459569699999</v>
      </c>
      <c r="I317" s="8">
        <f aca="true" t="shared" si="54" ref="I317:I342">+F317-H317</f>
        <v>17.887599390000105</v>
      </c>
      <c r="J317" s="63">
        <f aca="true" t="shared" si="55" ref="J317:J342">IF(E317=0,"-",(F317-E317)/E317)</f>
        <v>-0.05614727913540739</v>
      </c>
      <c r="K317" s="63">
        <f aca="true" t="shared" si="56" ref="K317:K342">IF(G317=0,"-",(H317-G317)/G317)</f>
        <v>0.018936215807577986</v>
      </c>
    </row>
    <row r="318" spans="3:11" ht="12.75">
      <c r="C318" s="24"/>
      <c r="D318" s="8" t="str">
        <f>IF(Indice_index!$Z$1=1,"III TR","Q3")</f>
        <v>III TR</v>
      </c>
      <c r="E318" s="13">
        <v>1443.4029095899998</v>
      </c>
      <c r="F318" s="13">
        <v>1417.6812496100001</v>
      </c>
      <c r="G318" s="13">
        <v>1381.8193845099997</v>
      </c>
      <c r="H318" s="13">
        <v>1636.50616712</v>
      </c>
      <c r="I318" s="8">
        <f t="shared" si="54"/>
        <v>-218.82491750999998</v>
      </c>
      <c r="J318" s="63">
        <f t="shared" si="55"/>
        <v>-0.017820152508426043</v>
      </c>
      <c r="K318" s="63">
        <f t="shared" si="56"/>
        <v>0.18431264278458043</v>
      </c>
    </row>
    <row r="319" spans="3:11" ht="12.75">
      <c r="C319" s="24"/>
      <c r="D319" s="8" t="str">
        <f>IF(Indice_index!$Z$1=1,"IV TR","Q4")</f>
        <v>IV TR</v>
      </c>
      <c r="E319" s="13">
        <v>2162.8791463400003</v>
      </c>
      <c r="F319" s="13">
        <v>2115.8230853100004</v>
      </c>
      <c r="G319" s="13">
        <v>2167.45480973</v>
      </c>
      <c r="H319" s="13">
        <v>2287.23248868</v>
      </c>
      <c r="I319" s="8">
        <f t="shared" si="54"/>
        <v>-171.40940336999984</v>
      </c>
      <c r="J319" s="63">
        <f t="shared" si="55"/>
        <v>-0.021756213753148273</v>
      </c>
      <c r="K319" s="63">
        <f t="shared" si="56"/>
        <v>0.055261903691049066</v>
      </c>
    </row>
    <row r="320" spans="3:11" ht="12.75">
      <c r="C320" s="24"/>
      <c r="E320" s="13"/>
      <c r="F320" s="13"/>
      <c r="G320" s="13"/>
      <c r="H320" s="13"/>
      <c r="J320" s="63"/>
      <c r="K320" s="63"/>
    </row>
    <row r="321" spans="3:11" ht="12.75">
      <c r="C321" s="21">
        <v>2009</v>
      </c>
      <c r="D321" s="8" t="str">
        <f>IF(Indice_index!$Z$1=1,"I TR","Q1")</f>
        <v>I TR</v>
      </c>
      <c r="E321" s="33">
        <v>404.37642024</v>
      </c>
      <c r="F321" s="13">
        <v>397.5419021899999</v>
      </c>
      <c r="G321" s="13">
        <v>375.25180029</v>
      </c>
      <c r="H321" s="13">
        <v>386.90148533</v>
      </c>
      <c r="I321" s="8">
        <f t="shared" si="54"/>
        <v>10.640416859999902</v>
      </c>
      <c r="J321" s="63">
        <f t="shared" si="55"/>
        <v>-0.016901376311565765</v>
      </c>
      <c r="K321" s="63">
        <f t="shared" si="56"/>
        <v>0.031044981079363147</v>
      </c>
    </row>
    <row r="322" spans="3:11" ht="12.75">
      <c r="C322" s="21"/>
      <c r="D322" s="8" t="str">
        <f>IF(Indice_index!$Z$1=1,"II TR","Q2")</f>
        <v>II TR</v>
      </c>
      <c r="E322" s="13">
        <v>937.03355636</v>
      </c>
      <c r="F322" s="13">
        <v>865.4612350599998</v>
      </c>
      <c r="G322" s="13">
        <v>919.1459569699999</v>
      </c>
      <c r="H322" s="13">
        <v>960.61918799</v>
      </c>
      <c r="I322" s="8">
        <f t="shared" si="54"/>
        <v>-95.15795293000019</v>
      </c>
      <c r="J322" s="63">
        <f t="shared" si="55"/>
        <v>-0.07638181238463862</v>
      </c>
      <c r="K322" s="63">
        <f t="shared" si="56"/>
        <v>0.045121485554610034</v>
      </c>
    </row>
    <row r="323" spans="3:11" ht="12.75">
      <c r="C323" s="21"/>
      <c r="D323" s="8" t="str">
        <f>IF(Indice_index!$Z$1=1,"III TR","Q3")</f>
        <v>III TR</v>
      </c>
      <c r="E323" s="13">
        <v>1417.6812496100001</v>
      </c>
      <c r="F323" s="13">
        <v>1342.5329133900002</v>
      </c>
      <c r="G323" s="13">
        <v>1636.50616712</v>
      </c>
      <c r="H323" s="13">
        <v>1461.14300977</v>
      </c>
      <c r="I323" s="8">
        <f t="shared" si="54"/>
        <v>-118.61009637999973</v>
      </c>
      <c r="J323" s="63">
        <f t="shared" si="55"/>
        <v>-0.05300792137913442</v>
      </c>
      <c r="K323" s="63">
        <f t="shared" si="56"/>
        <v>-0.10715704032977305</v>
      </c>
    </row>
    <row r="324" spans="3:11" ht="12.75">
      <c r="C324" s="21"/>
      <c r="D324" s="8" t="str">
        <f>IF(Indice_index!$Z$1=1,"IV TR","Q4")</f>
        <v>IV TR</v>
      </c>
      <c r="E324" s="13">
        <v>2115.8230853100004</v>
      </c>
      <c r="F324" s="13">
        <v>2001.8007156000003</v>
      </c>
      <c r="G324" s="13">
        <v>2287.23248868</v>
      </c>
      <c r="H324" s="13">
        <v>2148.84943477</v>
      </c>
      <c r="I324" s="8">
        <f t="shared" si="54"/>
        <v>-147.04871916999946</v>
      </c>
      <c r="J324" s="63">
        <f t="shared" si="55"/>
        <v>-0.05389031365696344</v>
      </c>
      <c r="K324" s="63">
        <f t="shared" si="56"/>
        <v>-0.06050239955705752</v>
      </c>
    </row>
    <row r="325" spans="3:11" ht="12.75">
      <c r="C325" s="21"/>
      <c r="E325" s="13"/>
      <c r="F325" s="13"/>
      <c r="G325" s="13"/>
      <c r="H325" s="13"/>
      <c r="J325" s="63"/>
      <c r="K325" s="63"/>
    </row>
    <row r="326" spans="3:11" ht="12.75">
      <c r="C326" s="21" t="s">
        <v>3</v>
      </c>
      <c r="D326" s="8" t="str">
        <f>IF(Indice_index!$Z$1=1,"I TR","Q1")</f>
        <v>I TR</v>
      </c>
      <c r="E326" s="13">
        <v>397.5419021899999</v>
      </c>
      <c r="F326" s="13">
        <v>406.31942040999996</v>
      </c>
      <c r="G326" s="13">
        <v>386.90148533</v>
      </c>
      <c r="H326" s="13">
        <v>430.71720399</v>
      </c>
      <c r="I326" s="8">
        <f t="shared" si="54"/>
        <v>-24.39778358000001</v>
      </c>
      <c r="J326" s="63">
        <f t="shared" si="55"/>
        <v>0.022079479349588028</v>
      </c>
      <c r="K326" s="63">
        <f t="shared" si="56"/>
        <v>0.11324773959610986</v>
      </c>
    </row>
    <row r="327" spans="3:11" ht="12.75">
      <c r="C327" s="21"/>
      <c r="D327" s="8" t="str">
        <f>IF(Indice_index!$Z$1=1,"II TR","Q2")</f>
        <v>II TR</v>
      </c>
      <c r="E327" s="13">
        <v>865.4612350599998</v>
      </c>
      <c r="F327" s="13">
        <v>869.84729736</v>
      </c>
      <c r="G327" s="34">
        <v>960.61918799</v>
      </c>
      <c r="H327" s="34">
        <v>950.92993755</v>
      </c>
      <c r="I327" s="13">
        <f t="shared" si="54"/>
        <v>-81.08264019</v>
      </c>
      <c r="J327" s="63">
        <f t="shared" si="55"/>
        <v>0.005067889955459519</v>
      </c>
      <c r="K327" s="63">
        <f t="shared" si="56"/>
        <v>-0.01008646356551946</v>
      </c>
    </row>
    <row r="328" spans="3:13" ht="12.75">
      <c r="C328" s="21"/>
      <c r="D328" s="8" t="str">
        <f>IF(Indice_index!$Z$1=1,"III TR","Q3")</f>
        <v>III TR</v>
      </c>
      <c r="E328" s="13">
        <v>1342.5329133900002</v>
      </c>
      <c r="F328" s="13">
        <v>1404.3523082909999</v>
      </c>
      <c r="G328" s="29">
        <v>1461.14300977</v>
      </c>
      <c r="H328" s="29">
        <v>1451.04738816</v>
      </c>
      <c r="I328" s="13">
        <f t="shared" si="54"/>
        <v>-46.69507986900021</v>
      </c>
      <c r="J328" s="63">
        <f t="shared" si="55"/>
        <v>0.04604683749979796</v>
      </c>
      <c r="K328" s="63">
        <f t="shared" si="56"/>
        <v>-0.006909400067272686</v>
      </c>
      <c r="M328" s="31"/>
    </row>
    <row r="329" spans="3:13" ht="12.75">
      <c r="C329" s="21"/>
      <c r="D329" s="8" t="str">
        <f>IF(Indice_index!$Z$1=1,"IV TR","Q4")</f>
        <v>IV TR</v>
      </c>
      <c r="E329" s="13">
        <v>2001.8</v>
      </c>
      <c r="F329" s="13">
        <v>2144.8090481100003</v>
      </c>
      <c r="G329" s="29">
        <v>2148.8</v>
      </c>
      <c r="H329" s="29">
        <v>2276.2152452000005</v>
      </c>
      <c r="I329" s="8">
        <f t="shared" si="54"/>
        <v>-131.4061970900002</v>
      </c>
      <c r="J329" s="63">
        <f t="shared" si="55"/>
        <v>0.07144022784993521</v>
      </c>
      <c r="K329" s="63">
        <f t="shared" si="56"/>
        <v>0.05929600018615054</v>
      </c>
      <c r="M329" s="31"/>
    </row>
    <row r="330" spans="3:13" ht="12.75">
      <c r="C330" s="21"/>
      <c r="E330" s="13"/>
      <c r="F330" s="13"/>
      <c r="G330" s="29"/>
      <c r="H330" s="29"/>
      <c r="J330" s="63"/>
      <c r="K330" s="63"/>
      <c r="M330" s="31"/>
    </row>
    <row r="331" spans="3:13" ht="12.75">
      <c r="C331" s="21" t="s">
        <v>4</v>
      </c>
      <c r="D331" s="8" t="str">
        <f>IF(Indice_index!$Z$1=1,"janeiro","January")</f>
        <v>janeiro</v>
      </c>
      <c r="E331" s="13"/>
      <c r="F331" s="13">
        <v>210.75892093</v>
      </c>
      <c r="G331" s="13"/>
      <c r="H331" s="13">
        <v>121.16334205999998</v>
      </c>
      <c r="I331" s="8">
        <f t="shared" si="54"/>
        <v>89.59557887000001</v>
      </c>
      <c r="J331" s="63" t="str">
        <f t="shared" si="55"/>
        <v>-</v>
      </c>
      <c r="K331" s="63" t="str">
        <f t="shared" si="56"/>
        <v>-</v>
      </c>
      <c r="M331" s="31"/>
    </row>
    <row r="332" spans="3:13" ht="12.75">
      <c r="C332" s="21"/>
      <c r="D332" s="8" t="str">
        <f>IF(Indice_index!$Z$1=1,"fevereiro","February")</f>
        <v>fevereiro</v>
      </c>
      <c r="E332" s="13"/>
      <c r="F332" s="13">
        <v>322.88092367999997</v>
      </c>
      <c r="G332" s="13"/>
      <c r="H332" s="13">
        <v>253.16642726000003</v>
      </c>
      <c r="I332" s="8">
        <f t="shared" si="54"/>
        <v>69.71449641999993</v>
      </c>
      <c r="J332" s="63" t="str">
        <f t="shared" si="55"/>
        <v>-</v>
      </c>
      <c r="K332" s="63" t="str">
        <f t="shared" si="56"/>
        <v>-</v>
      </c>
      <c r="M332" s="31"/>
    </row>
    <row r="333" spans="3:13" ht="12.75">
      <c r="C333" s="21"/>
      <c r="D333" s="8" t="str">
        <f>IF(Indice_index!$Z$1=1,"março","March")</f>
        <v>março</v>
      </c>
      <c r="E333" s="13">
        <v>406.31952040999994</v>
      </c>
      <c r="F333" s="13">
        <v>436.08804484</v>
      </c>
      <c r="G333" s="13">
        <v>430.71726671</v>
      </c>
      <c r="H333" s="13">
        <v>424.47959798700003</v>
      </c>
      <c r="I333" s="8">
        <f t="shared" si="54"/>
        <v>11.608446852999975</v>
      </c>
      <c r="J333" s="63">
        <f t="shared" si="55"/>
        <v>0.07326383039624064</v>
      </c>
      <c r="K333" s="63">
        <f t="shared" si="56"/>
        <v>-0.014482049374630135</v>
      </c>
      <c r="M333" s="31"/>
    </row>
    <row r="334" spans="3:13" ht="12.75">
      <c r="C334" s="21"/>
      <c r="D334" s="8" t="str">
        <f>IF(Indice_index!$Z$1=1,"abril","April")</f>
        <v>abril</v>
      </c>
      <c r="E334" s="13"/>
      <c r="F334" s="13">
        <v>702.68604497</v>
      </c>
      <c r="G334" s="13"/>
      <c r="H334" s="13">
        <v>569.57638301</v>
      </c>
      <c r="I334" s="8">
        <f t="shared" si="54"/>
        <v>133.10966196000004</v>
      </c>
      <c r="J334" s="63" t="str">
        <f t="shared" si="55"/>
        <v>-</v>
      </c>
      <c r="K334" s="63" t="str">
        <f t="shared" si="56"/>
        <v>-</v>
      </c>
      <c r="M334" s="31"/>
    </row>
    <row r="335" spans="3:13" ht="12.75">
      <c r="C335" s="21"/>
      <c r="D335" s="8" t="str">
        <f>IF(Indice_index!$Z$1=1,"maio","May")</f>
        <v>maio</v>
      </c>
      <c r="E335" s="13"/>
      <c r="F335" s="13">
        <v>819.0166680599999</v>
      </c>
      <c r="G335" s="13"/>
      <c r="H335" s="13">
        <v>779.1072715169998</v>
      </c>
      <c r="I335" s="8">
        <f t="shared" si="54"/>
        <v>39.90939654300007</v>
      </c>
      <c r="J335" s="63" t="str">
        <f t="shared" si="55"/>
        <v>-</v>
      </c>
      <c r="K335" s="63" t="str">
        <f t="shared" si="56"/>
        <v>-</v>
      </c>
      <c r="M335" s="31"/>
    </row>
    <row r="336" spans="3:13" ht="12.75">
      <c r="C336" s="21"/>
      <c r="D336" s="8" t="str">
        <f>IF(Indice_index!$Z$1=1,"junho","June")</f>
        <v>junho</v>
      </c>
      <c r="E336" s="13">
        <v>869.85486736</v>
      </c>
      <c r="F336" s="13">
        <v>937.94359436</v>
      </c>
      <c r="G336" s="13">
        <v>951.0098426099999</v>
      </c>
      <c r="H336" s="13">
        <v>977.8027931499997</v>
      </c>
      <c r="I336" s="8">
        <f t="shared" si="54"/>
        <v>-39.85919878999971</v>
      </c>
      <c r="J336" s="63">
        <f t="shared" si="55"/>
        <v>0.07827596252539071</v>
      </c>
      <c r="K336" s="63">
        <f t="shared" si="56"/>
        <v>0.02817315798379956</v>
      </c>
      <c r="M336" s="31"/>
    </row>
    <row r="337" spans="3:13" ht="12.75">
      <c r="C337" s="21"/>
      <c r="D337" s="8" t="str">
        <f>IF(Indice_index!$Z$1=1,"julho","July")</f>
        <v>julho</v>
      </c>
      <c r="E337" s="13"/>
      <c r="F337" s="13">
        <v>1202.8629568800002</v>
      </c>
      <c r="G337" s="13"/>
      <c r="H337" s="13">
        <v>1174.80803929</v>
      </c>
      <c r="I337" s="8">
        <f t="shared" si="54"/>
        <v>28.054917590000287</v>
      </c>
      <c r="J337" s="63" t="str">
        <f t="shared" si="55"/>
        <v>-</v>
      </c>
      <c r="K337" s="63" t="str">
        <f t="shared" si="56"/>
        <v>-</v>
      </c>
      <c r="M337" s="31"/>
    </row>
    <row r="338" spans="3:13" ht="12.75">
      <c r="C338" s="21"/>
      <c r="D338" s="8" t="str">
        <f>IF(Indice_index!$Z$1=1,"agosto","August")</f>
        <v>agosto</v>
      </c>
      <c r="E338" s="13"/>
      <c r="F338" s="13">
        <v>1349.29172793</v>
      </c>
      <c r="G338" s="13"/>
      <c r="H338" s="13">
        <v>1345.61621202</v>
      </c>
      <c r="I338" s="8">
        <f t="shared" si="54"/>
        <v>3.6755159100000583</v>
      </c>
      <c r="J338" s="63" t="str">
        <f t="shared" si="55"/>
        <v>-</v>
      </c>
      <c r="K338" s="63" t="str">
        <f t="shared" si="56"/>
        <v>-</v>
      </c>
      <c r="M338" s="31"/>
    </row>
    <row r="339" spans="3:13" ht="12.75">
      <c r="C339" s="21"/>
      <c r="D339" s="8" t="str">
        <f>IF(Indice_index!$Z$1=1,"setembro","September")</f>
        <v>setembro</v>
      </c>
      <c r="E339" s="13">
        <v>1404.3523082909999</v>
      </c>
      <c r="F339" s="13">
        <v>1511.7252416800004</v>
      </c>
      <c r="G339" s="13">
        <v>1451.0473881599996</v>
      </c>
      <c r="H339" s="13">
        <v>1530.22683851</v>
      </c>
      <c r="I339" s="8">
        <f t="shared" si="54"/>
        <v>-18.5015968299997</v>
      </c>
      <c r="J339" s="63">
        <f t="shared" si="55"/>
        <v>0.07645726272182085</v>
      </c>
      <c r="K339" s="63">
        <f t="shared" si="56"/>
        <v>0.05456710166468372</v>
      </c>
      <c r="M339" s="31"/>
    </row>
    <row r="340" spans="3:13" ht="12.75">
      <c r="C340" s="21"/>
      <c r="D340" s="8" t="str">
        <f>IF(Indice_index!$Z$1=1,"outubro","October")</f>
        <v>outubro</v>
      </c>
      <c r="E340" s="13"/>
      <c r="F340" s="33">
        <v>1727.8899235699998</v>
      </c>
      <c r="G340" s="33"/>
      <c r="H340" s="33">
        <v>1688.076909209</v>
      </c>
      <c r="I340" s="33">
        <f t="shared" si="54"/>
        <v>39.81301436099989</v>
      </c>
      <c r="J340" s="63" t="str">
        <f t="shared" si="55"/>
        <v>-</v>
      </c>
      <c r="K340" s="63" t="str">
        <f t="shared" si="56"/>
        <v>-</v>
      </c>
      <c r="M340" s="31"/>
    </row>
    <row r="341" spans="3:28" s="33" customFormat="1" ht="12.75">
      <c r="C341" s="21"/>
      <c r="D341" s="13" t="str">
        <f>IF(Indice_index!$Z$1=1,"novembro","November")</f>
        <v>novembro</v>
      </c>
      <c r="E341" s="13"/>
      <c r="F341" s="33">
        <v>1887.2796723699998</v>
      </c>
      <c r="H341" s="33">
        <v>1893.74773157</v>
      </c>
      <c r="I341" s="33">
        <f t="shared" si="54"/>
        <v>-6.468059200000198</v>
      </c>
      <c r="J341" s="54" t="str">
        <f t="shared" si="55"/>
        <v>-</v>
      </c>
      <c r="K341" s="54" t="str">
        <f t="shared" si="56"/>
        <v>-</v>
      </c>
      <c r="L341"/>
      <c r="M341" s="41"/>
      <c r="Z341" s="42"/>
      <c r="AA341" s="42"/>
      <c r="AB341" s="42"/>
    </row>
    <row r="342" spans="3:28" s="33" customFormat="1" ht="12.75">
      <c r="C342" s="21"/>
      <c r="D342" s="13" t="str">
        <f>IF(Indice_index!$Z$1=1,"dezembro","December")</f>
        <v>dezembro</v>
      </c>
      <c r="E342" s="13">
        <v>2144.80627791</v>
      </c>
      <c r="F342" s="33">
        <v>2114.315047061</v>
      </c>
      <c r="G342" s="33">
        <v>2276.2152452</v>
      </c>
      <c r="H342" s="33">
        <v>2126.614456668</v>
      </c>
      <c r="I342" s="33">
        <f t="shared" si="54"/>
        <v>-12.299409607000143</v>
      </c>
      <c r="J342" s="54">
        <f t="shared" si="55"/>
        <v>-0.014216309959103762</v>
      </c>
      <c r="K342" s="54">
        <f t="shared" si="56"/>
        <v>-0.06572348060996108</v>
      </c>
      <c r="L342"/>
      <c r="M342" s="41"/>
      <c r="Z342" s="42"/>
      <c r="AA342" s="42"/>
      <c r="AB342" s="42"/>
    </row>
    <row r="343" spans="3:28" s="33" customFormat="1" ht="12.75">
      <c r="C343" s="21"/>
      <c r="D343" s="13"/>
      <c r="E343" s="13"/>
      <c r="J343" s="54"/>
      <c r="K343" s="54"/>
      <c r="L343"/>
      <c r="M343" s="41"/>
      <c r="Z343" s="42"/>
      <c r="AA343" s="42"/>
      <c r="AB343" s="42"/>
    </row>
    <row r="344" spans="3:28" s="33" customFormat="1" ht="12.75">
      <c r="C344" s="21" t="s">
        <v>5</v>
      </c>
      <c r="D344" s="13" t="str">
        <f>IF(Indice_index!$Z$1=1,"janeiro","January")</f>
        <v>janeiro</v>
      </c>
      <c r="E344" s="13">
        <v>210.75892093</v>
      </c>
      <c r="F344" s="33">
        <v>172.70364945</v>
      </c>
      <c r="G344" s="33">
        <v>121.16334205999998</v>
      </c>
      <c r="H344" s="33">
        <v>134.31025455000002</v>
      </c>
      <c r="I344" s="33">
        <f aca="true" t="shared" si="57" ref="I344:I354">+F344-H344</f>
        <v>38.393394899999976</v>
      </c>
      <c r="J344" s="54">
        <f>IF(E344=0,"-",(F344-E344)/E344)</f>
        <v>-0.18056304004630677</v>
      </c>
      <c r="K344" s="54">
        <f>IF(G344=0,"-",(H344-G344)/G344)</f>
        <v>0.10850569377237637</v>
      </c>
      <c r="L344"/>
      <c r="M344" s="41"/>
      <c r="Z344" s="42"/>
      <c r="AA344" s="42"/>
      <c r="AB344" s="42"/>
    </row>
    <row r="345" spans="3:28" s="33" customFormat="1" ht="12.75">
      <c r="C345" s="21"/>
      <c r="D345" s="13" t="str">
        <f>IF(Indice_index!$Z$1=1,"fevereiro","February")</f>
        <v>fevereiro</v>
      </c>
      <c r="E345" s="13">
        <v>322.88092367999997</v>
      </c>
      <c r="F345" s="33">
        <v>283.80430794999995</v>
      </c>
      <c r="G345" s="33">
        <v>253.16642726000003</v>
      </c>
      <c r="H345" s="33">
        <v>246.28852852</v>
      </c>
      <c r="I345" s="33">
        <f t="shared" si="57"/>
        <v>37.51577942999995</v>
      </c>
      <c r="J345" s="54">
        <f>IF(E345=0,"-",(F345-E345)/E345)</f>
        <v>-0.1210248511575988</v>
      </c>
      <c r="K345" s="54">
        <f>IF(G345=0,"-",(H345-G345)/G345)</f>
        <v>-0.02716749931829027</v>
      </c>
      <c r="L345"/>
      <c r="M345" s="41"/>
      <c r="Z345" s="42"/>
      <c r="AA345" s="42"/>
      <c r="AB345" s="42"/>
    </row>
    <row r="346" spans="3:28" s="33" customFormat="1" ht="12.75">
      <c r="C346" s="21"/>
      <c r="D346" s="13" t="str">
        <f>IF(Indice_index!$Z$1=1,"março","March")</f>
        <v>março</v>
      </c>
      <c r="E346" s="13">
        <v>436.08804484</v>
      </c>
      <c r="F346" s="33">
        <v>424.290085034</v>
      </c>
      <c r="G346" s="33">
        <v>424.47959798700003</v>
      </c>
      <c r="H346" s="33">
        <v>405.62273517200003</v>
      </c>
      <c r="I346" s="33">
        <f>+F346-H346</f>
        <v>18.66734986199998</v>
      </c>
      <c r="J346" s="54">
        <f>IF(E346=0,"-",(F346-E346)/E346)</f>
        <v>-0.027054077601069405</v>
      </c>
      <c r="K346" s="54">
        <f>IF(G346=0,"-",(H346-G346)/G346)</f>
        <v>-0.04442348443700115</v>
      </c>
      <c r="L346"/>
      <c r="M346" s="41"/>
      <c r="Z346" s="42"/>
      <c r="AA346" s="42"/>
      <c r="AB346" s="42"/>
    </row>
    <row r="347" spans="3:28" s="33" customFormat="1" ht="12.75">
      <c r="C347" s="21"/>
      <c r="D347" s="13" t="str">
        <f>IF(Indice_index!$Z$1=1,"abril","April")</f>
        <v>abril</v>
      </c>
      <c r="E347" s="13">
        <v>702.68604497</v>
      </c>
      <c r="F347" s="33">
        <v>633.2867562200001</v>
      </c>
      <c r="G347" s="33">
        <v>569.57638301</v>
      </c>
      <c r="H347" s="33">
        <v>560.6265590492799</v>
      </c>
      <c r="I347" s="33">
        <f>+F347-H347</f>
        <v>72.66019717072027</v>
      </c>
      <c r="J347" s="54">
        <f>IF(E347=0,"-",(F347-E347)/E347)</f>
        <v>-0.09876286749505998</v>
      </c>
      <c r="K347" s="54">
        <f>IF(G347=0,"-",(H347-G347)/G347)</f>
        <v>-0.01571312334514924</v>
      </c>
      <c r="L347"/>
      <c r="M347" s="41"/>
      <c r="Z347" s="42"/>
      <c r="AA347" s="42"/>
      <c r="AB347" s="42"/>
    </row>
    <row r="348" spans="3:28" s="33" customFormat="1" ht="12.75">
      <c r="C348" s="21"/>
      <c r="D348" s="13" t="str">
        <f>IF(Indice_index!$Z$1=1,"maio","May")</f>
        <v>maio</v>
      </c>
      <c r="E348" s="13">
        <v>819.0166680599999</v>
      </c>
      <c r="F348" s="33">
        <v>787.3393460699999</v>
      </c>
      <c r="G348" s="33">
        <v>779.1072715169998</v>
      </c>
      <c r="H348" s="33">
        <v>790.0455560492801</v>
      </c>
      <c r="I348" s="33">
        <v>-2.7062099792801746</v>
      </c>
      <c r="J348" s="54">
        <v>-0.0386772616789767</v>
      </c>
      <c r="K348" s="54">
        <v>0.01375868962307785</v>
      </c>
      <c r="L348"/>
      <c r="M348" s="41"/>
      <c r="Z348" s="42"/>
      <c r="AA348" s="42"/>
      <c r="AB348" s="42"/>
    </row>
    <row r="349" spans="3:28" s="33" customFormat="1" ht="12.75">
      <c r="C349" s="51"/>
      <c r="D349" s="33" t="str">
        <f>IF(Indice_index!$Z$1=1,"junho","June")</f>
        <v>junho</v>
      </c>
      <c r="E349" s="13">
        <v>937.94359436</v>
      </c>
      <c r="F349" s="33">
        <v>896.0590882160002</v>
      </c>
      <c r="G349" s="33">
        <v>977.8027931499997</v>
      </c>
      <c r="H349" s="33">
        <v>984.1500981982801</v>
      </c>
      <c r="I349" s="33">
        <f t="shared" si="57"/>
        <v>-88.09100998227996</v>
      </c>
      <c r="J349" s="64">
        <f aca="true" t="shared" si="58" ref="J349:J354">IF(E349=0,"-",(F349-E349)/E349)</f>
        <v>-0.04465567694673522</v>
      </c>
      <c r="K349" s="64">
        <f aca="true" t="shared" si="59" ref="K349:K354">IF(G349=0,"-",(H349-G349)/G349)</f>
        <v>0.006491395905950036</v>
      </c>
      <c r="L349"/>
      <c r="M349" s="41"/>
      <c r="Z349" s="42"/>
      <c r="AA349" s="42"/>
      <c r="AB349" s="42"/>
    </row>
    <row r="350" spans="3:28" s="33" customFormat="1" ht="12.75">
      <c r="C350" s="51"/>
      <c r="D350" s="33" t="str">
        <f>IF(Indice_index!$Z$1=1,"julho","July")</f>
        <v>julho</v>
      </c>
      <c r="E350" s="13">
        <v>1202.8629568800002</v>
      </c>
      <c r="F350" s="33">
        <v>1103.9628995009998</v>
      </c>
      <c r="G350" s="13">
        <v>1174.80803929</v>
      </c>
      <c r="H350" s="33">
        <v>1166.8922219092801</v>
      </c>
      <c r="I350" s="33">
        <f t="shared" si="57"/>
        <v>-62.92932240828031</v>
      </c>
      <c r="J350" s="64">
        <f t="shared" si="58"/>
        <v>-0.08222055290116215</v>
      </c>
      <c r="K350" s="64">
        <f t="shared" si="59"/>
        <v>-0.006737966643047258</v>
      </c>
      <c r="L350"/>
      <c r="M350" s="236"/>
      <c r="Z350" s="42"/>
      <c r="AA350" s="42"/>
      <c r="AB350" s="42"/>
    </row>
    <row r="351" spans="3:28" s="33" customFormat="1" ht="12.75">
      <c r="C351" s="51"/>
      <c r="D351" s="33" t="str">
        <f>IF(Indice_index!$Z$1=1,"agosto","August")</f>
        <v>agosto</v>
      </c>
      <c r="E351" s="13">
        <v>1349.29172793</v>
      </c>
      <c r="F351" s="33">
        <v>1258.358552231</v>
      </c>
      <c r="G351" s="13">
        <v>1345.61621202</v>
      </c>
      <c r="H351" s="33">
        <v>1340.22957217928</v>
      </c>
      <c r="I351" s="33">
        <f t="shared" si="57"/>
        <v>-81.87101994828004</v>
      </c>
      <c r="J351" s="64">
        <f t="shared" si="58"/>
        <v>-0.06739326553087527</v>
      </c>
      <c r="K351" s="64">
        <f t="shared" si="59"/>
        <v>-0.004003102662261806</v>
      </c>
      <c r="L351"/>
      <c r="M351" s="236"/>
      <c r="Z351" s="42"/>
      <c r="AA351" s="42"/>
      <c r="AB351" s="42"/>
    </row>
    <row r="352" spans="3:14" ht="12.75">
      <c r="C352" s="51"/>
      <c r="D352" s="33" t="str">
        <f>IF(Indice_index!$Z$1=1,"setembro","September")</f>
        <v>setembro</v>
      </c>
      <c r="E352" s="13">
        <v>1511.7252416800004</v>
      </c>
      <c r="F352" s="13">
        <v>1402.4486985849999</v>
      </c>
      <c r="G352" s="13">
        <v>1530.22683851</v>
      </c>
      <c r="H352" s="13">
        <v>1473.63262133928</v>
      </c>
      <c r="I352" s="13">
        <f t="shared" si="57"/>
        <v>-71.18392275428005</v>
      </c>
      <c r="J352" s="54">
        <f t="shared" si="58"/>
        <v>-0.07228598165997417</v>
      </c>
      <c r="K352" s="54">
        <f t="shared" si="59"/>
        <v>-0.036984201130485096</v>
      </c>
      <c r="M352" s="237"/>
      <c r="N352" s="237"/>
    </row>
    <row r="353" spans="3:14" ht="12.75">
      <c r="C353" s="51"/>
      <c r="D353" s="33" t="str">
        <f>IF(Indice_index!$Z$1=1,"outubro","October")</f>
        <v>outubro</v>
      </c>
      <c r="E353" s="13">
        <v>1727.8899235699998</v>
      </c>
      <c r="F353" s="13">
        <v>1612.4989800399999</v>
      </c>
      <c r="G353" s="13">
        <v>1688.076909209</v>
      </c>
      <c r="H353" s="13">
        <v>1669.7227434962804</v>
      </c>
      <c r="I353" s="13">
        <f t="shared" si="57"/>
        <v>-57.223763456280494</v>
      </c>
      <c r="J353" s="54">
        <f t="shared" si="58"/>
        <v>-0.06678142048053055</v>
      </c>
      <c r="K353" s="54">
        <f t="shared" si="59"/>
        <v>-0.010872825528618825</v>
      </c>
      <c r="M353" s="237"/>
      <c r="N353" s="237"/>
    </row>
    <row r="354" spans="3:14" ht="12.75">
      <c r="C354" s="51"/>
      <c r="D354" s="33" t="str">
        <f>IF(Indice_index!$Z$1=1,"novembro","November")</f>
        <v>novembro</v>
      </c>
      <c r="E354" s="13">
        <v>1887.2796723699998</v>
      </c>
      <c r="F354" s="13">
        <v>1735.6602100200002</v>
      </c>
      <c r="G354" s="13">
        <v>1893.74773157</v>
      </c>
      <c r="H354" s="13">
        <v>1809.5706698362803</v>
      </c>
      <c r="I354" s="13">
        <f t="shared" si="57"/>
        <v>-73.91045981628008</v>
      </c>
      <c r="J354" s="54">
        <f t="shared" si="58"/>
        <v>-0.08033756976760077</v>
      </c>
      <c r="K354" s="54">
        <f t="shared" si="59"/>
        <v>-0.044449986833216285</v>
      </c>
      <c r="M354" s="237"/>
      <c r="N354" s="237"/>
    </row>
    <row r="355" spans="3:11" ht="12.75">
      <c r="C355" s="51"/>
      <c r="D355" s="33" t="str">
        <f>IF(Indice_index!$Z$1=1,"dezembro","December")</f>
        <v>dezembro</v>
      </c>
      <c r="E355" s="13">
        <v>2114.315047061</v>
      </c>
      <c r="F355" s="13">
        <v>2012.9598477499999</v>
      </c>
      <c r="G355" s="13">
        <v>2126.614456668</v>
      </c>
      <c r="H355" s="13">
        <v>2278.77533808848</v>
      </c>
      <c r="I355" s="13">
        <f>+F355-H355</f>
        <v>-265.81549033848023</v>
      </c>
      <c r="J355" s="53">
        <f>IF(E355=0,"-",(F355-E355)/E355)</f>
        <v>-0.04793760487676073</v>
      </c>
      <c r="K355" s="53">
        <f>IF(G355=0,"-",(H355-G355)/G355)</f>
        <v>0.07155076038507104</v>
      </c>
    </row>
    <row r="356" spans="3:11" ht="12.75">
      <c r="C356" s="33"/>
      <c r="D356" s="33"/>
      <c r="E356" s="13"/>
      <c r="F356" s="13"/>
      <c r="G356" s="13"/>
      <c r="H356" s="13"/>
      <c r="I356" s="13"/>
      <c r="J356" s="54"/>
      <c r="K356" s="54"/>
    </row>
    <row r="357" spans="3:11" ht="12.75">
      <c r="C357" s="21" t="s">
        <v>7</v>
      </c>
      <c r="D357" s="34" t="str">
        <f>IF(Indice_index!$Z$1=1,"janeiro","January")</f>
        <v>janeiro</v>
      </c>
      <c r="E357" s="34">
        <f>+F344</f>
        <v>172.70364945</v>
      </c>
      <c r="F357" s="34">
        <v>214.19398948</v>
      </c>
      <c r="G357" s="34">
        <f>+H344</f>
        <v>134.31025455000002</v>
      </c>
      <c r="H357" s="34">
        <v>114.38331905</v>
      </c>
      <c r="I357" s="34">
        <f aca="true" t="shared" si="60" ref="I357:I366">+F357-H357</f>
        <v>99.81067043</v>
      </c>
      <c r="J357" s="234">
        <f>IF(E357=0,"-",(F357-E357)/E357)</f>
        <v>0.24024008851076423</v>
      </c>
      <c r="K357" s="234">
        <f aca="true" t="shared" si="61" ref="K357:K366">IF(G357=0,"-",(H357-G357)/G357)</f>
        <v>-0.14836495967314078</v>
      </c>
    </row>
    <row r="358" spans="3:11" ht="12.75">
      <c r="C358" s="51"/>
      <c r="D358" s="33" t="str">
        <f>IF(Indice_index!$Z$1=1,"fevereiro","February")</f>
        <v>fevereiro</v>
      </c>
      <c r="E358" s="34">
        <f aca="true" t="shared" si="62" ref="E358:E368">+F345</f>
        <v>283.80430794999995</v>
      </c>
      <c r="F358" s="33">
        <v>331.15047027</v>
      </c>
      <c r="G358" s="33">
        <f aca="true" t="shared" si="63" ref="G358:G363">+H345</f>
        <v>246.28852852</v>
      </c>
      <c r="H358" s="33">
        <v>310.23565223</v>
      </c>
      <c r="I358" s="33">
        <f t="shared" si="60"/>
        <v>20.91481804</v>
      </c>
      <c r="J358" s="35">
        <f>IF(E358=0,"-",(F358-E358)/E358)</f>
        <v>0.16682679224284863</v>
      </c>
      <c r="K358" s="35">
        <f t="shared" si="61"/>
        <v>0.2596431270846103</v>
      </c>
    </row>
    <row r="359" spans="3:11" ht="12.75">
      <c r="C359" s="51"/>
      <c r="D359" s="34" t="str">
        <f>IF(Indice_index!$Z$1=1,"março","March")</f>
        <v>março</v>
      </c>
      <c r="E359" s="34">
        <f t="shared" si="62"/>
        <v>424.290085034</v>
      </c>
      <c r="F359" s="34">
        <v>467.27881513</v>
      </c>
      <c r="G359" s="34">
        <f t="shared" si="63"/>
        <v>405.62273517200003</v>
      </c>
      <c r="H359" s="34">
        <v>463.607953554</v>
      </c>
      <c r="I359" s="34">
        <f t="shared" si="60"/>
        <v>3.670861575999993</v>
      </c>
      <c r="J359" s="270">
        <f>IF(E359=0,"-",(F359-E359)/E359)</f>
        <v>0.10131919555121145</v>
      </c>
      <c r="K359" s="270">
        <f t="shared" si="61"/>
        <v>0.1429535707790441</v>
      </c>
    </row>
    <row r="360" spans="3:11" ht="12.75">
      <c r="C360" s="51"/>
      <c r="D360" s="34" t="str">
        <f>IF(Indice_index!$Z$1=1,"abril","April")</f>
        <v>abril</v>
      </c>
      <c r="E360" s="34">
        <f t="shared" si="62"/>
        <v>633.2867562200001</v>
      </c>
      <c r="F360" s="34">
        <v>713.47182738</v>
      </c>
      <c r="G360" s="34">
        <f t="shared" si="63"/>
        <v>560.6265590492799</v>
      </c>
      <c r="H360" s="34">
        <v>643.2104683133332</v>
      </c>
      <c r="I360" s="34">
        <f t="shared" si="60"/>
        <v>70.26135906666684</v>
      </c>
      <c r="J360" s="270">
        <f>IF(E360=0,"-",(F360-E360)/E360)</f>
        <v>0.126617318888229</v>
      </c>
      <c r="K360" s="270">
        <f t="shared" si="61"/>
        <v>0.14730645191712025</v>
      </c>
    </row>
    <row r="361" spans="3:11" ht="12.75">
      <c r="C361" s="51"/>
      <c r="D361" s="34" t="str">
        <f>IF(Indice_index!$Z$1=1,"maio","May")</f>
        <v>maio</v>
      </c>
      <c r="E361" s="34">
        <f t="shared" si="62"/>
        <v>787.3393460699999</v>
      </c>
      <c r="F361" s="34">
        <v>845.0166811900001</v>
      </c>
      <c r="G361" s="34">
        <f t="shared" si="63"/>
        <v>790.0455560492801</v>
      </c>
      <c r="H361" s="34">
        <v>862.7280084022</v>
      </c>
      <c r="I361" s="34">
        <f t="shared" si="60"/>
        <v>-17.711327212199876</v>
      </c>
      <c r="J361" s="270">
        <f aca="true" t="shared" si="64" ref="J361:J366">IF(E361=0,"-",(F361-E361)/E361)</f>
        <v>0.0732560050604562</v>
      </c>
      <c r="K361" s="270">
        <f t="shared" si="61"/>
        <v>0.09199779910968352</v>
      </c>
    </row>
    <row r="362" spans="3:11" ht="12.75">
      <c r="C362" s="51"/>
      <c r="D362" s="34" t="str">
        <f>IF(Indice_index!$Z$1=1,"junho","June")</f>
        <v>junho</v>
      </c>
      <c r="E362" s="34">
        <f t="shared" si="62"/>
        <v>896.0590882160002</v>
      </c>
      <c r="F362" s="34">
        <v>1039.16399191</v>
      </c>
      <c r="G362" s="34">
        <f t="shared" si="63"/>
        <v>984.1500981982801</v>
      </c>
      <c r="H362" s="34">
        <v>1031.8099038822</v>
      </c>
      <c r="I362" s="34">
        <f t="shared" si="60"/>
        <v>7.354088027800117</v>
      </c>
      <c r="J362" s="270">
        <f t="shared" si="64"/>
        <v>0.15970476230413902</v>
      </c>
      <c r="K362" s="270">
        <f t="shared" si="61"/>
        <v>0.048427374819321106</v>
      </c>
    </row>
    <row r="363" spans="3:11" ht="12.75">
      <c r="C363" s="51"/>
      <c r="D363" s="34" t="str">
        <f>IF(Indice_index!$Z$1=1,"julho","July")</f>
        <v>julho</v>
      </c>
      <c r="E363" s="34">
        <f t="shared" si="62"/>
        <v>1103.9628995009998</v>
      </c>
      <c r="F363" s="34">
        <v>1323.80519646</v>
      </c>
      <c r="G363" s="34">
        <f t="shared" si="63"/>
        <v>1166.8922219092801</v>
      </c>
      <c r="H363" s="34">
        <v>1475.3540594022</v>
      </c>
      <c r="I363" s="34">
        <f t="shared" si="60"/>
        <v>-151.5488629422</v>
      </c>
      <c r="J363" s="270">
        <f t="shared" si="64"/>
        <v>0.1991392075389224</v>
      </c>
      <c r="K363" s="270">
        <f t="shared" si="61"/>
        <v>0.2643447541266593</v>
      </c>
    </row>
    <row r="364" spans="3:11" ht="12.75">
      <c r="C364" s="51"/>
      <c r="D364" s="34" t="str">
        <f>IF(Indice_index!$Z$1=1,"agosto","August")</f>
        <v>agosto</v>
      </c>
      <c r="E364" s="34">
        <f t="shared" si="62"/>
        <v>1258.358552231</v>
      </c>
      <c r="F364" s="34">
        <v>1495.6110903271428</v>
      </c>
      <c r="G364" s="34">
        <f>+H351</f>
        <v>1340.22957217928</v>
      </c>
      <c r="H364" s="34">
        <v>1970.534552980057</v>
      </c>
      <c r="I364" s="34">
        <f t="shared" si="60"/>
        <v>-474.92346265291417</v>
      </c>
      <c r="J364" s="270">
        <f t="shared" si="64"/>
        <v>0.18854128473598186</v>
      </c>
      <c r="K364" s="270">
        <f t="shared" si="61"/>
        <v>0.47029627899932824</v>
      </c>
    </row>
    <row r="365" spans="3:11" ht="12.75">
      <c r="C365" s="51"/>
      <c r="D365" s="34" t="str">
        <f>IF(Indice_index!$Z$1=1,"setembro","September")</f>
        <v>setembro</v>
      </c>
      <c r="E365" s="34">
        <f t="shared" si="62"/>
        <v>1402.4486985849999</v>
      </c>
      <c r="F365" s="34">
        <v>1741.6779729492855</v>
      </c>
      <c r="G365" s="34">
        <f>+H352</f>
        <v>1473.63262133928</v>
      </c>
      <c r="H365" s="34">
        <v>2464.1983339960393</v>
      </c>
      <c r="I365" s="34">
        <f t="shared" si="60"/>
        <v>-722.5203610467538</v>
      </c>
      <c r="J365" s="270">
        <f t="shared" si="64"/>
        <v>0.24188355317848767</v>
      </c>
      <c r="K365" s="270">
        <f t="shared" si="61"/>
        <v>0.6721931221612784</v>
      </c>
    </row>
    <row r="366" spans="3:11" ht="12.75">
      <c r="C366" s="51"/>
      <c r="D366" s="34" t="str">
        <f>IF(Indice_index!$Z$1=1,"outubro","October")</f>
        <v>outubro</v>
      </c>
      <c r="E366" s="34">
        <f t="shared" si="62"/>
        <v>1612.4989800399999</v>
      </c>
      <c r="F366" s="34">
        <v>2020.076577461429</v>
      </c>
      <c r="G366" s="34">
        <f>+H353</f>
        <v>1669.7227434962804</v>
      </c>
      <c r="H366" s="34">
        <v>2733.5781328430003</v>
      </c>
      <c r="I366" s="34">
        <f t="shared" si="60"/>
        <v>-713.5015553815713</v>
      </c>
      <c r="J366" s="270">
        <f t="shared" si="64"/>
        <v>0.2527614606065169</v>
      </c>
      <c r="K366" s="270">
        <f t="shared" si="61"/>
        <v>0.6371449352837362</v>
      </c>
    </row>
    <row r="367" spans="3:28" s="25" customFormat="1" ht="12.75">
      <c r="C367" s="51"/>
      <c r="D367" s="34" t="str">
        <f>IF(Indice_index!$Z$1=1,"novembro","November")</f>
        <v>novembro</v>
      </c>
      <c r="E367" s="34">
        <f t="shared" si="62"/>
        <v>1735.6602100200002</v>
      </c>
      <c r="F367" s="34">
        <v>2165.4120710999996</v>
      </c>
      <c r="G367" s="34">
        <f>+H354</f>
        <v>1809.5706698362803</v>
      </c>
      <c r="H367" s="34">
        <v>2925.34265193</v>
      </c>
      <c r="I367" s="34">
        <f>+F367-H367</f>
        <v>-759.9305808300005</v>
      </c>
      <c r="J367" s="270">
        <f>IF(E367=0,"-",(F367-E367)/E367)</f>
        <v>0.24760137877162447</v>
      </c>
      <c r="K367" s="270">
        <f>IF(G367=0,"-",(H367-G367)/G367)</f>
        <v>0.6165948645678858</v>
      </c>
      <c r="L367" s="266"/>
      <c r="M367" s="29"/>
      <c r="Z367" s="43"/>
      <c r="AA367" s="43"/>
      <c r="AB367" s="43"/>
    </row>
    <row r="368" spans="3:28" s="25" customFormat="1" ht="12.75">
      <c r="C368" s="51"/>
      <c r="D368" s="34" t="str">
        <f>IF(Indice_index!$Z$1=1,"dezembro","December")</f>
        <v>dezembro</v>
      </c>
      <c r="E368" s="34">
        <f t="shared" si="62"/>
        <v>2012.9598477499999</v>
      </c>
      <c r="F368" s="34">
        <v>2443.80885987</v>
      </c>
      <c r="G368" s="34">
        <f>+H355</f>
        <v>2278.77533808848</v>
      </c>
      <c r="H368" s="34">
        <v>3269.0803340899997</v>
      </c>
      <c r="I368" s="34">
        <f>+F368-H368</f>
        <v>-825.2714742199996</v>
      </c>
      <c r="J368" s="270">
        <f>IF(E368=0,"-",(F368-E368)/E368)</f>
        <v>0.21403755897147414</v>
      </c>
      <c r="K368" s="270">
        <f>IF(G368=0,"-",(H368-G368)/G368)</f>
        <v>0.434577722274379</v>
      </c>
      <c r="L368" s="266"/>
      <c r="M368" s="29"/>
      <c r="Z368" s="43"/>
      <c r="AA368" s="43"/>
      <c r="AB368" s="43"/>
    </row>
    <row r="369" spans="3:11" ht="12.75">
      <c r="C369" s="94" t="str">
        <f>IF(Indice_index!$Z$1=1,"Fonte: Governos Regionais da Madeira e dos Açores.","Source: Azores and Madeira Regional Governments.")</f>
        <v>Fonte: Governos Regionais da Madeira e dos Açores.</v>
      </c>
      <c r="D369" s="95"/>
      <c r="E369" s="95"/>
      <c r="F369" s="95"/>
      <c r="G369" s="95"/>
      <c r="H369" s="95"/>
      <c r="I369" s="95"/>
      <c r="J369" s="96"/>
      <c r="K369" s="96"/>
    </row>
    <row r="375" ht="12.75">
      <c r="H375" s="239"/>
    </row>
  </sheetData>
  <sheetProtection/>
  <mergeCells count="42">
    <mergeCell ref="C179:K180"/>
    <mergeCell ref="C252:K252"/>
    <mergeCell ref="C150:J150"/>
    <mergeCell ref="I151:I152"/>
    <mergeCell ref="J151:K151"/>
    <mergeCell ref="E151:F152"/>
    <mergeCell ref="G151:H152"/>
    <mergeCell ref="I185:I186"/>
    <mergeCell ref="J185:K185"/>
    <mergeCell ref="C182:K182"/>
    <mergeCell ref="E185:F186"/>
    <mergeCell ref="G185:H186"/>
    <mergeCell ref="E313:F314"/>
    <mergeCell ref="G313:H314"/>
    <mergeCell ref="I313:I314"/>
    <mergeCell ref="J313:K313"/>
    <mergeCell ref="C307:K307"/>
    <mergeCell ref="C308:K308"/>
    <mergeCell ref="C309:K309"/>
    <mergeCell ref="C310:K310"/>
    <mergeCell ref="E78:F79"/>
    <mergeCell ref="G78:H79"/>
    <mergeCell ref="I78:I79"/>
    <mergeCell ref="N2:O2"/>
    <mergeCell ref="C7:D8"/>
    <mergeCell ref="E7:F8"/>
    <mergeCell ref="G7:H8"/>
    <mergeCell ref="I7:I8"/>
    <mergeCell ref="J7:K7"/>
    <mergeCell ref="C4:K4"/>
    <mergeCell ref="J78:K78"/>
    <mergeCell ref="O305:W305"/>
    <mergeCell ref="C306:K306"/>
    <mergeCell ref="C302:K302"/>
    <mergeCell ref="C303:K303"/>
    <mergeCell ref="C304:K304"/>
    <mergeCell ref="C305:K305"/>
    <mergeCell ref="C301:K301"/>
    <mergeCell ref="E258:F259"/>
    <mergeCell ref="G258:H259"/>
    <mergeCell ref="I258:I259"/>
    <mergeCell ref="J258:K258"/>
  </mergeCells>
  <printOptions horizontalCentered="1" verticalCentered="1"/>
  <pageMargins left="0.25" right="0.25" top="0.75" bottom="0.75" header="0.75" footer="0.75"/>
  <pageSetup fitToHeight="0" horizontalDpi="600" verticalDpi="600" orientation="portrait" paperSize="9" scale="65" r:id="rId3"/>
  <headerFooter>
    <oddHeader>&amp;L&amp;G</oddHeader>
  </headerFooter>
  <rowBreaks count="5" manualBreakCount="5">
    <brk id="75" min="1" max="10" man="1"/>
    <brk id="149" min="1" max="10" man="1"/>
    <brk id="182" min="1" max="10" man="1"/>
    <brk id="255" min="1" max="10" man="1"/>
    <brk id="310" min="1" max="10" man="1"/>
  </rowBreaks>
  <ignoredErrors>
    <ignoredError sqref="C332:C344 C357 C10:C62 D146 C301:K304 C261:K288 C326:K331 C252:K252 C187:E187 H187:K187 C179:K180 C153:E153 H153:K153 C260:E260 H260:K260 C188:K239 C154:K166 C81:K132 C182:K186 C181:H181 J181:K181 C145:D145 J145:K145 C149:K152 C147:D147 J147:K147 C148:D148 J148:K148 J146:K146 C289:C294 G289:G294 I289:K294 C311:K325 D306:K306 C254:K259 D253:H253 J253:K253 D305:K305 C133:C138 E133:K138 C167:C172 E167:K172 C240:C245 E240:K245 E289:E294" numberStoredAsText="1"/>
    <ignoredError sqref="F187:G187 F153:G153 F260:G260" numberStoredAsText="1" formula="1"/>
    <ignoredError sqref="F80:G80 F9:G9" formula="1"/>
  </ignoredErrors>
  <drawing r:id="rId1"/>
  <legacyDrawingHF r:id="rId2"/>
</worksheet>
</file>

<file path=xl/worksheets/sheet4.xml><?xml version="1.0" encoding="utf-8"?>
<worksheet xmlns="http://schemas.openxmlformats.org/spreadsheetml/2006/main" xmlns:r="http://schemas.openxmlformats.org/officeDocument/2006/relationships">
  <sheetPr>
    <pageSetUpPr fitToPage="1"/>
  </sheetPr>
  <dimension ref="B2:AC41"/>
  <sheetViews>
    <sheetView showGridLines="0" zoomScale="90" zoomScaleNormal="90" zoomScalePageLayoutView="0" workbookViewId="0" topLeftCell="A1">
      <selection activeCell="C41" sqref="C41"/>
    </sheetView>
  </sheetViews>
  <sheetFormatPr defaultColWidth="9.140625" defaultRowHeight="12.75"/>
  <cols>
    <col min="1" max="1" width="4.28125" style="112" customWidth="1"/>
    <col min="2" max="2" width="4.140625" style="112" customWidth="1"/>
    <col min="3" max="3" width="6.7109375" style="112" customWidth="1"/>
    <col min="4" max="4" width="9.7109375" style="112" bestFit="1" customWidth="1"/>
    <col min="5" max="5" width="14.00390625" style="112" customWidth="1"/>
    <col min="6" max="6" width="10.421875" style="112" bestFit="1" customWidth="1"/>
    <col min="7" max="7" width="11.8515625" style="112" customWidth="1"/>
    <col min="8" max="8" width="0.9921875" style="112" customWidth="1"/>
    <col min="9" max="9" width="9.28125" style="112" customWidth="1"/>
    <col min="10" max="10" width="9.421875" style="112" bestFit="1" customWidth="1"/>
    <col min="11" max="11" width="11.8515625" style="112" customWidth="1"/>
    <col min="12" max="12" width="11.00390625" style="112" customWidth="1"/>
    <col min="13" max="13" width="13.28125" style="112" customWidth="1"/>
    <col min="14" max="14" width="1.57421875" style="112" customWidth="1"/>
    <col min="15" max="15" width="13.140625" style="112" customWidth="1"/>
    <col min="16" max="16" width="9.8515625" style="112" customWidth="1"/>
    <col min="17" max="17" width="13.7109375" style="112" customWidth="1"/>
    <col min="18" max="18" width="11.57421875" style="112" customWidth="1"/>
    <col min="19" max="19" width="11.421875" style="112" customWidth="1"/>
    <col min="20" max="20" width="2.28125" style="112" customWidth="1"/>
    <col min="21" max="21" width="10.28125" style="112" customWidth="1"/>
    <col min="22" max="22" width="14.421875" style="112" customWidth="1"/>
    <col min="23" max="23" width="13.7109375" style="112" customWidth="1"/>
    <col min="24" max="24" width="4.28125" style="112" customWidth="1"/>
    <col min="25" max="25" width="13.7109375" style="112" customWidth="1"/>
    <col min="26" max="26" width="10.140625" style="112" customWidth="1"/>
    <col min="27" max="27" width="23.57421875" style="112" customWidth="1"/>
    <col min="28" max="28" width="25.00390625" style="112" customWidth="1"/>
    <col min="29" max="16384" width="9.140625" style="112" customWidth="1"/>
  </cols>
  <sheetData>
    <row r="2" spans="2:29" s="100" customFormat="1" ht="19.5" thickBot="1">
      <c r="B2" s="97"/>
      <c r="C2" s="135" t="str">
        <f>IF(Indice_index!$Z$1=1,"2 - Despesa do subsetor Estado - Classificação Funcional","2 - State subsector expenditure - Functional Classification")</f>
        <v>2 - Despesa do subsetor Estado - Classificação Funcional</v>
      </c>
      <c r="D2" s="98"/>
      <c r="E2" s="98"/>
      <c r="F2" s="98"/>
      <c r="G2" s="98"/>
      <c r="H2" s="98"/>
      <c r="I2" s="98"/>
      <c r="J2" s="98"/>
      <c r="K2" s="98"/>
      <c r="L2" s="98"/>
      <c r="M2" s="98"/>
      <c r="N2" s="98"/>
      <c r="O2" s="98"/>
      <c r="P2" s="98"/>
      <c r="Q2" s="98"/>
      <c r="R2" s="98"/>
      <c r="S2" s="98"/>
      <c r="T2" s="98"/>
      <c r="U2" s="98"/>
      <c r="V2" s="98"/>
      <c r="W2" s="99"/>
      <c r="X2" s="99"/>
      <c r="Y2" s="99"/>
      <c r="AA2" s="102"/>
      <c r="AB2" s="102"/>
      <c r="AC2" s="102"/>
    </row>
    <row r="4" spans="3:26" s="104" customFormat="1" ht="12.75">
      <c r="C4" s="105"/>
      <c r="D4" s="105"/>
      <c r="E4" s="128"/>
      <c r="F4" s="128"/>
      <c r="G4" s="128"/>
      <c r="H4" s="129"/>
      <c r="I4" s="130"/>
      <c r="J4" s="130"/>
      <c r="K4" s="128"/>
      <c r="L4" s="128"/>
      <c r="M4" s="132"/>
      <c r="N4" s="133"/>
      <c r="O4" s="128"/>
      <c r="P4" s="128"/>
      <c r="Q4" s="128"/>
      <c r="R4" s="128"/>
      <c r="S4" s="128"/>
      <c r="T4" s="129"/>
      <c r="U4" s="128"/>
      <c r="V4" s="128"/>
      <c r="W4" s="134"/>
      <c r="X4" s="102"/>
      <c r="Y4" s="134" t="str">
        <f>IF(Indice_index!$Z$1=1,"€ Milhões","€ Millions")</f>
        <v>€ Milhões</v>
      </c>
      <c r="Z4" s="102"/>
    </row>
    <row r="5" spans="3:25" s="104" customFormat="1" ht="15.75" customHeight="1">
      <c r="C5" s="223"/>
      <c r="D5" s="223"/>
      <c r="E5" s="358" t="str">
        <f>IF(Indice_index!$Z$1=1,"Funções Gerais de Soberania","Sovereign General Functions")</f>
        <v>Funções Gerais de Soberania</v>
      </c>
      <c r="F5" s="358" t="s">
        <v>12</v>
      </c>
      <c r="G5" s="358" t="s">
        <v>12</v>
      </c>
      <c r="H5" s="227"/>
      <c r="I5" s="359" t="str">
        <f>IF(Indice_index!$Z$1=1,"Funções Sociais","Social Functions")</f>
        <v>Funções Sociais</v>
      </c>
      <c r="J5" s="359" t="s">
        <v>13</v>
      </c>
      <c r="K5" s="359" t="s">
        <v>13</v>
      </c>
      <c r="L5" s="359" t="s">
        <v>13</v>
      </c>
      <c r="M5" s="359" t="s">
        <v>13</v>
      </c>
      <c r="N5" s="228"/>
      <c r="O5" s="359" t="str">
        <f>IF(Indice_index!$Z$1=1,"Funções Económicas","Economic Functions")</f>
        <v>Funções Económicas</v>
      </c>
      <c r="P5" s="359" t="s">
        <v>14</v>
      </c>
      <c r="Q5" s="359" t="s">
        <v>14</v>
      </c>
      <c r="R5" s="359" t="s">
        <v>14</v>
      </c>
      <c r="S5" s="359" t="s">
        <v>14</v>
      </c>
      <c r="T5" s="228"/>
      <c r="U5" s="359" t="str">
        <f>IF(Indice_index!$Z$1=1,"Outras Funções","Other Functions")</f>
        <v>Outras Funções</v>
      </c>
      <c r="V5" s="359" t="s">
        <v>15</v>
      </c>
      <c r="W5" s="359" t="s">
        <v>15</v>
      </c>
      <c r="X5" s="102"/>
      <c r="Y5" s="229"/>
    </row>
    <row r="6" spans="2:25" s="110" customFormat="1" ht="69" customHeight="1">
      <c r="B6" s="107"/>
      <c r="C6" s="219"/>
      <c r="D6" s="219"/>
      <c r="E6" s="222" t="str">
        <f>IF(Indice_index!$Z$1=1,"Serviços Gerais da Administração Pública","General Public Services")</f>
        <v>Serviços Gerais da Administração Pública</v>
      </c>
      <c r="F6" s="222" t="str">
        <f>IF(Indice_index!$Z$1=1,"Defesa Nacional","National Defense")</f>
        <v>Defesa Nacional</v>
      </c>
      <c r="G6" s="222" t="str">
        <f>IF(Indice_index!$Z$1=1,"Segurança e Ordem Públicas","Public Order and Safety")</f>
        <v>Segurança e Ordem Públicas</v>
      </c>
      <c r="H6" s="230"/>
      <c r="I6" s="222" t="str">
        <f>IF(Indice_index!$Z$1=1,"Educação","Education")</f>
        <v>Educação</v>
      </c>
      <c r="J6" s="222" t="str">
        <f>IF(Indice_index!$Z$1=1,"Saúde","Health")</f>
        <v>Saúde</v>
      </c>
      <c r="K6" s="222" t="str">
        <f>IF(Indice_index!$Z$1=1,"Segurança e Ação Sociais","Safety and Social Services")</f>
        <v>Segurança e Ação Sociais</v>
      </c>
      <c r="L6" s="222" t="str">
        <f>IF(Indice_index!$Z$1=1,"Habitação e Serviços Colectivos","Housing and Collective Services")</f>
        <v>Habitação e Serviços Colectivos</v>
      </c>
      <c r="M6" s="222" t="str">
        <f>IF(Indice_index!$Z$1=1,"Serviços Culturais, Recreativos e Religiosos","Cultural, Recreational e Religious Services")</f>
        <v>Serviços Culturais, Recreativos e Religiosos</v>
      </c>
      <c r="N6" s="220"/>
      <c r="O6" s="222" t="str">
        <f>IF(Indice_index!$Z$1=1,"Agricultura e Pecuária, Silvicultura, Caça e Pesca","Agriculture and Livestock, Forestry, Fishing and Hunting")</f>
        <v>Agricultura e Pecuária, Silvicultura, Caça e Pesca</v>
      </c>
      <c r="P6" s="222" t="str">
        <f>IF(Indice_index!$Z$1=1,"Indústria e Energia","Industry and Energy")</f>
        <v>Indústria e Energia</v>
      </c>
      <c r="Q6" s="222" t="str">
        <f>IF(Indice_index!$Z$1=1,"Transportes e Comunicações","Transport and Communication")</f>
        <v>Transportes e Comunicações</v>
      </c>
      <c r="R6" s="222" t="str">
        <f>IF(Indice_index!$Z$1=1,"Comércio e Turismo","Trade and Tourism")</f>
        <v>Comércio e Turismo</v>
      </c>
      <c r="S6" s="222" t="str">
        <f>IF(Indice_index!$Z$1=1,"Outras Funções Económicas","Other Economic Functions")</f>
        <v>Outras Funções Económicas</v>
      </c>
      <c r="T6" s="220"/>
      <c r="U6" s="222" t="str">
        <f>IF(Indice_index!$Z$1=1,"Operações da Dívida Pública","Public Debt Operations")</f>
        <v>Operações da Dívida Pública</v>
      </c>
      <c r="V6" s="222" t="str">
        <f>IF(Indice_index!$Z$1=1,"Transferências entre Administrações Públicas","Transfers within the General Government")</f>
        <v>Transferências entre Administrações Públicas</v>
      </c>
      <c r="W6" s="222" t="str">
        <f>IF(Indice_index!$Z$1=1,"Diversas não especificadas","Not Elsewhere Classified")</f>
        <v>Diversas não especificadas</v>
      </c>
      <c r="X6" s="109"/>
      <c r="Y6" s="222" t="str">
        <f>IF(Indice_index!$Z$1=1,"TOTAL","TOTAL")</f>
        <v>TOTAL</v>
      </c>
    </row>
    <row r="7" spans="2:25" s="110" customFormat="1" ht="15.75" customHeight="1">
      <c r="B7" s="107"/>
      <c r="C7" s="115"/>
      <c r="D7" s="113"/>
      <c r="E7" s="113"/>
      <c r="F7" s="113"/>
      <c r="G7" s="125"/>
      <c r="H7" s="125"/>
      <c r="I7" s="113"/>
      <c r="J7" s="113"/>
      <c r="K7" s="113"/>
      <c r="L7" s="113"/>
      <c r="M7" s="125"/>
      <c r="N7" s="125"/>
      <c r="O7" s="113"/>
      <c r="P7" s="113"/>
      <c r="Q7" s="113"/>
      <c r="R7" s="113"/>
      <c r="S7" s="125"/>
      <c r="T7" s="125"/>
      <c r="U7" s="113"/>
      <c r="V7" s="113"/>
      <c r="W7" s="102"/>
      <c r="X7" s="109"/>
      <c r="Y7" s="102"/>
    </row>
    <row r="8" spans="3:25" s="247" customFormat="1" ht="11.25">
      <c r="C8" s="248" t="s">
        <v>3</v>
      </c>
      <c r="D8" s="249"/>
      <c r="E8" s="250">
        <v>1945.8910767</v>
      </c>
      <c r="F8" s="250">
        <v>3079.82011105</v>
      </c>
      <c r="G8" s="250">
        <v>3242.59552215</v>
      </c>
      <c r="I8" s="250">
        <v>8559.16718827</v>
      </c>
      <c r="J8" s="250">
        <v>9776.45555064</v>
      </c>
      <c r="K8" s="250">
        <v>11809.81511439</v>
      </c>
      <c r="L8" s="250">
        <v>315.8462931</v>
      </c>
      <c r="M8" s="250">
        <v>381.90481331</v>
      </c>
      <c r="O8" s="250">
        <v>467.98375338</v>
      </c>
      <c r="P8" s="250">
        <v>72.81636798</v>
      </c>
      <c r="Q8" s="250">
        <v>573.60646896</v>
      </c>
      <c r="R8" s="250"/>
      <c r="S8" s="250">
        <v>473.15192012</v>
      </c>
      <c r="U8" s="247">
        <v>4970.04742702</v>
      </c>
      <c r="V8" s="247">
        <v>4896.34221214</v>
      </c>
      <c r="W8" s="247">
        <v>0</v>
      </c>
      <c r="X8" s="251"/>
      <c r="Y8" s="247">
        <f>SUM(E8:W8)</f>
        <v>50565.443819210006</v>
      </c>
    </row>
    <row r="9" spans="2:26" s="247" customFormat="1" ht="12.75" customHeight="1">
      <c r="B9" s="252"/>
      <c r="C9" s="253" t="s">
        <v>4</v>
      </c>
      <c r="E9" s="250">
        <v>1752.3024268999986</v>
      </c>
      <c r="F9" s="250">
        <v>1943.6215805899994</v>
      </c>
      <c r="G9" s="250">
        <v>3526.651844600003</v>
      </c>
      <c r="I9" s="250">
        <v>7878.51984066</v>
      </c>
      <c r="J9" s="250">
        <v>9171.651238459986</v>
      </c>
      <c r="K9" s="250">
        <v>11233.243573859996</v>
      </c>
      <c r="L9" s="250">
        <v>260.03088572</v>
      </c>
      <c r="M9" s="250">
        <v>318.5906527099989</v>
      </c>
      <c r="O9" s="250">
        <v>473.61874715</v>
      </c>
      <c r="P9" s="250">
        <v>0.15190126</v>
      </c>
      <c r="Q9" s="250">
        <v>1268.7942109400012</v>
      </c>
      <c r="R9" s="250">
        <v>0</v>
      </c>
      <c r="S9" s="250">
        <v>195.25693158000055</v>
      </c>
      <c r="T9" s="249"/>
      <c r="U9" s="249">
        <v>6037.771434019999</v>
      </c>
      <c r="V9" s="249">
        <v>4666.11379847</v>
      </c>
      <c r="W9" s="249">
        <v>0.0028094500000000002</v>
      </c>
      <c r="X9" s="251"/>
      <c r="Y9" s="249">
        <f>SUM(E9:W9)</f>
        <v>48726.321876369984</v>
      </c>
      <c r="Z9" s="254"/>
    </row>
    <row r="10" spans="2:26" s="247" customFormat="1" ht="11.25">
      <c r="B10" s="252"/>
      <c r="C10" s="253" t="s">
        <v>5</v>
      </c>
      <c r="D10" s="255"/>
      <c r="E10" s="256"/>
      <c r="F10" s="256"/>
      <c r="G10" s="256"/>
      <c r="H10" s="257"/>
      <c r="I10" s="256"/>
      <c r="J10" s="256"/>
      <c r="K10" s="256"/>
      <c r="L10" s="256"/>
      <c r="M10" s="256"/>
      <c r="N10" s="258"/>
      <c r="O10" s="256"/>
      <c r="P10" s="256"/>
      <c r="Q10" s="256"/>
      <c r="R10" s="256"/>
      <c r="S10" s="256"/>
      <c r="T10" s="255"/>
      <c r="U10" s="255"/>
      <c r="V10" s="255"/>
      <c r="W10" s="255"/>
      <c r="X10" s="251"/>
      <c r="Y10" s="255"/>
      <c r="Z10" s="254"/>
    </row>
    <row r="11" spans="2:26" s="247" customFormat="1" ht="11.25">
      <c r="B11" s="252"/>
      <c r="C11" s="253"/>
      <c r="D11" s="259" t="str">
        <f>IF(Indice_index!$Z$1=1,"janeiro","January")</f>
        <v>janeiro</v>
      </c>
      <c r="E11" s="250">
        <v>119.89423845</v>
      </c>
      <c r="F11" s="250">
        <v>86.17374883</v>
      </c>
      <c r="G11" s="250">
        <v>189.09537424</v>
      </c>
      <c r="H11" s="260"/>
      <c r="I11" s="250">
        <v>548.2424604600001</v>
      </c>
      <c r="J11" s="250">
        <v>650.8841041000001</v>
      </c>
      <c r="K11" s="250">
        <v>1064.6681920199999</v>
      </c>
      <c r="L11" s="250">
        <v>7.48686721</v>
      </c>
      <c r="M11" s="250">
        <v>133.48203149</v>
      </c>
      <c r="N11" s="261"/>
      <c r="O11" s="250">
        <v>16.20569898</v>
      </c>
      <c r="P11" s="250">
        <v>0</v>
      </c>
      <c r="Q11" s="250">
        <v>23.1156725</v>
      </c>
      <c r="R11" s="250">
        <v>0</v>
      </c>
      <c r="S11" s="250">
        <v>7.74316918</v>
      </c>
      <c r="U11" s="247">
        <v>124.327242</v>
      </c>
      <c r="V11" s="247">
        <v>445.23989809</v>
      </c>
      <c r="W11" s="247">
        <v>0</v>
      </c>
      <c r="X11" s="251"/>
      <c r="Y11" s="247">
        <f aca="true" t="shared" si="0" ref="Y11:Y22">SUM(E11:W11)</f>
        <v>3416.55869755</v>
      </c>
      <c r="Z11" s="254"/>
    </row>
    <row r="12" spans="2:26" s="247" customFormat="1" ht="11.25">
      <c r="B12" s="252"/>
      <c r="C12" s="253"/>
      <c r="D12" s="259" t="str">
        <f>IF(Indice_index!$Z$1=1,"fevereiro","February")</f>
        <v>fevereiro</v>
      </c>
      <c r="E12" s="250">
        <v>208.48232719000038</v>
      </c>
      <c r="F12" s="250">
        <v>185.72324089</v>
      </c>
      <c r="G12" s="250">
        <v>400.22294203</v>
      </c>
      <c r="H12" s="260"/>
      <c r="I12" s="250">
        <v>1110.6420549499994</v>
      </c>
      <c r="J12" s="250">
        <v>1284.0626988400002</v>
      </c>
      <c r="K12" s="250">
        <v>1978.9920104999994</v>
      </c>
      <c r="L12" s="250">
        <v>15.308753759999993</v>
      </c>
      <c r="M12" s="250">
        <v>361.61387988</v>
      </c>
      <c r="N12" s="261"/>
      <c r="O12" s="250">
        <v>52.28484551</v>
      </c>
      <c r="P12" s="250">
        <v>0</v>
      </c>
      <c r="Q12" s="250">
        <v>27.786728260000025</v>
      </c>
      <c r="R12" s="250">
        <v>0</v>
      </c>
      <c r="S12" s="250">
        <v>20.510447590000023</v>
      </c>
      <c r="U12" s="247">
        <v>413.47346</v>
      </c>
      <c r="V12" s="247">
        <v>998.38952638</v>
      </c>
      <c r="W12" s="247">
        <v>0</v>
      </c>
      <c r="X12" s="251"/>
      <c r="Y12" s="247">
        <f t="shared" si="0"/>
        <v>7057.49291578</v>
      </c>
      <c r="Z12" s="254"/>
    </row>
    <row r="13" spans="2:26" s="247" customFormat="1" ht="11.25">
      <c r="B13" s="252"/>
      <c r="C13" s="253"/>
      <c r="D13" s="259" t="str">
        <f>IF(Indice_index!$Z$1=1,"março","March")</f>
        <v>março</v>
      </c>
      <c r="E13" s="250">
        <v>323.88452021000063</v>
      </c>
      <c r="F13" s="250">
        <v>319.4276600299998</v>
      </c>
      <c r="G13" s="250">
        <v>609.85588408</v>
      </c>
      <c r="H13" s="260"/>
      <c r="I13" s="250">
        <v>1672.2221462000027</v>
      </c>
      <c r="J13" s="250">
        <v>1944.9295556600007</v>
      </c>
      <c r="K13" s="250">
        <v>2896.802638219999</v>
      </c>
      <c r="L13" s="250">
        <v>23.52222875</v>
      </c>
      <c r="M13" s="250">
        <v>371.6765771399997</v>
      </c>
      <c r="N13" s="261"/>
      <c r="O13" s="250">
        <v>91.26179919999998</v>
      </c>
      <c r="P13" s="250">
        <v>0</v>
      </c>
      <c r="Q13" s="250">
        <v>31.05335730000001</v>
      </c>
      <c r="R13" s="250">
        <v>0</v>
      </c>
      <c r="S13" s="250">
        <v>31.309687859999993</v>
      </c>
      <c r="T13" s="262"/>
      <c r="U13" s="262">
        <v>613.54721</v>
      </c>
      <c r="V13" s="262">
        <v>1317.48811108</v>
      </c>
      <c r="W13" s="262">
        <v>0</v>
      </c>
      <c r="X13" s="251"/>
      <c r="Y13" s="262">
        <f t="shared" si="0"/>
        <v>10246.981375730003</v>
      </c>
      <c r="Z13" s="254"/>
    </row>
    <row r="14" spans="2:26" s="247" customFormat="1" ht="11.25">
      <c r="B14" s="252"/>
      <c r="C14" s="253"/>
      <c r="D14" s="259" t="str">
        <f>IF(Indice_index!$Z$1=1,"abril","April")</f>
        <v>abril</v>
      </c>
      <c r="E14" s="250">
        <v>429.1165221700004</v>
      </c>
      <c r="F14" s="250">
        <v>442.8336046299998</v>
      </c>
      <c r="G14" s="250">
        <v>824.6782640999999</v>
      </c>
      <c r="H14" s="260"/>
      <c r="I14" s="250">
        <v>2206.0144733300017</v>
      </c>
      <c r="J14" s="250">
        <v>2619.10788898</v>
      </c>
      <c r="K14" s="250">
        <v>3838.0121911099986</v>
      </c>
      <c r="L14" s="250">
        <v>43.52486286999999</v>
      </c>
      <c r="M14" s="250">
        <v>383.96349398999996</v>
      </c>
      <c r="N14" s="261"/>
      <c r="O14" s="250">
        <v>123.35468409000009</v>
      </c>
      <c r="P14" s="250">
        <v>0</v>
      </c>
      <c r="Q14" s="250">
        <v>34.56185392999998</v>
      </c>
      <c r="R14" s="250">
        <v>0</v>
      </c>
      <c r="S14" s="250">
        <v>40.78541785000001</v>
      </c>
      <c r="T14" s="262"/>
      <c r="U14" s="262">
        <v>1269.254225</v>
      </c>
      <c r="V14" s="262">
        <v>1906.8724025300003</v>
      </c>
      <c r="W14" s="262">
        <v>0.0183702</v>
      </c>
      <c r="X14" s="251"/>
      <c r="Y14" s="262">
        <f t="shared" si="0"/>
        <v>14162.09825478</v>
      </c>
      <c r="Z14" s="254"/>
    </row>
    <row r="15" spans="2:26" s="247" customFormat="1" ht="11.25">
      <c r="B15" s="252"/>
      <c r="C15" s="253"/>
      <c r="D15" s="259" t="str">
        <f>IF(Indice_index!$Z$1=1,"maio","May")</f>
        <v>maio</v>
      </c>
      <c r="E15" s="250">
        <v>602.9010408500006</v>
      </c>
      <c r="F15" s="250">
        <v>554.1015913699995</v>
      </c>
      <c r="G15" s="250">
        <v>1050.9046050900015</v>
      </c>
      <c r="H15" s="260"/>
      <c r="I15" s="250">
        <v>2790.60747499</v>
      </c>
      <c r="J15" s="250">
        <v>3223.385091330002</v>
      </c>
      <c r="K15" s="250">
        <v>4807.057041319996</v>
      </c>
      <c r="L15" s="250">
        <v>54.90686548999999</v>
      </c>
      <c r="M15" s="250">
        <v>394.95619140000025</v>
      </c>
      <c r="N15" s="261"/>
      <c r="O15" s="250">
        <v>182.26742679999987</v>
      </c>
      <c r="P15" s="250">
        <v>0</v>
      </c>
      <c r="Q15" s="250">
        <v>41.06381340999998</v>
      </c>
      <c r="R15" s="250">
        <v>0</v>
      </c>
      <c r="S15" s="250">
        <v>50.88199785999995</v>
      </c>
      <c r="T15" s="262"/>
      <c r="U15" s="262">
        <v>1557.964104</v>
      </c>
      <c r="V15" s="262">
        <v>2227.4200080900005</v>
      </c>
      <c r="W15" s="262">
        <v>0.1272575</v>
      </c>
      <c r="X15" s="251"/>
      <c r="Y15" s="262">
        <f t="shared" si="0"/>
        <v>17538.544509500003</v>
      </c>
      <c r="Z15" s="254"/>
    </row>
    <row r="16" spans="2:26" s="247" customFormat="1" ht="11.25">
      <c r="B16" s="252"/>
      <c r="C16" s="253"/>
      <c r="D16" s="259" t="str">
        <f>IF(Indice_index!$Z$1=1,"junho","June")</f>
        <v>junho</v>
      </c>
      <c r="E16" s="250">
        <v>677.9042281399999</v>
      </c>
      <c r="F16" s="250">
        <v>650.2511612100001</v>
      </c>
      <c r="G16" s="250">
        <v>1250.3508365500002</v>
      </c>
      <c r="H16" s="260"/>
      <c r="I16" s="250">
        <v>3340.6358694099995</v>
      </c>
      <c r="J16" s="250">
        <v>4620.60071873</v>
      </c>
      <c r="K16" s="250">
        <v>5718.686261410001</v>
      </c>
      <c r="L16" s="250">
        <v>65.50822445</v>
      </c>
      <c r="M16" s="250">
        <v>402.7927582000004</v>
      </c>
      <c r="N16" s="261"/>
      <c r="O16" s="250">
        <v>196.78299131000006</v>
      </c>
      <c r="P16" s="250">
        <v>0</v>
      </c>
      <c r="Q16" s="250">
        <v>43.229313809999994</v>
      </c>
      <c r="R16" s="250">
        <v>0</v>
      </c>
      <c r="S16" s="250">
        <v>58.78465867999993</v>
      </c>
      <c r="T16" s="262"/>
      <c r="U16" s="262">
        <v>3584.6001440000005</v>
      </c>
      <c r="V16" s="262">
        <v>2476.96900905</v>
      </c>
      <c r="W16" s="262">
        <v>0.12798932000000002</v>
      </c>
      <c r="X16" s="251"/>
      <c r="Y16" s="262">
        <f t="shared" si="0"/>
        <v>23087.224164270003</v>
      </c>
      <c r="Z16" s="254"/>
    </row>
    <row r="17" spans="2:26" s="247" customFormat="1" ht="11.25">
      <c r="B17" s="252"/>
      <c r="C17" s="253"/>
      <c r="D17" s="259" t="str">
        <f>IF(Indice_index!$Z$1=1,"julho","July")</f>
        <v>julho</v>
      </c>
      <c r="E17" s="250">
        <v>823.7249756800003</v>
      </c>
      <c r="F17" s="250">
        <v>784.6970035599999</v>
      </c>
      <c r="G17" s="250">
        <v>1517.9937983299985</v>
      </c>
      <c r="H17" s="260"/>
      <c r="I17" s="250">
        <v>3896.662245279998</v>
      </c>
      <c r="J17" s="250">
        <v>5387.593522459997</v>
      </c>
      <c r="K17" s="250">
        <v>6929.9932433899985</v>
      </c>
      <c r="L17" s="250">
        <v>78.37980842000003</v>
      </c>
      <c r="M17" s="250">
        <v>429.6002002199999</v>
      </c>
      <c r="N17" s="261"/>
      <c r="O17" s="250">
        <v>246.28066317000003</v>
      </c>
      <c r="P17" s="250">
        <v>0</v>
      </c>
      <c r="Q17" s="250">
        <v>182.73440011999986</v>
      </c>
      <c r="R17" s="250">
        <v>0</v>
      </c>
      <c r="S17" s="250">
        <v>70.30156569999984</v>
      </c>
      <c r="T17" s="262"/>
      <c r="U17" s="262">
        <v>3914.9206130000002</v>
      </c>
      <c r="V17" s="262">
        <v>2882.04563142</v>
      </c>
      <c r="W17" s="262">
        <v>0.15154943</v>
      </c>
      <c r="X17" s="251"/>
      <c r="Y17" s="262">
        <f t="shared" si="0"/>
        <v>27145.07922017999</v>
      </c>
      <c r="Z17" s="254"/>
    </row>
    <row r="18" spans="2:26" s="247" customFormat="1" ht="12.75">
      <c r="B18" s="252"/>
      <c r="C18" s="253"/>
      <c r="D18" s="259" t="str">
        <f>IF(Indice_index!$Z$1=1,"agosto","August")</f>
        <v>agosto</v>
      </c>
      <c r="E18" s="250">
        <v>929.7065210800012</v>
      </c>
      <c r="F18" s="250">
        <v>942.3871097000008</v>
      </c>
      <c r="G18" s="250">
        <v>1752.0121812900006</v>
      </c>
      <c r="H18" s="260"/>
      <c r="I18" s="250">
        <v>4430.963333069998</v>
      </c>
      <c r="J18" s="250">
        <v>6851.50295826</v>
      </c>
      <c r="K18" s="250">
        <v>7869.496879010001</v>
      </c>
      <c r="L18" s="250">
        <v>86.83723984999999</v>
      </c>
      <c r="M18" s="250">
        <v>497.40351086000004</v>
      </c>
      <c r="N18" s="261"/>
      <c r="O18" s="250">
        <v>271.0520098</v>
      </c>
      <c r="P18" s="250">
        <v>0</v>
      </c>
      <c r="Q18" s="250">
        <v>201.61260336000004</v>
      </c>
      <c r="R18" s="250">
        <v>0</v>
      </c>
      <c r="S18" s="250">
        <v>89.50801011999982</v>
      </c>
      <c r="T18" s="262"/>
      <c r="U18" s="262">
        <v>4214.216613</v>
      </c>
      <c r="V18" s="262">
        <v>3188.97279231</v>
      </c>
      <c r="W18" s="262">
        <v>0.15154943</v>
      </c>
      <c r="X18" s="251"/>
      <c r="Y18" s="262">
        <f t="shared" si="0"/>
        <v>31325.823311140008</v>
      </c>
      <c r="Z18"/>
    </row>
    <row r="19" spans="2:26" s="247" customFormat="1" ht="12.75">
      <c r="B19" s="252"/>
      <c r="C19" s="253"/>
      <c r="D19" s="259" t="str">
        <f>IF(Indice_index!$Z$1=1,"setembro","September")</f>
        <v>setembro</v>
      </c>
      <c r="E19" s="250">
        <v>1049.7855368100013</v>
      </c>
      <c r="F19" s="250">
        <v>1063.81558318</v>
      </c>
      <c r="G19" s="250">
        <v>1973.261571849999</v>
      </c>
      <c r="H19" s="260"/>
      <c r="I19" s="250">
        <v>4909.805317809998</v>
      </c>
      <c r="J19" s="250">
        <v>7438.242783370002</v>
      </c>
      <c r="K19" s="250">
        <v>8785.036242519998</v>
      </c>
      <c r="L19" s="250">
        <v>113.45716617000001</v>
      </c>
      <c r="M19" s="250">
        <v>521.3254255099998</v>
      </c>
      <c r="N19" s="261"/>
      <c r="O19" s="250">
        <v>310.89405867999955</v>
      </c>
      <c r="P19" s="250">
        <v>0</v>
      </c>
      <c r="Q19" s="250">
        <v>221.2775997400001</v>
      </c>
      <c r="R19" s="250">
        <v>0</v>
      </c>
      <c r="S19" s="250">
        <v>99.07796058</v>
      </c>
      <c r="T19" s="262"/>
      <c r="U19" s="262">
        <v>4973.1717</v>
      </c>
      <c r="V19" s="262">
        <v>3487.4844232</v>
      </c>
      <c r="W19" s="262">
        <v>0.15154943</v>
      </c>
      <c r="X19" s="251"/>
      <c r="Y19" s="262">
        <f t="shared" si="0"/>
        <v>34946.78691884999</v>
      </c>
      <c r="Z19"/>
    </row>
    <row r="20" spans="2:26" s="247" customFormat="1" ht="11.25">
      <c r="B20" s="252"/>
      <c r="C20" s="253"/>
      <c r="D20" s="259" t="str">
        <f>IF(Indice_index!$Z$1=1,"outubro","October")</f>
        <v>outubro</v>
      </c>
      <c r="E20" s="250">
        <v>1194.02086324</v>
      </c>
      <c r="F20" s="250">
        <v>1196.85495305</v>
      </c>
      <c r="G20" s="250">
        <v>2192.2552671000017</v>
      </c>
      <c r="H20" s="260"/>
      <c r="I20" s="250">
        <v>5453.676546030006</v>
      </c>
      <c r="J20" s="250">
        <v>8129.85945772</v>
      </c>
      <c r="K20" s="250">
        <v>9707.663246030002</v>
      </c>
      <c r="L20" s="250">
        <v>127.4214523100001</v>
      </c>
      <c r="M20" s="250">
        <v>536.6600251000002</v>
      </c>
      <c r="N20" s="261"/>
      <c r="O20" s="250">
        <v>334.34396370999957</v>
      </c>
      <c r="P20" s="250">
        <v>0</v>
      </c>
      <c r="Q20" s="250">
        <v>239.52429564000013</v>
      </c>
      <c r="R20" s="250">
        <v>0</v>
      </c>
      <c r="S20" s="250">
        <v>112.77062018000004</v>
      </c>
      <c r="T20" s="262"/>
      <c r="U20" s="250">
        <v>6496.0927</v>
      </c>
      <c r="V20" s="262">
        <v>3888.22287787</v>
      </c>
      <c r="W20" s="262">
        <v>0.15154943</v>
      </c>
      <c r="X20" s="251"/>
      <c r="Y20" s="262">
        <f t="shared" si="0"/>
        <v>39609.51781741001</v>
      </c>
      <c r="Z20" s="254"/>
    </row>
    <row r="21" spans="2:26" s="247" customFormat="1" ht="11.25">
      <c r="B21" s="252"/>
      <c r="C21" s="253"/>
      <c r="D21" s="259" t="str">
        <f>IF(Indice_index!$Z$1=1,"novembro","November")</f>
        <v>novembro</v>
      </c>
      <c r="E21" s="250">
        <v>1316.1012166300034</v>
      </c>
      <c r="F21" s="250">
        <v>1331.2886195099995</v>
      </c>
      <c r="G21" s="250">
        <v>2419.495115469999</v>
      </c>
      <c r="H21" s="260"/>
      <c r="I21" s="250">
        <v>6005.838680219994</v>
      </c>
      <c r="J21" s="250">
        <v>8907.676662530002</v>
      </c>
      <c r="K21" s="250">
        <v>10706.95400812</v>
      </c>
      <c r="L21" s="250">
        <v>148.09414369000012</v>
      </c>
      <c r="M21" s="250">
        <v>560.4092003399994</v>
      </c>
      <c r="N21" s="261"/>
      <c r="O21" s="250">
        <v>362.4707758300001</v>
      </c>
      <c r="P21" s="250">
        <v>0</v>
      </c>
      <c r="Q21" s="250">
        <v>257.72629618000013</v>
      </c>
      <c r="R21" s="250">
        <v>0</v>
      </c>
      <c r="S21" s="250">
        <v>141.2079959100001</v>
      </c>
      <c r="T21" s="262"/>
      <c r="U21" s="262">
        <v>6748.249680000001</v>
      </c>
      <c r="V21" s="262">
        <v>4123.929678390001</v>
      </c>
      <c r="W21" s="262">
        <v>0.18818443</v>
      </c>
      <c r="X21" s="251"/>
      <c r="Y21" s="262">
        <f t="shared" si="0"/>
        <v>43029.63025725</v>
      </c>
      <c r="Z21" s="254"/>
    </row>
    <row r="22" spans="2:26" s="247" customFormat="1" ht="11.25">
      <c r="B22" s="252"/>
      <c r="C22" s="253"/>
      <c r="D22" s="259" t="str">
        <f>IF(Indice_index!$Z$1=1,"dezembro","December")</f>
        <v>dezembro</v>
      </c>
      <c r="E22" s="250">
        <v>1814.7486320200007</v>
      </c>
      <c r="F22" s="250">
        <v>1729.5736762099968</v>
      </c>
      <c r="G22" s="250">
        <v>2737.7433209099913</v>
      </c>
      <c r="H22" s="260">
        <v>0</v>
      </c>
      <c r="I22" s="250">
        <v>6622.430045530001</v>
      </c>
      <c r="J22" s="250">
        <v>10403.480134020001</v>
      </c>
      <c r="K22" s="250">
        <v>12370.829785919994</v>
      </c>
      <c r="L22" s="250">
        <v>186.0808100799999</v>
      </c>
      <c r="M22" s="250">
        <v>593.7649722700003</v>
      </c>
      <c r="N22" s="261"/>
      <c r="O22" s="250">
        <v>435.99216331999963</v>
      </c>
      <c r="P22" s="250"/>
      <c r="Q22" s="250">
        <v>381.5147843100004</v>
      </c>
      <c r="R22" s="250"/>
      <c r="S22" s="250">
        <v>170.98007351999982</v>
      </c>
      <c r="T22" s="262"/>
      <c r="U22" s="262">
        <v>6848.67625872</v>
      </c>
      <c r="V22" s="262">
        <v>4473.48878461</v>
      </c>
      <c r="W22" s="262">
        <v>0.24823322999999997</v>
      </c>
      <c r="X22" s="251"/>
      <c r="Y22" s="262">
        <f t="shared" si="0"/>
        <v>48769.55167466998</v>
      </c>
      <c r="Z22" s="254"/>
    </row>
    <row r="23" spans="2:26" s="247" customFormat="1" ht="11.25">
      <c r="B23" s="252"/>
      <c r="C23" s="253" t="s">
        <v>7</v>
      </c>
      <c r="D23" s="259"/>
      <c r="E23" s="250"/>
      <c r="F23" s="250"/>
      <c r="G23" s="250"/>
      <c r="H23" s="260"/>
      <c r="I23" s="250"/>
      <c r="J23" s="250"/>
      <c r="K23" s="250"/>
      <c r="L23" s="250"/>
      <c r="M23" s="250"/>
      <c r="N23" s="261"/>
      <c r="O23" s="250"/>
      <c r="P23" s="250"/>
      <c r="Q23" s="250"/>
      <c r="R23" s="250"/>
      <c r="S23" s="250"/>
      <c r="T23" s="262"/>
      <c r="U23" s="262"/>
      <c r="V23" s="262"/>
      <c r="W23" s="262"/>
      <c r="X23" s="251"/>
      <c r="Y23" s="262"/>
      <c r="Z23" s="254"/>
    </row>
    <row r="24" spans="2:27" s="247" customFormat="1" ht="10.5" customHeight="1">
      <c r="B24" s="252"/>
      <c r="C24" s="259"/>
      <c r="D24" s="259" t="str">
        <f>IF(Indice_index!$Z$1=1,"janeiro","January")</f>
        <v>janeiro</v>
      </c>
      <c r="E24" s="262">
        <v>116.58210844999984</v>
      </c>
      <c r="F24" s="262">
        <v>89.99821972000014</v>
      </c>
      <c r="G24" s="262">
        <v>198.31736522000003</v>
      </c>
      <c r="H24" s="262"/>
      <c r="I24" s="262">
        <v>554.3493728900003</v>
      </c>
      <c r="J24" s="262">
        <v>684.7254513300003</v>
      </c>
      <c r="K24" s="262">
        <v>1112.0433784199995</v>
      </c>
      <c r="L24" s="262">
        <v>1.9131803800000005</v>
      </c>
      <c r="M24" s="262">
        <v>9.448474820000014</v>
      </c>
      <c r="N24" s="262"/>
      <c r="O24" s="262">
        <v>24.742938249999995</v>
      </c>
      <c r="P24" s="262">
        <v>0</v>
      </c>
      <c r="Q24" s="262">
        <v>1.3590085599999997</v>
      </c>
      <c r="R24" s="262">
        <v>0</v>
      </c>
      <c r="S24" s="262">
        <v>8.75973478</v>
      </c>
      <c r="T24" s="262"/>
      <c r="U24" s="262">
        <v>105.7845</v>
      </c>
      <c r="V24" s="262">
        <v>897.20666385</v>
      </c>
      <c r="W24" s="262">
        <v>0</v>
      </c>
      <c r="X24" s="263"/>
      <c r="Y24" s="262">
        <f aca="true" t="shared" si="1" ref="Y24:Y34">SUM(E24:W24)</f>
        <v>3805.2303966700006</v>
      </c>
      <c r="Z24"/>
      <c r="AA24"/>
    </row>
    <row r="25" spans="2:27" s="247" customFormat="1" ht="10.5" customHeight="1">
      <c r="B25" s="252"/>
      <c r="C25" s="259"/>
      <c r="D25" s="259" t="str">
        <f>IF(Indice_index!$Z$1=1,"fevereiro","February")</f>
        <v>fevereiro</v>
      </c>
      <c r="E25" s="262">
        <v>236.11859063999987</v>
      </c>
      <c r="F25" s="262">
        <v>183.50248704999998</v>
      </c>
      <c r="G25" s="262">
        <v>408.0103057799996</v>
      </c>
      <c r="H25" s="262"/>
      <c r="I25" s="262">
        <v>1120.0320215399997</v>
      </c>
      <c r="J25" s="262">
        <v>1362.6510002499988</v>
      </c>
      <c r="K25" s="262">
        <v>2358.8558457600016</v>
      </c>
      <c r="L25" s="262">
        <v>6.342052199999998</v>
      </c>
      <c r="M25" s="262">
        <v>36.85761966</v>
      </c>
      <c r="N25" s="262"/>
      <c r="O25" s="262">
        <v>51.75000264999997</v>
      </c>
      <c r="P25" s="262">
        <v>0</v>
      </c>
      <c r="Q25" s="262">
        <v>4.999607770000002</v>
      </c>
      <c r="R25" s="262">
        <v>0</v>
      </c>
      <c r="S25" s="262">
        <v>17.32928946999999</v>
      </c>
      <c r="T25" s="262"/>
      <c r="U25" s="262">
        <v>449.9315</v>
      </c>
      <c r="V25" s="262">
        <v>1067.88407823</v>
      </c>
      <c r="W25" s="262">
        <v>0</v>
      </c>
      <c r="X25" s="263"/>
      <c r="Y25" s="262">
        <f t="shared" si="1"/>
        <v>7304.2644009999985</v>
      </c>
      <c r="Z25"/>
      <c r="AA25"/>
    </row>
    <row r="26" spans="2:27" s="262" customFormat="1" ht="10.5" customHeight="1">
      <c r="B26" s="269"/>
      <c r="C26" s="259"/>
      <c r="D26" s="259" t="str">
        <f>IF(Indice_index!$Z$1=1,"março","March")</f>
        <v>março</v>
      </c>
      <c r="E26" s="262">
        <v>344.1814952400002</v>
      </c>
      <c r="F26" s="262">
        <v>320.4382411099998</v>
      </c>
      <c r="G26" s="262">
        <v>635.2932724700007</v>
      </c>
      <c r="I26" s="262">
        <v>1700.8395942599998</v>
      </c>
      <c r="J26" s="262">
        <v>1974.6353306300025</v>
      </c>
      <c r="K26" s="262">
        <v>3432.6948178700027</v>
      </c>
      <c r="L26" s="262">
        <v>19.904960710000008</v>
      </c>
      <c r="M26" s="262">
        <v>43.50229005</v>
      </c>
      <c r="O26" s="262">
        <v>81.74928156000004</v>
      </c>
      <c r="P26" s="262">
        <v>0</v>
      </c>
      <c r="Q26" s="262">
        <v>8.2702319</v>
      </c>
      <c r="R26" s="262">
        <v>0</v>
      </c>
      <c r="S26" s="262">
        <v>27.834373259999985</v>
      </c>
      <c r="U26" s="262">
        <v>704.0275</v>
      </c>
      <c r="V26" s="262">
        <v>1495.2370482099998</v>
      </c>
      <c r="W26" s="262">
        <v>0</v>
      </c>
      <c r="X26" s="263"/>
      <c r="Y26" s="262">
        <f t="shared" si="1"/>
        <v>10788.608437270008</v>
      </c>
      <c r="Z26"/>
      <c r="AA26"/>
    </row>
    <row r="27" spans="2:27" s="262" customFormat="1" ht="10.5" customHeight="1">
      <c r="B27" s="269"/>
      <c r="C27" s="259"/>
      <c r="D27" s="259" t="str">
        <f>IF(Indice_index!$Z$1=1,"abril","April")</f>
        <v>abril</v>
      </c>
      <c r="E27" s="262">
        <v>487.5890211200009</v>
      </c>
      <c r="F27" s="262">
        <v>448.53671916999986</v>
      </c>
      <c r="G27" s="262">
        <v>864.2529709700005</v>
      </c>
      <c r="I27" s="262">
        <v>2300.2814827100046</v>
      </c>
      <c r="J27" s="262">
        <v>2630.3515606099977</v>
      </c>
      <c r="K27" s="262">
        <v>4441.763285419999</v>
      </c>
      <c r="L27" s="262">
        <v>30.041890390000006</v>
      </c>
      <c r="M27" s="262">
        <v>55.36013406</v>
      </c>
      <c r="O27" s="262">
        <v>111.71668029</v>
      </c>
      <c r="P27" s="262">
        <v>0</v>
      </c>
      <c r="Q27" s="262">
        <v>20.72569681</v>
      </c>
      <c r="R27" s="262">
        <v>0</v>
      </c>
      <c r="S27" s="262">
        <v>39.647483039999976</v>
      </c>
      <c r="U27" s="262">
        <v>1287.6235000000001</v>
      </c>
      <c r="V27" s="262">
        <v>1871.7688800999995</v>
      </c>
      <c r="W27" s="262">
        <v>0</v>
      </c>
      <c r="X27" s="263"/>
      <c r="Y27" s="262">
        <f t="shared" si="1"/>
        <v>14589.659304690002</v>
      </c>
      <c r="Z27"/>
      <c r="AA27"/>
    </row>
    <row r="28" spans="2:27" s="262" customFormat="1" ht="10.5" customHeight="1">
      <c r="B28" s="269"/>
      <c r="C28" s="259"/>
      <c r="D28" s="259" t="str">
        <f>IF(Indice_index!$Z$1=1,"maio","May")</f>
        <v>maio</v>
      </c>
      <c r="E28" s="262">
        <v>625.1733645499977</v>
      </c>
      <c r="F28" s="262">
        <v>564.7779283300005</v>
      </c>
      <c r="G28" s="262">
        <v>1105.9603357500007</v>
      </c>
      <c r="I28" s="262">
        <v>2858.6048252700034</v>
      </c>
      <c r="J28" s="262">
        <v>3267.62455174</v>
      </c>
      <c r="K28" s="262">
        <v>5798.012616600004</v>
      </c>
      <c r="L28" s="262">
        <v>37.25183893999999</v>
      </c>
      <c r="M28" s="262">
        <v>73.86128482000001</v>
      </c>
      <c r="O28" s="262">
        <v>141.79262723999997</v>
      </c>
      <c r="P28" s="262">
        <v>0</v>
      </c>
      <c r="Q28" s="262">
        <v>106.69004845000005</v>
      </c>
      <c r="S28" s="262">
        <v>51.18168530000007</v>
      </c>
      <c r="U28" s="262">
        <v>1844.4985</v>
      </c>
      <c r="V28" s="262">
        <v>2171.0555293199996</v>
      </c>
      <c r="W28" s="262">
        <v>0</v>
      </c>
      <c r="X28" s="263"/>
      <c r="Y28" s="262">
        <f t="shared" si="1"/>
        <v>18646.485136310002</v>
      </c>
      <c r="Z28"/>
      <c r="AA28"/>
    </row>
    <row r="29" spans="3:27" s="261" customFormat="1" ht="10.5" customHeight="1">
      <c r="C29" s="259"/>
      <c r="D29" s="259" t="str">
        <f>IF(Indice_index!$Z$1=1,"junho","June")</f>
        <v>junho</v>
      </c>
      <c r="E29" s="259">
        <v>750.3083302699993</v>
      </c>
      <c r="F29" s="259">
        <v>682.1163317299996</v>
      </c>
      <c r="G29" s="259">
        <v>1357.7085686900016</v>
      </c>
      <c r="H29" s="259"/>
      <c r="I29" s="259">
        <v>3436.5009391200033</v>
      </c>
      <c r="J29" s="259">
        <v>3967.2969310399994</v>
      </c>
      <c r="K29" s="259">
        <v>6880.874458159999</v>
      </c>
      <c r="L29" s="259">
        <v>50.64941003</v>
      </c>
      <c r="M29" s="259">
        <v>87.1181810899999</v>
      </c>
      <c r="N29" s="259"/>
      <c r="O29" s="259">
        <v>171.51256925000004</v>
      </c>
      <c r="P29" s="259">
        <v>0</v>
      </c>
      <c r="Q29" s="259">
        <v>124.41512033000004</v>
      </c>
      <c r="R29" s="259"/>
      <c r="S29" s="259">
        <v>62.536017600000015</v>
      </c>
      <c r="T29" s="259"/>
      <c r="U29" s="259">
        <v>3462.4185</v>
      </c>
      <c r="V29" s="259">
        <v>2468.4755883199996</v>
      </c>
      <c r="W29" s="259">
        <v>0</v>
      </c>
      <c r="X29" s="287"/>
      <c r="Y29" s="259">
        <f t="shared" si="1"/>
        <v>23501.930945630003</v>
      </c>
      <c r="Z29"/>
      <c r="AA29"/>
    </row>
    <row r="30" spans="3:27" s="261" customFormat="1" ht="10.5" customHeight="1">
      <c r="C30" s="259"/>
      <c r="D30" s="269" t="str">
        <f>IF(Indice_index!$Z$1=1,"julho","July")</f>
        <v>julho</v>
      </c>
      <c r="E30" s="269">
        <v>903.2769106700008</v>
      </c>
      <c r="F30" s="269">
        <v>799.7494376699998</v>
      </c>
      <c r="G30" s="269">
        <v>1600.7274996400001</v>
      </c>
      <c r="H30" s="269"/>
      <c r="I30" s="269">
        <v>4017.6228144799984</v>
      </c>
      <c r="J30" s="269">
        <v>4680.33588722</v>
      </c>
      <c r="K30" s="269">
        <v>8450.691520219996</v>
      </c>
      <c r="L30" s="269">
        <v>54.83298384999996</v>
      </c>
      <c r="M30" s="269">
        <v>106.02319656999995</v>
      </c>
      <c r="N30" s="269"/>
      <c r="O30" s="269">
        <v>201.98980536999994</v>
      </c>
      <c r="P30" s="269">
        <v>0</v>
      </c>
      <c r="Q30" s="269">
        <v>148.4020258400001</v>
      </c>
      <c r="R30" s="269"/>
      <c r="S30" s="269">
        <v>74.82907948000015</v>
      </c>
      <c r="T30" s="269"/>
      <c r="U30" s="269">
        <v>3700.7635</v>
      </c>
      <c r="V30" s="269">
        <v>2948.5065680699995</v>
      </c>
      <c r="W30" s="269">
        <v>0</v>
      </c>
      <c r="X30" s="299"/>
      <c r="Y30" s="269">
        <f t="shared" si="1"/>
        <v>27687.75122908</v>
      </c>
      <c r="Z30"/>
      <c r="AA30"/>
    </row>
    <row r="31" spans="4:27" s="259" customFormat="1" ht="10.5" customHeight="1">
      <c r="D31" s="269" t="str">
        <f>IF(Indice_index!$Z$1=1,"agosto","August")</f>
        <v>agosto</v>
      </c>
      <c r="E31" s="269">
        <v>1090.4140572499991</v>
      </c>
      <c r="F31" s="269">
        <v>935.6218417699995</v>
      </c>
      <c r="G31" s="269">
        <v>1845.2929092600027</v>
      </c>
      <c r="H31" s="269"/>
      <c r="I31" s="269">
        <v>4502.1743822100025</v>
      </c>
      <c r="J31" s="269">
        <v>5418.478318520002</v>
      </c>
      <c r="K31" s="269">
        <v>9526.965407539992</v>
      </c>
      <c r="L31" s="269">
        <v>58.53553147999999</v>
      </c>
      <c r="M31" s="269">
        <v>121.65385656000004</v>
      </c>
      <c r="N31" s="269"/>
      <c r="O31" s="269">
        <v>227.93156076999978</v>
      </c>
      <c r="P31" s="269">
        <v>0</v>
      </c>
      <c r="Q31" s="269">
        <v>168.21230631999998</v>
      </c>
      <c r="R31" s="269"/>
      <c r="S31" s="269">
        <v>92.91174550000011</v>
      </c>
      <c r="T31" s="269"/>
      <c r="U31" s="269">
        <v>3999.9285015</v>
      </c>
      <c r="V31" s="269">
        <v>3250.26680221</v>
      </c>
      <c r="W31" s="269">
        <v>0</v>
      </c>
      <c r="X31" s="299"/>
      <c r="Y31" s="269">
        <f t="shared" si="1"/>
        <v>31238.38722089</v>
      </c>
      <c r="Z31"/>
      <c r="AA31"/>
    </row>
    <row r="32" spans="4:27" s="259" customFormat="1" ht="10.5" customHeight="1">
      <c r="D32" s="269" t="str">
        <f>IF(Indice_index!$Z$1=1,"setembro","September")</f>
        <v>setembro</v>
      </c>
      <c r="E32" s="269">
        <v>1214.6404858299986</v>
      </c>
      <c r="F32" s="269">
        <v>1101.5349320999983</v>
      </c>
      <c r="G32" s="269">
        <v>2091.912825230002</v>
      </c>
      <c r="H32" s="269"/>
      <c r="I32" s="269">
        <v>5006.625851920006</v>
      </c>
      <c r="J32" s="269">
        <v>6132.974412910002</v>
      </c>
      <c r="K32" s="269">
        <v>10515.166122789982</v>
      </c>
      <c r="L32" s="269">
        <v>70.95369529999999</v>
      </c>
      <c r="M32" s="269">
        <v>151.78249299000007</v>
      </c>
      <c r="N32" s="269"/>
      <c r="O32" s="269">
        <v>260.04061316999946</v>
      </c>
      <c r="P32" s="269">
        <v>0</v>
      </c>
      <c r="Q32" s="269">
        <v>187.02779828000007</v>
      </c>
      <c r="R32" s="269"/>
      <c r="S32" s="269">
        <v>103.08172648999997</v>
      </c>
      <c r="T32" s="269"/>
      <c r="U32" s="269">
        <v>4546.7825015</v>
      </c>
      <c r="V32" s="269">
        <v>3559.24581418</v>
      </c>
      <c r="W32" s="269">
        <v>0</v>
      </c>
      <c r="X32" s="299"/>
      <c r="Y32" s="269">
        <f t="shared" si="1"/>
        <v>34941.76927268999</v>
      </c>
      <c r="Z32"/>
      <c r="AA32"/>
    </row>
    <row r="33" spans="4:27" s="259" customFormat="1" ht="10.5" customHeight="1">
      <c r="D33" s="269" t="str">
        <f>IF(Indice_index!$Z$1=1,"outubro","October")</f>
        <v>outubro</v>
      </c>
      <c r="E33" s="269">
        <v>1383.7326633799996</v>
      </c>
      <c r="F33" s="269">
        <v>1266.2935735999995</v>
      </c>
      <c r="G33" s="269">
        <v>2334.9965184199996</v>
      </c>
      <c r="H33" s="269"/>
      <c r="I33" s="269">
        <v>5515.74107164</v>
      </c>
      <c r="J33" s="269">
        <v>6817.234321010005</v>
      </c>
      <c r="K33" s="269">
        <v>11618.494506129997</v>
      </c>
      <c r="L33" s="269">
        <v>78.61350975000005</v>
      </c>
      <c r="M33" s="269">
        <v>163.1283353699999</v>
      </c>
      <c r="N33" s="269"/>
      <c r="O33" s="269">
        <v>296.3685302099996</v>
      </c>
      <c r="P33" s="269">
        <v>0</v>
      </c>
      <c r="Q33" s="269">
        <v>209.35674042</v>
      </c>
      <c r="R33" s="269"/>
      <c r="S33" s="269">
        <v>114.04894629999984</v>
      </c>
      <c r="T33" s="269"/>
      <c r="U33" s="269">
        <v>6404.6225815</v>
      </c>
      <c r="V33" s="269">
        <v>3973.96878071</v>
      </c>
      <c r="W33" s="269">
        <v>0</v>
      </c>
      <c r="X33" s="299"/>
      <c r="Y33" s="269">
        <f t="shared" si="1"/>
        <v>40176.600078439995</v>
      </c>
      <c r="Z33"/>
      <c r="AA33"/>
    </row>
    <row r="34" spans="4:27" s="259" customFormat="1" ht="10.5" customHeight="1">
      <c r="D34" s="269" t="str">
        <f>IF(Indice_index!$Z$1=1,"novembro","November")</f>
        <v>novembro</v>
      </c>
      <c r="E34" s="269">
        <v>1569.8351716300003</v>
      </c>
      <c r="F34" s="269">
        <v>1485.9361514900013</v>
      </c>
      <c r="G34" s="269">
        <v>2750.90556624</v>
      </c>
      <c r="H34" s="269"/>
      <c r="I34" s="269">
        <v>6367.555296060014</v>
      </c>
      <c r="J34" s="269">
        <v>7667.497350389994</v>
      </c>
      <c r="K34" s="269">
        <v>12875.374879090006</v>
      </c>
      <c r="L34" s="269">
        <v>88.48917908999998</v>
      </c>
      <c r="M34" s="269">
        <v>178.2027067300002</v>
      </c>
      <c r="N34" s="269"/>
      <c r="O34" s="269">
        <v>336.4001888799997</v>
      </c>
      <c r="P34" s="269">
        <v>0</v>
      </c>
      <c r="Q34" s="269">
        <v>233.92957076000005</v>
      </c>
      <c r="R34" s="269"/>
      <c r="S34" s="269">
        <v>129.49176787000007</v>
      </c>
      <c r="T34" s="269"/>
      <c r="U34" s="269">
        <v>6717.2851615</v>
      </c>
      <c r="V34" s="269">
        <v>4217.297298130001</v>
      </c>
      <c r="W34" s="269">
        <v>0</v>
      </c>
      <c r="X34" s="299"/>
      <c r="Y34" s="269">
        <f t="shared" si="1"/>
        <v>44618.20028786002</v>
      </c>
      <c r="Z34" s="266"/>
      <c r="AA34" s="266"/>
    </row>
    <row r="35" spans="3:27" s="259" customFormat="1" ht="10.5" customHeight="1">
      <c r="C35" s="264"/>
      <c r="D35" s="327" t="str">
        <f>IF(Indice_index!$Z$1=1,"dezembro","December")</f>
        <v>dezembro</v>
      </c>
      <c r="E35" s="327">
        <v>1857.997634139998</v>
      </c>
      <c r="F35" s="327">
        <v>1799.9906203700025</v>
      </c>
      <c r="G35" s="327">
        <v>3080.5806440600045</v>
      </c>
      <c r="H35" s="327"/>
      <c r="I35" s="327">
        <v>7109.10544403999</v>
      </c>
      <c r="J35" s="327">
        <v>8588.763089149988</v>
      </c>
      <c r="K35" s="327">
        <v>13795.473040449991</v>
      </c>
      <c r="L35" s="327">
        <v>125.65419460999995</v>
      </c>
      <c r="M35" s="327">
        <v>197.10424089</v>
      </c>
      <c r="N35" s="327"/>
      <c r="O35" s="327">
        <v>377.98138672999977</v>
      </c>
      <c r="P35" s="327">
        <v>167.324546</v>
      </c>
      <c r="Q35" s="327">
        <v>298.55198100999985</v>
      </c>
      <c r="R35" s="327"/>
      <c r="S35" s="327">
        <v>158.1750839500001</v>
      </c>
      <c r="T35" s="327"/>
      <c r="U35" s="327">
        <v>6841.57385367</v>
      </c>
      <c r="V35" s="327">
        <v>4499.87916167</v>
      </c>
      <c r="W35" s="327">
        <v>0</v>
      </c>
      <c r="X35" s="328"/>
      <c r="Y35" s="327">
        <f>SUM(E35:W35)</f>
        <v>48898.15492073998</v>
      </c>
      <c r="Z35" s="266"/>
      <c r="AA35" s="266"/>
    </row>
    <row r="36" spans="2:26" s="104" customFormat="1" ht="15.75" customHeight="1">
      <c r="B36" s="114"/>
      <c r="C36" s="121"/>
      <c r="D36" s="121"/>
      <c r="E36" s="124"/>
      <c r="F36" s="124"/>
      <c r="G36" s="124"/>
      <c r="H36" s="124"/>
      <c r="I36" s="124"/>
      <c r="J36" s="124"/>
      <c r="K36" s="124"/>
      <c r="L36" s="124"/>
      <c r="M36" s="124"/>
      <c r="N36" s="124"/>
      <c r="O36" s="124"/>
      <c r="P36" s="124"/>
      <c r="Q36" s="124"/>
      <c r="R36" s="124"/>
      <c r="S36" s="124"/>
      <c r="T36" s="124"/>
      <c r="U36" s="124"/>
      <c r="V36" s="124"/>
      <c r="W36" s="124"/>
      <c r="X36" s="231"/>
      <c r="Y36" s="298"/>
      <c r="Z36" s="102"/>
    </row>
    <row r="37" spans="3:25" ht="12.75">
      <c r="C37" s="117" t="s">
        <v>8</v>
      </c>
      <c r="E37" s="124"/>
      <c r="F37" s="124"/>
      <c r="G37" s="124"/>
      <c r="H37" s="124"/>
      <c r="I37" s="124"/>
      <c r="J37" s="124"/>
      <c r="K37" s="124"/>
      <c r="L37" s="124"/>
      <c r="M37" s="124"/>
      <c r="O37" s="124"/>
      <c r="P37" s="124"/>
      <c r="Q37" s="124"/>
      <c r="R37" s="124"/>
      <c r="S37" s="124"/>
      <c r="U37" s="124"/>
      <c r="V37" s="124"/>
      <c r="W37" s="124"/>
      <c r="Y37"/>
    </row>
    <row r="38" spans="3:25" ht="12.75">
      <c r="C38" s="112" t="str">
        <f>IF(Indice_index!$Z$1=1,"Os valores constantes do presente quadro não excluem transferências.","Data of the present chat does not exclude transfers.")</f>
        <v>Os valores constantes do presente quadro não excluem transferências.</v>
      </c>
      <c r="Y38"/>
    </row>
    <row r="39" ht="12.75">
      <c r="C39" s="112" t="str">
        <f>IF(Indice_index!$Z$1=1,"Os valores de despesa correspondem aos divulgados no respetivo período tendo, em alguns casos, sido objeto de ajustamento posterior à sua divulgação.","Expenditure data presented correspond to that reported during the respective period and may, in some cases, have been subject to adjustments after publication.")</f>
        <v>Os valores de despesa correspondem aos divulgados no respetivo período tendo, em alguns casos, sido objeto de ajustamento posterior à sua divulgação.</v>
      </c>
    </row>
    <row r="40" ht="12.75">
      <c r="Y40" s="272"/>
    </row>
    <row r="41" ht="12.75">
      <c r="C41" s="212" t="str">
        <f>IF(Indice_index!$Z$1=1,"Fonte: Ministério das Finanças","Source: Ministry of Finance")</f>
        <v>Fonte: Ministério das Finanças</v>
      </c>
    </row>
  </sheetData>
  <sheetProtection/>
  <mergeCells count="4">
    <mergeCell ref="E5:G5"/>
    <mergeCell ref="I5:M5"/>
    <mergeCell ref="O5:S5"/>
    <mergeCell ref="U5:W5"/>
  </mergeCells>
  <printOptions horizontalCentered="1"/>
  <pageMargins left="0.7086614173228347" right="0.7086614173228347" top="0.7480314960629921" bottom="0.7480314960629921" header="0.7480314960629921" footer="0.7480314960629921"/>
  <pageSetup fitToHeight="1" fitToWidth="1" horizontalDpi="600" verticalDpi="600" orientation="landscape" paperSize="9" scale="56" r:id="rId3"/>
  <headerFooter>
    <oddHeader>&amp;L&amp;G</oddHeader>
  </headerFooter>
  <ignoredErrors>
    <ignoredError sqref="C8:C10 C23" numberStoredAsText="1"/>
  </ignoredErrors>
  <drawing r:id="rId1"/>
  <legacyDrawingHF r:id="rId2"/>
</worksheet>
</file>

<file path=xl/worksheets/sheet5.xml><?xml version="1.0" encoding="utf-8"?>
<worksheet xmlns="http://schemas.openxmlformats.org/spreadsheetml/2006/main" xmlns:r="http://schemas.openxmlformats.org/officeDocument/2006/relationships">
  <dimension ref="B1:GE77"/>
  <sheetViews>
    <sheetView showGridLines="0" showZeros="0" zoomScale="90" zoomScaleNormal="90" zoomScalePageLayoutView="0" workbookViewId="0" topLeftCell="A13">
      <pane xSplit="3" topLeftCell="D1" activePane="topRight" state="frozen"/>
      <selection pane="topLeft" activeCell="B2" sqref="B2"/>
      <selection pane="topRight" activeCell="Q47" sqref="Q46:Q47"/>
    </sheetView>
  </sheetViews>
  <sheetFormatPr defaultColWidth="9.140625" defaultRowHeight="12.75"/>
  <cols>
    <col min="1" max="1" width="2.57421875" style="137" customWidth="1"/>
    <col min="2" max="2" width="5.8515625" style="137" customWidth="1"/>
    <col min="3" max="3" width="32.7109375" style="137" customWidth="1"/>
    <col min="4" max="17" width="13.7109375" style="137" customWidth="1"/>
    <col min="18" max="18" width="2.7109375" style="137" customWidth="1"/>
    <col min="19" max="32" width="13.7109375" style="137" customWidth="1"/>
    <col min="33" max="33" width="2.7109375" style="137" customWidth="1"/>
    <col min="34" max="47" width="13.7109375" style="137" customWidth="1"/>
    <col min="48" max="48" width="12.57421875" style="138" bestFit="1" customWidth="1"/>
    <col min="49" max="49" width="14.8515625" style="138" bestFit="1" customWidth="1"/>
    <col min="50" max="50" width="22.28125" style="138" customWidth="1"/>
    <col min="51" max="54" width="9.140625" style="152" customWidth="1"/>
    <col min="55" max="57" width="9.140625" style="153" customWidth="1"/>
    <col min="58" max="63" width="9.140625" style="152" customWidth="1"/>
    <col min="64" max="16384" width="9.140625" style="137" customWidth="1"/>
  </cols>
  <sheetData>
    <row r="1" spans="2:73" s="2" customFormat="1" ht="45" customHeight="1">
      <c r="B1" s="77"/>
      <c r="C1" s="77"/>
      <c r="H1" s="3"/>
      <c r="I1" s="3"/>
      <c r="AV1" s="156"/>
      <c r="AW1" s="156"/>
      <c r="AX1" s="156"/>
      <c r="AY1" s="151"/>
      <c r="AZ1" s="151"/>
      <c r="BA1" s="151"/>
      <c r="BB1" s="151"/>
      <c r="BC1" s="151"/>
      <c r="BD1" s="151"/>
      <c r="BE1" s="151"/>
      <c r="BF1" s="151"/>
      <c r="BG1" s="151"/>
      <c r="BH1" s="151"/>
      <c r="BI1" s="151"/>
      <c r="BJ1" s="151"/>
      <c r="BK1" s="151"/>
      <c r="BL1"/>
      <c r="BM1"/>
      <c r="BN1"/>
      <c r="BO1"/>
      <c r="BP1"/>
      <c r="BQ1"/>
      <c r="BR1"/>
      <c r="BS1"/>
      <c r="BT1"/>
      <c r="BU1"/>
    </row>
    <row r="2" spans="2:73" ht="19.5" thickBot="1">
      <c r="B2" s="97" t="s">
        <v>9</v>
      </c>
      <c r="C2" s="364" t="str">
        <f>IF(Indice_index!$Z$1=1,"3 - Despesa do subsetor Estado - Classificação Económica/Orgânica","3 - State Expenditure - Economic/Organic Classification")</f>
        <v>3 - Despesa do subsetor Estado - Classificação Económica/Orgânica</v>
      </c>
      <c r="D2" s="364"/>
      <c r="E2" s="364"/>
      <c r="F2" s="364"/>
      <c r="G2" s="364"/>
      <c r="H2" s="364"/>
      <c r="I2" s="364"/>
      <c r="J2" s="364"/>
      <c r="K2" s="364"/>
      <c r="L2" s="364"/>
      <c r="M2" s="364"/>
      <c r="N2" s="364"/>
      <c r="O2" s="364"/>
      <c r="P2" s="364"/>
      <c r="Q2" s="364"/>
      <c r="R2" s="364"/>
      <c r="S2" s="364"/>
      <c r="T2" s="364"/>
      <c r="U2" s="364"/>
      <c r="V2" s="364"/>
      <c r="W2" s="364"/>
      <c r="X2" s="364"/>
      <c r="Y2" s="364"/>
      <c r="Z2" s="364"/>
      <c r="AA2" s="364"/>
      <c r="AB2" s="364"/>
      <c r="AC2" s="364"/>
      <c r="AD2" s="364"/>
      <c r="AE2" s="364"/>
      <c r="AF2" s="364"/>
      <c r="AG2" s="364"/>
      <c r="AH2" s="364"/>
      <c r="AI2" s="364"/>
      <c r="AJ2" s="364"/>
      <c r="AK2" s="364"/>
      <c r="AL2" s="364"/>
      <c r="AM2" s="364"/>
      <c r="AN2" s="364"/>
      <c r="AO2" s="364"/>
      <c r="AP2" s="364"/>
      <c r="AQ2" s="364"/>
      <c r="AR2" s="364"/>
      <c r="AS2" s="364"/>
      <c r="AT2" s="364"/>
      <c r="AU2" s="364"/>
      <c r="AV2" s="156"/>
      <c r="AW2" s="156"/>
      <c r="AX2" s="156"/>
      <c r="AY2" s="151"/>
      <c r="AZ2" s="151"/>
      <c r="BA2" s="151"/>
      <c r="BB2" s="151"/>
      <c r="BC2" s="151"/>
      <c r="BD2" s="151"/>
      <c r="BE2" s="151"/>
      <c r="BF2" s="151"/>
      <c r="BG2" s="151"/>
      <c r="BH2" s="151"/>
      <c r="BI2" s="151"/>
      <c r="BJ2" s="151"/>
      <c r="BK2" s="151"/>
      <c r="BL2"/>
      <c r="BM2"/>
      <c r="BN2"/>
      <c r="BO2"/>
      <c r="BP2"/>
      <c r="BQ2"/>
      <c r="BR2"/>
      <c r="BS2"/>
      <c r="BT2"/>
      <c r="BU2"/>
    </row>
    <row r="3" spans="4:73" ht="12.75">
      <c r="D3" s="2"/>
      <c r="E3" s="2"/>
      <c r="F3" s="2"/>
      <c r="I3" s="139"/>
      <c r="AV3" s="156"/>
      <c r="AW3" s="156"/>
      <c r="AX3" s="156"/>
      <c r="AY3" s="151"/>
      <c r="AZ3" s="151"/>
      <c r="BA3" s="151"/>
      <c r="BB3" s="151"/>
      <c r="BC3" s="151"/>
      <c r="BD3" s="151"/>
      <c r="BE3" s="151"/>
      <c r="BF3" s="151"/>
      <c r="BG3" s="151"/>
      <c r="BH3" s="151"/>
      <c r="BI3" s="151"/>
      <c r="BJ3" s="151"/>
      <c r="BK3" s="151"/>
      <c r="BL3"/>
      <c r="BM3"/>
      <c r="BN3"/>
      <c r="BO3"/>
      <c r="BP3"/>
      <c r="BQ3"/>
      <c r="BR3"/>
      <c r="BS3"/>
      <c r="BT3"/>
      <c r="BU3"/>
    </row>
    <row r="4" spans="6:73" ht="12.75">
      <c r="F4" s="139"/>
      <c r="I4" s="139"/>
      <c r="AV4" s="156"/>
      <c r="AW4" s="156"/>
      <c r="AX4" s="156"/>
      <c r="AY4" s="151"/>
      <c r="AZ4" s="151"/>
      <c r="BA4" s="151"/>
      <c r="BB4" s="151"/>
      <c r="BC4" s="151"/>
      <c r="BD4" s="151"/>
      <c r="BE4" s="151"/>
      <c r="BF4" s="151"/>
      <c r="BG4" s="151"/>
      <c r="BH4" s="151"/>
      <c r="BI4" s="151"/>
      <c r="BJ4" s="151"/>
      <c r="BK4" s="151"/>
      <c r="BL4"/>
      <c r="BM4"/>
      <c r="BN4"/>
      <c r="BO4"/>
      <c r="BP4"/>
      <c r="BQ4"/>
      <c r="BR4"/>
      <c r="BS4"/>
      <c r="BT4"/>
      <c r="BU4"/>
    </row>
    <row r="5" spans="3:73" ht="13.5" customHeight="1">
      <c r="C5" s="312" t="str">
        <f>IF(Indice_index!$Z$1=1,"(Período: janeiro a dezembro)","(Period: January to December)")</f>
        <v>(Período: janeiro a dezembro)</v>
      </c>
      <c r="D5" s="157"/>
      <c r="E5" s="157"/>
      <c r="F5" s="157"/>
      <c r="G5" s="157"/>
      <c r="H5" s="157"/>
      <c r="I5" s="157"/>
      <c r="J5" s="157"/>
      <c r="K5" s="157"/>
      <c r="L5" s="157"/>
      <c r="M5" s="157"/>
      <c r="N5" s="157"/>
      <c r="O5" s="157"/>
      <c r="P5" s="157"/>
      <c r="Q5" s="214" t="str">
        <f>IF(Indice_index!$Z$1=1,"€ Milhões","€ Million")</f>
        <v>€ Milhões</v>
      </c>
      <c r="R5" s="157"/>
      <c r="S5" s="157"/>
      <c r="T5" s="157"/>
      <c r="U5" s="157"/>
      <c r="V5" s="157"/>
      <c r="W5" s="157"/>
      <c r="X5" s="157"/>
      <c r="Y5" s="157"/>
      <c r="Z5" s="157"/>
      <c r="AA5" s="157"/>
      <c r="AB5" s="157"/>
      <c r="AC5" s="157"/>
      <c r="AD5" s="157"/>
      <c r="AE5" s="157"/>
      <c r="AF5" s="214" t="str">
        <f>IF(Indice_index!$Z$1=1,"€ Milhões","€ Million")</f>
        <v>€ Milhões</v>
      </c>
      <c r="AG5" s="157"/>
      <c r="AH5" s="157"/>
      <c r="AI5" s="157"/>
      <c r="AJ5" s="157"/>
      <c r="AK5" s="157"/>
      <c r="AL5" s="157"/>
      <c r="AM5" s="157"/>
      <c r="AN5" s="157"/>
      <c r="AO5" s="157"/>
      <c r="AP5" s="157"/>
      <c r="AQ5" s="157"/>
      <c r="AR5" s="157"/>
      <c r="AS5" s="157"/>
      <c r="AT5" s="157"/>
      <c r="AU5" s="157"/>
      <c r="AV5" s="156"/>
      <c r="AW5" s="156"/>
      <c r="AX5" s="156"/>
      <c r="AY5" s="151"/>
      <c r="AZ5" s="151"/>
      <c r="BA5" s="151"/>
      <c r="BB5" s="151"/>
      <c r="BC5" s="151"/>
      <c r="BD5" s="151"/>
      <c r="BE5" s="151"/>
      <c r="BF5" s="151"/>
      <c r="BG5" s="151"/>
      <c r="BH5" s="151"/>
      <c r="BI5" s="151"/>
      <c r="BJ5" s="151"/>
      <c r="BK5" s="151"/>
      <c r="BL5"/>
      <c r="BM5"/>
      <c r="BN5"/>
      <c r="BO5"/>
      <c r="BP5"/>
      <c r="BQ5"/>
      <c r="BR5"/>
      <c r="BS5"/>
      <c r="BT5"/>
      <c r="BU5"/>
    </row>
    <row r="6" spans="3:73" ht="12.75">
      <c r="C6" s="158"/>
      <c r="D6" s="360" t="s">
        <v>7</v>
      </c>
      <c r="E6" s="361"/>
      <c r="F6" s="361"/>
      <c r="G6" s="361"/>
      <c r="H6" s="361"/>
      <c r="I6" s="361"/>
      <c r="J6" s="361"/>
      <c r="K6" s="361"/>
      <c r="L6" s="361"/>
      <c r="M6" s="361"/>
      <c r="N6" s="361"/>
      <c r="O6" s="361"/>
      <c r="P6" s="361"/>
      <c r="Q6" s="361"/>
      <c r="R6" s="159"/>
      <c r="S6" s="363" t="s">
        <v>5</v>
      </c>
      <c r="T6" s="363"/>
      <c r="U6" s="363"/>
      <c r="V6" s="363"/>
      <c r="W6" s="363"/>
      <c r="X6" s="363"/>
      <c r="Y6" s="363"/>
      <c r="Z6" s="363"/>
      <c r="AA6" s="363"/>
      <c r="AB6" s="363"/>
      <c r="AC6" s="363"/>
      <c r="AD6" s="363"/>
      <c r="AE6" s="363"/>
      <c r="AF6" s="363"/>
      <c r="AG6" s="159"/>
      <c r="AH6" s="362" t="str">
        <f>IF(Indice_index!$Z$1=1,"VH (%)","YOY Change Rate (%)")</f>
        <v>VH (%)</v>
      </c>
      <c r="AI6" s="362"/>
      <c r="AJ6" s="362"/>
      <c r="AK6" s="362"/>
      <c r="AL6" s="362"/>
      <c r="AM6" s="362"/>
      <c r="AN6" s="362"/>
      <c r="AO6" s="362"/>
      <c r="AP6" s="362"/>
      <c r="AQ6" s="362"/>
      <c r="AR6" s="362"/>
      <c r="AS6" s="362"/>
      <c r="AT6" s="362"/>
      <c r="AU6" s="362"/>
      <c r="AV6" s="156"/>
      <c r="AW6" s="156"/>
      <c r="AX6" s="156"/>
      <c r="AY6" s="151"/>
      <c r="AZ6" s="151"/>
      <c r="BA6" s="151"/>
      <c r="BB6" s="151"/>
      <c r="BC6" s="151"/>
      <c r="BD6" s="151"/>
      <c r="BE6" s="151"/>
      <c r="BF6" s="151"/>
      <c r="BG6" s="151"/>
      <c r="BH6" s="151"/>
      <c r="BI6" s="151"/>
      <c r="BJ6" s="151"/>
      <c r="BK6" s="151"/>
      <c r="BL6"/>
      <c r="BM6"/>
      <c r="BN6"/>
      <c r="BO6"/>
      <c r="BP6"/>
      <c r="BQ6"/>
      <c r="BR6"/>
      <c r="BS6"/>
      <c r="BT6"/>
      <c r="BU6"/>
    </row>
    <row r="7" spans="3:54" ht="78" customHeight="1">
      <c r="C7" s="160"/>
      <c r="D7" s="161" t="str">
        <f>IF(Indice_index!$Z$1=1,"Encargos
Gerais do Estado","State
General Expenditure")</f>
        <v>Encargos
Gerais do Estado</v>
      </c>
      <c r="E7" s="162" t="str">
        <f>IF(Indice_index!$Z$1=1,"Presidência do Conselho de Ministros","Ministry Council Presidency")</f>
        <v>Presidência do Conselho de Ministros</v>
      </c>
      <c r="F7" s="161" t="str">
        <f>IF(Indice_index!$Z$1=1,"Finanças","Finance")</f>
        <v>Finanças</v>
      </c>
      <c r="G7" s="161" t="str">
        <f>IF(Indice_index!$Z$1=1,"Negócios Estrangeiros","Foreign
Affairs")</f>
        <v>Negócios Estrangeiros</v>
      </c>
      <c r="H7" s="161" t="str">
        <f>IF(Indice_index!$Z$1=1,"Defesa Nacional","National Defense")</f>
        <v>Defesa Nacional</v>
      </c>
      <c r="I7" s="161" t="str">
        <f>IF(Indice_index!$Z$1=1,"Administração Interna","Home
Affairs")</f>
        <v>Administração Interna</v>
      </c>
      <c r="J7" s="161" t="str">
        <f>IF(Indice_index!$Z$1=1,"Justiça","Justice")</f>
        <v>Justiça</v>
      </c>
      <c r="K7" s="161" t="str">
        <f>IF(Indice_index!$Z$1=1,"Economia","Economy")</f>
        <v>Economia</v>
      </c>
      <c r="L7" s="316" t="str">
        <f>IF(Indice_index!$Z$1=1,"Agricultura e Mar","Agriculture and Sea")</f>
        <v>Agricultura e Mar</v>
      </c>
      <c r="M7" s="316" t="str">
        <f>IF(Indice_index!$Z$1=1,"Saúde","Health")</f>
        <v>Saúde</v>
      </c>
      <c r="N7" s="317" t="str">
        <f>IF(Indice_index!$Z$1=1,"Educação e Ciência","Education and Science")</f>
        <v>Educação e Ciência</v>
      </c>
      <c r="O7" s="316" t="str">
        <f>IF(Indice_index!$Z$1=1,"Solidariedade, Emprego e Segurança Social","Solidarity, Employment and Social Security")</f>
        <v>Solidariedade, Emprego e Segurança Social</v>
      </c>
      <c r="P7" s="316" t="str">
        <f>IF(Indice_index!$Z$1=1,"Ambiente, Ordenamento do Território e Energia","Environment and Spatial Planning and Energy")</f>
        <v>Ambiente, Ordenamento do Território e Energia</v>
      </c>
      <c r="Q7" s="161" t="s">
        <v>10</v>
      </c>
      <c r="R7" s="163"/>
      <c r="S7" s="161" t="str">
        <f>IF(Indice_index!$Z$1=1,"Encargos
Gerais do Estado","State
General Expenditure")</f>
        <v>Encargos
Gerais do Estado</v>
      </c>
      <c r="T7" s="162" t="str">
        <f>IF(Indice_index!$Z$1=1,"Presidência do Conselho de Ministros","Ministry Council Presidency")</f>
        <v>Presidência do Conselho de Ministros</v>
      </c>
      <c r="U7" s="161" t="str">
        <f>IF(Indice_index!$Z$1=1,"Finanças","Finance")</f>
        <v>Finanças</v>
      </c>
      <c r="V7" s="161" t="str">
        <f>IF(Indice_index!$Z$1=1,"Negócios Estrangeiros","Foreign
Affairs")</f>
        <v>Negócios Estrangeiros</v>
      </c>
      <c r="W7" s="161" t="str">
        <f>IF(Indice_index!$Z$1=1,"Defesa Nacional","National Defense")</f>
        <v>Defesa Nacional</v>
      </c>
      <c r="X7" s="161" t="str">
        <f>IF(Indice_index!$Z$1=1,"Administração Interna","Home
Affairs")</f>
        <v>Administração Interna</v>
      </c>
      <c r="Y7" s="161" t="str">
        <f>IF(Indice_index!$Z$1=1,"Justiça","Justice")</f>
        <v>Justiça</v>
      </c>
      <c r="Z7" s="161" t="str">
        <f>IF(Indice_index!$Z$1=1,"Economia","Economy")</f>
        <v>Economia</v>
      </c>
      <c r="AA7" s="316" t="str">
        <f>IF(Indice_index!$Z$1=1,"Agricultura e Mar","Agriculture and Sea")</f>
        <v>Agricultura e Mar</v>
      </c>
      <c r="AB7" s="316" t="str">
        <f>IF(Indice_index!$Z$1=1,"Saúde","Health")</f>
        <v>Saúde</v>
      </c>
      <c r="AC7" s="317" t="str">
        <f>IF(Indice_index!$Z$1=1,"Educação e Ciência","Education and Science")</f>
        <v>Educação e Ciência</v>
      </c>
      <c r="AD7" s="316" t="str">
        <f>IF(Indice_index!$Z$1=1,"Solidariedade, Emprego e Segurança Social","Solidarity, Employment and Social Security")</f>
        <v>Solidariedade, Emprego e Segurança Social</v>
      </c>
      <c r="AE7" s="316" t="str">
        <f>IF(Indice_index!$Z$1=1,"Ambiente, Ordenamento do Território e Energia","Environment and Spatial Planning and Energy")</f>
        <v>Ambiente, Ordenamento do Território e Energia</v>
      </c>
      <c r="AF7" s="164" t="s">
        <v>10</v>
      </c>
      <c r="AG7" s="163"/>
      <c r="AH7" s="161" t="str">
        <f>IF(Indice_index!$Z$1=1,"Encargos
Gerais do Estado","State
General Expenditure")</f>
        <v>Encargos
Gerais do Estado</v>
      </c>
      <c r="AI7" s="162" t="str">
        <f>IF(Indice_index!$Z$1=1,"Presidência do Conselho de Ministros","Ministry Council Presidency")</f>
        <v>Presidência do Conselho de Ministros</v>
      </c>
      <c r="AJ7" s="161" t="str">
        <f>IF(Indice_index!$Z$1=1,"Finanças","Finance")</f>
        <v>Finanças</v>
      </c>
      <c r="AK7" s="161" t="str">
        <f>IF(Indice_index!$Z$1=1,"Negócios Estrangeiros","Foreign
Affairs")</f>
        <v>Negócios Estrangeiros</v>
      </c>
      <c r="AL7" s="161" t="str">
        <f>IF(Indice_index!$Z$1=1,"Defesa Nacional","National Defense")</f>
        <v>Defesa Nacional</v>
      </c>
      <c r="AM7" s="161" t="str">
        <f>IF(Indice_index!$Z$1=1,"Administração Interna","Home
Affairs")</f>
        <v>Administração Interna</v>
      </c>
      <c r="AN7" s="161" t="str">
        <f>IF(Indice_index!$Z$1=1,"Justiça","Justice")</f>
        <v>Justiça</v>
      </c>
      <c r="AO7" s="161" t="str">
        <f>IF(Indice_index!$Z$1=1,"Economia","Economy")</f>
        <v>Economia</v>
      </c>
      <c r="AP7" s="316" t="str">
        <f>IF(Indice_index!$Z$1=1,"Agricultura e Mar","Agriculture and Sea")</f>
        <v>Agricultura e Mar</v>
      </c>
      <c r="AQ7" s="316" t="str">
        <f>IF(Indice_index!$Z$1=1,"Saúde","Health")</f>
        <v>Saúde</v>
      </c>
      <c r="AR7" s="317" t="str">
        <f>IF(Indice_index!$Z$1=1,"Educação e Ciência","Education and Science")</f>
        <v>Educação e Ciência</v>
      </c>
      <c r="AS7" s="316" t="str">
        <f>IF(Indice_index!$Z$1=1,"Solidariedade, Emprego e Segurança Social","Solidarity, Employment and Social Security")</f>
        <v>Solidariedade, Emprego e Segurança Social</v>
      </c>
      <c r="AT7" s="316" t="str">
        <f>IF(Indice_index!$Z$1=1,"Ambiente, Ordenamento do Território e Energia","Environment and Spatial Planning and Energy")</f>
        <v>Ambiente, Ordenamento do Território e Energia</v>
      </c>
      <c r="AU7" s="164" t="s">
        <v>10</v>
      </c>
      <c r="AV7" s="165"/>
      <c r="AW7" s="165"/>
      <c r="AX7" s="165"/>
      <c r="AY7" s="166"/>
      <c r="AZ7" s="166"/>
      <c r="BA7" s="166"/>
      <c r="BB7" s="166"/>
    </row>
    <row r="8" spans="3:54" ht="12.75">
      <c r="C8" s="167" t="str">
        <f>IF(Indice_index!$Z$1=1,"Despesa corrente","Current Expenditure")</f>
        <v>Despesa corrente</v>
      </c>
      <c r="D8" s="334">
        <f aca="true" t="shared" si="0" ref="D8:P8">+D9+D13+D16+D17+D24+D25</f>
        <v>1930.95996829</v>
      </c>
      <c r="E8" s="334">
        <f t="shared" si="0"/>
        <v>217.0303887</v>
      </c>
      <c r="F8" s="334">
        <f t="shared" si="0"/>
        <v>14980.41559061</v>
      </c>
      <c r="G8" s="334">
        <f t="shared" si="0"/>
        <v>319.47927203000006</v>
      </c>
      <c r="H8" s="334">
        <f t="shared" si="0"/>
        <v>1738.7208959899997</v>
      </c>
      <c r="I8" s="334">
        <f t="shared" si="0"/>
        <v>1959.7809591600003</v>
      </c>
      <c r="J8" s="334">
        <f>+J9+J13+J16+J17+J24+J25</f>
        <v>1160.1077906699998</v>
      </c>
      <c r="K8" s="334">
        <f t="shared" si="0"/>
        <v>76.6123248</v>
      </c>
      <c r="L8" s="334">
        <f t="shared" si="0"/>
        <v>337.2425481999999</v>
      </c>
      <c r="M8" s="334">
        <f t="shared" si="0"/>
        <v>7927.68591453</v>
      </c>
      <c r="N8" s="334">
        <f t="shared" si="0"/>
        <v>7128.074032600006</v>
      </c>
      <c r="O8" s="334">
        <f t="shared" si="0"/>
        <v>9431.37167113</v>
      </c>
      <c r="P8" s="334">
        <f t="shared" si="0"/>
        <v>41.42949633</v>
      </c>
      <c r="Q8" s="334">
        <f>+Q9+Q13+Q16+Q17+Q24+Q25</f>
        <v>47248.910853040004</v>
      </c>
      <c r="R8" s="168"/>
      <c r="S8" s="289">
        <f aca="true" t="shared" si="1" ref="S8:AE8">+S9+S13+S16+S17+S24+S25</f>
        <v>1546.4591258400003</v>
      </c>
      <c r="T8" s="289">
        <f t="shared" si="1"/>
        <v>212.28581995000002</v>
      </c>
      <c r="U8" s="289">
        <f t="shared" si="1"/>
        <v>14698.192959449998</v>
      </c>
      <c r="V8" s="289">
        <f t="shared" si="1"/>
        <v>295.5317836</v>
      </c>
      <c r="W8" s="289">
        <f t="shared" si="1"/>
        <v>1614.8865805599999</v>
      </c>
      <c r="X8" s="289">
        <f t="shared" si="1"/>
        <v>1688.6039262200006</v>
      </c>
      <c r="Y8" s="289">
        <f>+Y9+Y13+Y16+Y17+Y24+Y25</f>
        <v>1068.40651121</v>
      </c>
      <c r="Z8" s="289">
        <f t="shared" si="1"/>
        <v>78.95296139000001</v>
      </c>
      <c r="AA8" s="289">
        <f t="shared" si="1"/>
        <v>384.7111421</v>
      </c>
      <c r="AB8" s="289">
        <f>+AB9+AB13+AB16+AB17+AB24+AB25</f>
        <v>9787.06620393</v>
      </c>
      <c r="AC8" s="289">
        <f t="shared" si="1"/>
        <v>6607.155571310004</v>
      </c>
      <c r="AD8" s="289">
        <f t="shared" si="1"/>
        <v>7912.28859635</v>
      </c>
      <c r="AE8" s="289">
        <f t="shared" si="1"/>
        <v>53.292374759999994</v>
      </c>
      <c r="AF8" s="289">
        <f>+AF9+AF13+AF16+AF17+AF24+AF25</f>
        <v>45947.833556670004</v>
      </c>
      <c r="AG8" s="168"/>
      <c r="AH8" s="169">
        <f aca="true" t="shared" si="2" ref="AH8:AH25">IF(S8=0,"-",IF((D8/S8)&gt;2,"-",((D8-S8)/S8)*100))</f>
        <v>24.863304566239204</v>
      </c>
      <c r="AI8" s="169">
        <f aca="true" t="shared" si="3" ref="AI8:AI25">IF(T8=0,"-",IF((E8/T8)&gt;2,"-",((E8-T8)/T8)*100))</f>
        <v>2.2349908962913676</v>
      </c>
      <c r="AJ8" s="169">
        <f aca="true" t="shared" si="4" ref="AJ8:AJ25">IF(U8=0,"-",IF((F8/U8)&gt;2,"-",((F8-U8)/U8)*100))</f>
        <v>1.9201178807395598</v>
      </c>
      <c r="AK8" s="169">
        <f aca="true" t="shared" si="5" ref="AK8:AK25">IF(V8=0,"-",IF((G8/V8)&gt;2,"-",((G8-V8)/V8)*100))</f>
        <v>8.103185430103457</v>
      </c>
      <c r="AL8" s="169">
        <f aca="true" t="shared" si="6" ref="AL8:AL25">IF(W8=0,"-",IF((H8/W8)&gt;2,"-",((H8-W8)/W8)*100))</f>
        <v>7.668298004374857</v>
      </c>
      <c r="AM8" s="169">
        <f aca="true" t="shared" si="7" ref="AM8:AM25">IF(X8=0,"-",IF((I8/X8)&gt;2,"-",((I8-X8)/X8)*100))</f>
        <v>16.059244487666152</v>
      </c>
      <c r="AN8" s="169">
        <f aca="true" t="shared" si="8" ref="AN8:AN25">IF(Y8=0,"-",IF((J8/Y8)&gt;2,"-",((J8-Y8)/Y8)*100))</f>
        <v>8.582995189363416</v>
      </c>
      <c r="AO8" s="169">
        <f aca="true" t="shared" si="9" ref="AO8:AO25">IF(Z8=0,"-",IF((K8/Z8)&gt;2,"-",((K8-Z8)/Z8)*100))</f>
        <v>-2.9645963226611483</v>
      </c>
      <c r="AP8" s="169">
        <f aca="true" t="shared" si="10" ref="AP8:AP25">IF(AA8=0,"-",IF((L8/AA8)&gt;2,"-",((L8-AA8)/AA8)*100))</f>
        <v>-12.338762438978536</v>
      </c>
      <c r="AQ8" s="169">
        <f aca="true" t="shared" si="11" ref="AQ8:AQ25">IF(AB8=0,"-",IF((M8/AB8)&gt;2,"-",((M8-AB8)/AB8)*100))</f>
        <v>-18.998341797804176</v>
      </c>
      <c r="AR8" s="169">
        <f aca="true" t="shared" si="12" ref="AR8:AR25">IF(AC8=0,"-",IF((N8/AC8)&gt;2,"-",((N8-AC8)/AC8)*100))</f>
        <v>7.884156134478894</v>
      </c>
      <c r="AS8" s="169">
        <f aca="true" t="shared" si="13" ref="AS8:AS25">IF(AD8=0,"-",IF((O8/AD8)&gt;2,"-",((O8-AD8)/AD8)*100))</f>
        <v>19.199035225797562</v>
      </c>
      <c r="AT8" s="169">
        <f aca="true" t="shared" si="14" ref="AT8:AT25">IF(AE8=0,"-",IF((P8/AE8)&gt;2,"-",((P8-AE8)/AE8)*100))</f>
        <v>-22.259992134754693</v>
      </c>
      <c r="AU8" s="170">
        <f aca="true" t="shared" si="15" ref="AU8:AU25">IF(AF8=0,"-",IF((Q8/AF8)&gt;2,"-",((Q8-AF8)/AF8)*100))</f>
        <v>2.831640135470826</v>
      </c>
      <c r="AV8" s="165"/>
      <c r="AW8" s="165"/>
      <c r="AX8" s="165"/>
      <c r="AY8" s="166"/>
      <c r="AZ8" s="166"/>
      <c r="BA8" s="166"/>
      <c r="BB8" s="166"/>
    </row>
    <row r="9" spans="3:54" ht="12.75">
      <c r="C9" s="171" t="str">
        <f>IF(Indice_index!$Z$1=1,"Despesas com o pessoal","Employees")</f>
        <v>Despesas com o pessoal</v>
      </c>
      <c r="D9" s="305">
        <f aca="true" t="shared" si="16" ref="D9:P9">SUM(D10:D12)</f>
        <v>39.37634964000001</v>
      </c>
      <c r="E9" s="305">
        <f t="shared" si="16"/>
        <v>77.48612806000001</v>
      </c>
      <c r="F9" s="305">
        <f t="shared" si="16"/>
        <v>490.2782841899999</v>
      </c>
      <c r="G9" s="305">
        <f t="shared" si="16"/>
        <v>125.40815378000002</v>
      </c>
      <c r="H9" s="305">
        <f t="shared" si="16"/>
        <v>1238.9607183800001</v>
      </c>
      <c r="I9" s="305">
        <f t="shared" si="16"/>
        <v>1613.5046685900002</v>
      </c>
      <c r="J9" s="305">
        <f t="shared" si="16"/>
        <v>1008.2593197799996</v>
      </c>
      <c r="K9" s="305">
        <f t="shared" si="16"/>
        <v>47.25986813</v>
      </c>
      <c r="L9" s="305">
        <f t="shared" si="16"/>
        <v>124.2930685899999</v>
      </c>
      <c r="M9" s="305">
        <f t="shared" si="16"/>
        <v>18.773093150000005</v>
      </c>
      <c r="N9" s="305">
        <f t="shared" si="16"/>
        <v>4391.9925827600055</v>
      </c>
      <c r="O9" s="305">
        <f t="shared" si="16"/>
        <v>42.35757124999999</v>
      </c>
      <c r="P9" s="305">
        <f t="shared" si="16"/>
        <v>16.510907149999998</v>
      </c>
      <c r="Q9" s="305">
        <f>SUM(Q10:Q12)</f>
        <v>9234.460713450006</v>
      </c>
      <c r="R9" s="163"/>
      <c r="S9" s="290">
        <f aca="true" t="shared" si="17" ref="S9:AF9">SUM(S10:S12)</f>
        <v>34.36293942999999</v>
      </c>
      <c r="T9" s="290">
        <f t="shared" si="17"/>
        <v>81.98047391000001</v>
      </c>
      <c r="U9" s="290">
        <f t="shared" si="17"/>
        <v>432.6338351199999</v>
      </c>
      <c r="V9" s="290">
        <f t="shared" si="17"/>
        <v>124.13184341</v>
      </c>
      <c r="W9" s="290">
        <f t="shared" si="17"/>
        <v>1149.26411865</v>
      </c>
      <c r="X9" s="290">
        <f t="shared" si="17"/>
        <v>1386.6998094600003</v>
      </c>
      <c r="Y9" s="290">
        <f t="shared" si="17"/>
        <v>879.16700268</v>
      </c>
      <c r="Z9" s="290">
        <f t="shared" si="17"/>
        <v>42.68587518</v>
      </c>
      <c r="AA9" s="290">
        <f t="shared" si="17"/>
        <v>121.01526007000002</v>
      </c>
      <c r="AB9" s="290">
        <f t="shared" si="17"/>
        <v>46.483979139999995</v>
      </c>
      <c r="AC9" s="290">
        <f t="shared" si="17"/>
        <v>4080.0478557000033</v>
      </c>
      <c r="AD9" s="290">
        <f t="shared" si="17"/>
        <v>40.55377634</v>
      </c>
      <c r="AE9" s="290">
        <f t="shared" si="17"/>
        <v>19.285112759999997</v>
      </c>
      <c r="AF9" s="290">
        <f t="shared" si="17"/>
        <v>8438.311881850002</v>
      </c>
      <c r="AG9" s="163"/>
      <c r="AH9" s="172">
        <f t="shared" si="2"/>
        <v>14.58958486427719</v>
      </c>
      <c r="AI9" s="172">
        <f t="shared" si="3"/>
        <v>-5.482215014924157</v>
      </c>
      <c r="AJ9" s="172">
        <f t="shared" si="4"/>
        <v>13.324073244065882</v>
      </c>
      <c r="AK9" s="172">
        <f t="shared" si="5"/>
        <v>1.028189330746054</v>
      </c>
      <c r="AL9" s="172">
        <f t="shared" si="6"/>
        <v>7.8046985261632935</v>
      </c>
      <c r="AM9" s="172">
        <f t="shared" si="7"/>
        <v>16.355728729660726</v>
      </c>
      <c r="AN9" s="172">
        <f t="shared" si="8"/>
        <v>14.683480693256495</v>
      </c>
      <c r="AO9" s="172">
        <f t="shared" si="9"/>
        <v>10.715471876146749</v>
      </c>
      <c r="AP9" s="172">
        <f t="shared" si="10"/>
        <v>2.7085910637252404</v>
      </c>
      <c r="AQ9" s="172">
        <f t="shared" si="11"/>
        <v>-59.61384223700087</v>
      </c>
      <c r="AR9" s="172">
        <f t="shared" si="12"/>
        <v>7.64561441661038</v>
      </c>
      <c r="AS9" s="172">
        <f t="shared" si="13"/>
        <v>4.447908611215647</v>
      </c>
      <c r="AT9" s="172">
        <f t="shared" si="14"/>
        <v>-14.3852185077916</v>
      </c>
      <c r="AU9" s="173">
        <f t="shared" si="15"/>
        <v>9.434930146543206</v>
      </c>
      <c r="AV9" s="165"/>
      <c r="AW9" s="165"/>
      <c r="AX9" s="165"/>
      <c r="AY9" s="166"/>
      <c r="AZ9" s="166"/>
      <c r="BA9" s="166"/>
      <c r="BB9" s="166"/>
    </row>
    <row r="10" spans="3:54" ht="12.75">
      <c r="C10" s="174" t="str">
        <f>IF(Indice_index!$Z$1=1,"Remunerações Certas e Permanentes","Certain and permanent wages")</f>
        <v>Remunerações Certas e Permanentes</v>
      </c>
      <c r="D10" s="300">
        <v>30.72176734000001</v>
      </c>
      <c r="E10" s="300">
        <v>62.06342048</v>
      </c>
      <c r="F10" s="300">
        <v>328.3225836199999</v>
      </c>
      <c r="G10" s="300">
        <v>75.59900571</v>
      </c>
      <c r="H10" s="300">
        <v>730.3190443900002</v>
      </c>
      <c r="I10" s="300">
        <v>1062.8902642500002</v>
      </c>
      <c r="J10" s="300">
        <v>772.0345677599996</v>
      </c>
      <c r="K10" s="300">
        <v>37.06769560000001</v>
      </c>
      <c r="L10" s="300">
        <v>98.67708125999991</v>
      </c>
      <c r="M10" s="300">
        <v>15.168572190000004</v>
      </c>
      <c r="N10" s="300">
        <v>3569.9322666400053</v>
      </c>
      <c r="O10" s="300">
        <v>34.227598419999985</v>
      </c>
      <c r="P10" s="300">
        <v>13.246797839999997</v>
      </c>
      <c r="Q10" s="305">
        <f aca="true" t="shared" si="18" ref="Q10:Q36">SUM(D10:P10)</f>
        <v>6830.270665500005</v>
      </c>
      <c r="R10" s="163"/>
      <c r="S10" s="305">
        <v>28.09968697999999</v>
      </c>
      <c r="T10" s="305">
        <v>67.26617808000005</v>
      </c>
      <c r="U10" s="305">
        <v>290.3876654799999</v>
      </c>
      <c r="V10" s="305">
        <v>73.99539245</v>
      </c>
      <c r="W10" s="305">
        <v>675.7244773699998</v>
      </c>
      <c r="X10" s="305">
        <v>939.5969794500003</v>
      </c>
      <c r="Y10" s="305">
        <v>677.825591</v>
      </c>
      <c r="Z10" s="305">
        <v>34.291894209999995</v>
      </c>
      <c r="AA10" s="305">
        <v>98.11476767000003</v>
      </c>
      <c r="AB10" s="305">
        <v>38.31710748</v>
      </c>
      <c r="AC10" s="305">
        <v>3435.339094680004</v>
      </c>
      <c r="AD10" s="305">
        <v>33.390493789999994</v>
      </c>
      <c r="AE10" s="305">
        <v>15.993926309999999</v>
      </c>
      <c r="AF10" s="290">
        <f>SUM(S10:AE10)</f>
        <v>6408.343254950003</v>
      </c>
      <c r="AG10" s="163"/>
      <c r="AH10" s="172">
        <f t="shared" si="2"/>
        <v>9.331350779338896</v>
      </c>
      <c r="AI10" s="172">
        <f t="shared" si="3"/>
        <v>-7.73458184856642</v>
      </c>
      <c r="AJ10" s="172">
        <f t="shared" si="4"/>
        <v>13.063543204321363</v>
      </c>
      <c r="AK10" s="172">
        <f t="shared" si="5"/>
        <v>2.1671798836442324</v>
      </c>
      <c r="AL10" s="172">
        <f t="shared" si="6"/>
        <v>8.07941237122102</v>
      </c>
      <c r="AM10" s="172">
        <f t="shared" si="7"/>
        <v>13.121932860211036</v>
      </c>
      <c r="AN10" s="172">
        <f t="shared" si="8"/>
        <v>13.89870462415155</v>
      </c>
      <c r="AO10" s="172">
        <f t="shared" si="9"/>
        <v>8.094628348615835</v>
      </c>
      <c r="AP10" s="172">
        <f t="shared" si="10"/>
        <v>0.5731181995876138</v>
      </c>
      <c r="AQ10" s="172">
        <f t="shared" si="11"/>
        <v>-60.41305519233832</v>
      </c>
      <c r="AR10" s="172">
        <f t="shared" si="12"/>
        <v>3.91790062787203</v>
      </c>
      <c r="AS10" s="172">
        <f t="shared" si="13"/>
        <v>2.507014826629169</v>
      </c>
      <c r="AT10" s="172">
        <f t="shared" si="14"/>
        <v>-17.176073071453345</v>
      </c>
      <c r="AU10" s="173">
        <f t="shared" si="15"/>
        <v>6.5840326237845</v>
      </c>
      <c r="AV10" s="165"/>
      <c r="AW10" s="165"/>
      <c r="AX10" s="165"/>
      <c r="AY10" s="166"/>
      <c r="AZ10" s="166"/>
      <c r="BA10" s="166"/>
      <c r="BB10" s="166"/>
    </row>
    <row r="11" spans="3:54" ht="12.75">
      <c r="C11" s="174" t="str">
        <f>IF(Indice_index!$Z$1=1,"Abonos Variáveis ou Eventuais","Variable or contingent bonuses")</f>
        <v>Abonos Variáveis ou Eventuais</v>
      </c>
      <c r="D11" s="300">
        <v>1.2604358299999996</v>
      </c>
      <c r="E11" s="300">
        <v>0.9203288199999998</v>
      </c>
      <c r="F11" s="300">
        <v>75.88558258000006</v>
      </c>
      <c r="G11" s="300">
        <v>33.151637670000014</v>
      </c>
      <c r="H11" s="300">
        <v>72.35602653999996</v>
      </c>
      <c r="I11" s="300">
        <v>68.90890464</v>
      </c>
      <c r="J11" s="300">
        <v>70.93417156999998</v>
      </c>
      <c r="K11" s="300">
        <v>1.3885125300000007</v>
      </c>
      <c r="L11" s="300">
        <v>2.460550040000001</v>
      </c>
      <c r="M11" s="300">
        <v>0.3015103599999999</v>
      </c>
      <c r="N11" s="300">
        <v>37.10393921</v>
      </c>
      <c r="O11" s="300">
        <v>0.63133375</v>
      </c>
      <c r="P11" s="300">
        <v>0.38001197000000003</v>
      </c>
      <c r="Q11" s="306">
        <f t="shared" si="18"/>
        <v>365.6829455100001</v>
      </c>
      <c r="R11" s="163"/>
      <c r="S11" s="306">
        <v>1.16305386</v>
      </c>
      <c r="T11" s="306">
        <v>1.2855587000000006</v>
      </c>
      <c r="U11" s="306">
        <v>76.15235622</v>
      </c>
      <c r="V11" s="306">
        <v>37.04069143</v>
      </c>
      <c r="W11" s="306">
        <v>80.39643770999994</v>
      </c>
      <c r="X11" s="306">
        <v>68.10544734999999</v>
      </c>
      <c r="Y11" s="306">
        <v>72.88869206000001</v>
      </c>
      <c r="Z11" s="306">
        <v>1.6862444199999997</v>
      </c>
      <c r="AA11" s="306">
        <v>3.47450475</v>
      </c>
      <c r="AB11" s="306">
        <v>1.42614713</v>
      </c>
      <c r="AC11" s="306">
        <v>21.484884849999997</v>
      </c>
      <c r="AD11" s="306">
        <v>0.9586729700000001</v>
      </c>
      <c r="AE11" s="306">
        <v>0.47655678</v>
      </c>
      <c r="AF11" s="291">
        <f>SUM(S11:AE11)</f>
        <v>366.53924822999994</v>
      </c>
      <c r="AG11" s="163"/>
      <c r="AH11" s="172">
        <f t="shared" si="2"/>
        <v>8.372954456296599</v>
      </c>
      <c r="AI11" s="172">
        <f t="shared" si="3"/>
        <v>-28.410206395087258</v>
      </c>
      <c r="AJ11" s="172">
        <f t="shared" si="4"/>
        <v>-0.35031567405379466</v>
      </c>
      <c r="AK11" s="172">
        <f t="shared" si="5"/>
        <v>-10.499409189889382</v>
      </c>
      <c r="AL11" s="172">
        <f t="shared" si="6"/>
        <v>-10.000954518660091</v>
      </c>
      <c r="AM11" s="172">
        <f t="shared" si="7"/>
        <v>1.179725442329117</v>
      </c>
      <c r="AN11" s="172">
        <f t="shared" si="8"/>
        <v>-2.6815140109677467</v>
      </c>
      <c r="AO11" s="172">
        <f t="shared" si="9"/>
        <v>-17.65650853866126</v>
      </c>
      <c r="AP11" s="172">
        <f t="shared" si="10"/>
        <v>-29.182711867065336</v>
      </c>
      <c r="AQ11" s="172">
        <f t="shared" si="11"/>
        <v>-78.85839730996058</v>
      </c>
      <c r="AR11" s="172">
        <f t="shared" si="12"/>
        <v>72.6978732678663</v>
      </c>
      <c r="AS11" s="172">
        <f t="shared" si="13"/>
        <v>-34.145034880872885</v>
      </c>
      <c r="AT11" s="172">
        <f t="shared" si="14"/>
        <v>-20.258826241020007</v>
      </c>
      <c r="AU11" s="173">
        <f t="shared" si="15"/>
        <v>-0.23361828893765235</v>
      </c>
      <c r="AV11" s="165"/>
      <c r="AW11" s="175"/>
      <c r="AX11" s="165"/>
      <c r="AY11" s="166"/>
      <c r="AZ11" s="166"/>
      <c r="BA11" s="166"/>
      <c r="BB11" s="166"/>
    </row>
    <row r="12" spans="3:54" ht="12.75">
      <c r="C12" s="174" t="str">
        <f>IF(Indice_index!$Z$1=1,"Segurança social","Social security")</f>
        <v>Segurança social</v>
      </c>
      <c r="D12" s="300">
        <v>7.39414647</v>
      </c>
      <c r="E12" s="300">
        <v>14.502378760000008</v>
      </c>
      <c r="F12" s="300">
        <v>86.07011798999999</v>
      </c>
      <c r="G12" s="300">
        <v>16.6575104</v>
      </c>
      <c r="H12" s="300">
        <v>436.28564744999994</v>
      </c>
      <c r="I12" s="300">
        <v>481.7054996999999</v>
      </c>
      <c r="J12" s="300">
        <v>165.29058044999996</v>
      </c>
      <c r="K12" s="300">
        <v>8.803659999999997</v>
      </c>
      <c r="L12" s="300">
        <v>23.155437290000002</v>
      </c>
      <c r="M12" s="300">
        <v>3.303010599999999</v>
      </c>
      <c r="N12" s="300">
        <v>784.9563769100004</v>
      </c>
      <c r="O12" s="300">
        <v>7.49863908</v>
      </c>
      <c r="P12" s="300">
        <v>2.88409734</v>
      </c>
      <c r="Q12" s="307">
        <f t="shared" si="18"/>
        <v>2038.5071024400002</v>
      </c>
      <c r="R12" s="163"/>
      <c r="S12" s="307">
        <v>5.100198590000001</v>
      </c>
      <c r="T12" s="307">
        <v>13.428737129999975</v>
      </c>
      <c r="U12" s="307">
        <v>66.09381342</v>
      </c>
      <c r="V12" s="307">
        <v>13.095759529999999</v>
      </c>
      <c r="W12" s="307">
        <v>393.14320357000014</v>
      </c>
      <c r="X12" s="307">
        <v>378.99738265999997</v>
      </c>
      <c r="Y12" s="307">
        <v>128.45271961999998</v>
      </c>
      <c r="Z12" s="307">
        <v>6.707736549999999</v>
      </c>
      <c r="AA12" s="307">
        <v>19.42598765</v>
      </c>
      <c r="AB12" s="307">
        <v>6.7407245300000005</v>
      </c>
      <c r="AC12" s="307">
        <v>623.2238761699994</v>
      </c>
      <c r="AD12" s="307">
        <v>6.204609580000003</v>
      </c>
      <c r="AE12" s="307">
        <v>2.8146296699999986</v>
      </c>
      <c r="AF12" s="292">
        <f>SUM(S12:AE12)</f>
        <v>1663.4293786699993</v>
      </c>
      <c r="AG12" s="163"/>
      <c r="AH12" s="172">
        <f t="shared" si="2"/>
        <v>44.977618802878794</v>
      </c>
      <c r="AI12" s="172">
        <f t="shared" si="3"/>
        <v>7.995104972317191</v>
      </c>
      <c r="AJ12" s="172">
        <f t="shared" si="4"/>
        <v>30.224167038234697</v>
      </c>
      <c r="AK12" s="172">
        <f t="shared" si="5"/>
        <v>27.197741847967492</v>
      </c>
      <c r="AL12" s="172">
        <f t="shared" si="6"/>
        <v>10.973722421814214</v>
      </c>
      <c r="AM12" s="172">
        <f t="shared" si="7"/>
        <v>27.09995417887616</v>
      </c>
      <c r="AN12" s="172">
        <f t="shared" si="8"/>
        <v>28.67814783445376</v>
      </c>
      <c r="AO12" s="172">
        <f t="shared" si="9"/>
        <v>31.246359101566064</v>
      </c>
      <c r="AP12" s="172">
        <f t="shared" si="10"/>
        <v>19.19824982489373</v>
      </c>
      <c r="AQ12" s="172">
        <f t="shared" si="11"/>
        <v>-50.999175455105</v>
      </c>
      <c r="AR12" s="172">
        <f t="shared" si="12"/>
        <v>25.95094747234693</v>
      </c>
      <c r="AS12" s="172">
        <f t="shared" si="13"/>
        <v>20.855937562472647</v>
      </c>
      <c r="AT12" s="172">
        <f t="shared" si="14"/>
        <v>2.4680927207024443</v>
      </c>
      <c r="AU12" s="173">
        <f t="shared" si="15"/>
        <v>22.548460943373232</v>
      </c>
      <c r="AV12" s="165"/>
      <c r="AW12" s="176"/>
      <c r="AX12" s="165"/>
      <c r="AY12" s="166"/>
      <c r="AZ12" s="166"/>
      <c r="BA12" s="166"/>
      <c r="BB12" s="166"/>
    </row>
    <row r="13" spans="3:54" ht="11.25" customHeight="1">
      <c r="C13" s="171" t="str">
        <f>IF(Indice_index!$Z$1=1,"Aquisição de bens e serviços correntes","Purchase of current goods and services")</f>
        <v>Aquisição de bens e serviços correntes</v>
      </c>
      <c r="D13" s="301">
        <f aca="true" t="shared" si="19" ref="D13:AF13">SUM(D14:D15)</f>
        <v>2.6772273700000007</v>
      </c>
      <c r="E13" s="301">
        <f t="shared" si="19"/>
        <v>22.912858180000004</v>
      </c>
      <c r="F13" s="301">
        <f t="shared" si="19"/>
        <v>636.4682010199997</v>
      </c>
      <c r="G13" s="301">
        <f t="shared" si="19"/>
        <v>31.51380934000001</v>
      </c>
      <c r="H13" s="301">
        <f t="shared" si="19"/>
        <v>399.23657670999955</v>
      </c>
      <c r="I13" s="301">
        <f t="shared" si="19"/>
        <v>208.11101953999997</v>
      </c>
      <c r="J13" s="301">
        <f t="shared" si="19"/>
        <v>139.6977001200001</v>
      </c>
      <c r="K13" s="301">
        <f t="shared" si="19"/>
        <v>15.47281267</v>
      </c>
      <c r="L13" s="301">
        <f t="shared" si="19"/>
        <v>32.28021035</v>
      </c>
      <c r="M13" s="301">
        <f t="shared" si="19"/>
        <v>20.798991339999986</v>
      </c>
      <c r="N13" s="301">
        <f t="shared" si="19"/>
        <v>86.72195041999997</v>
      </c>
      <c r="O13" s="301">
        <f t="shared" si="19"/>
        <v>7.65113886</v>
      </c>
      <c r="P13" s="301">
        <f t="shared" si="19"/>
        <v>3.883854460000001</v>
      </c>
      <c r="Q13" s="301">
        <f t="shared" si="19"/>
        <v>1607.4263503799993</v>
      </c>
      <c r="R13" s="163"/>
      <c r="S13" s="301">
        <f t="shared" si="19"/>
        <v>2.6529017600000007</v>
      </c>
      <c r="T13" s="301">
        <f t="shared" si="19"/>
        <v>25.618908330000004</v>
      </c>
      <c r="U13" s="301">
        <f t="shared" si="19"/>
        <v>621.3453413000002</v>
      </c>
      <c r="V13" s="301">
        <f t="shared" si="19"/>
        <v>33.166330240000015</v>
      </c>
      <c r="W13" s="301">
        <f t="shared" si="19"/>
        <v>394.35559568999986</v>
      </c>
      <c r="X13" s="301">
        <f t="shared" si="19"/>
        <v>197.71035368000014</v>
      </c>
      <c r="Y13" s="301">
        <f t="shared" si="19"/>
        <v>170.59324707000002</v>
      </c>
      <c r="Z13" s="301">
        <f t="shared" si="19"/>
        <v>14.550537260000011</v>
      </c>
      <c r="AA13" s="301">
        <f t="shared" si="19"/>
        <v>39.96558652</v>
      </c>
      <c r="AB13" s="301">
        <f>SUM(AB14:AB15)</f>
        <v>37.691220460000025</v>
      </c>
      <c r="AC13" s="301">
        <f t="shared" si="19"/>
        <v>95.58643325999998</v>
      </c>
      <c r="AD13" s="301">
        <f t="shared" si="19"/>
        <v>8.20369303</v>
      </c>
      <c r="AE13" s="301">
        <f t="shared" si="19"/>
        <v>8.566270629999998</v>
      </c>
      <c r="AF13" s="288">
        <f t="shared" si="19"/>
        <v>1650.0064192300003</v>
      </c>
      <c r="AG13" s="163"/>
      <c r="AH13" s="172">
        <f t="shared" si="2"/>
        <v>0.9169434905874536</v>
      </c>
      <c r="AI13" s="172">
        <f t="shared" si="3"/>
        <v>-10.562706713116214</v>
      </c>
      <c r="AJ13" s="172">
        <f t="shared" si="4"/>
        <v>2.433889612555705</v>
      </c>
      <c r="AK13" s="172">
        <f t="shared" si="5"/>
        <v>-4.982525615713116</v>
      </c>
      <c r="AL13" s="172">
        <f t="shared" si="6"/>
        <v>1.2377106026502536</v>
      </c>
      <c r="AM13" s="172">
        <f t="shared" si="7"/>
        <v>5.260557004937439</v>
      </c>
      <c r="AN13" s="172">
        <f t="shared" si="8"/>
        <v>-18.11065061521601</v>
      </c>
      <c r="AO13" s="172">
        <f t="shared" si="9"/>
        <v>6.3384285646644765</v>
      </c>
      <c r="AP13" s="172">
        <f t="shared" si="10"/>
        <v>-19.229984692340267</v>
      </c>
      <c r="AQ13" s="172">
        <f t="shared" si="11"/>
        <v>-44.81741082894089</v>
      </c>
      <c r="AR13" s="172">
        <f t="shared" si="12"/>
        <v>-9.273787647132059</v>
      </c>
      <c r="AS13" s="172">
        <f t="shared" si="13"/>
        <v>-6.735432054556051</v>
      </c>
      <c r="AT13" s="172">
        <f t="shared" si="14"/>
        <v>-54.661081493289196</v>
      </c>
      <c r="AU13" s="173">
        <f t="shared" si="15"/>
        <v>-2.58060019365692</v>
      </c>
      <c r="AV13" s="165"/>
      <c r="AW13" s="176"/>
      <c r="AX13" s="165"/>
      <c r="AY13" s="166"/>
      <c r="AZ13" s="166"/>
      <c r="BA13" s="166"/>
      <c r="BB13" s="166"/>
    </row>
    <row r="14" spans="3:54" ht="12.75" customHeight="1">
      <c r="C14" s="177" t="str">
        <f>IF(Indice_index!$Z$1=1,"Aquisição de bens","Purchase of goods")</f>
        <v>Aquisição de bens</v>
      </c>
      <c r="D14" s="300">
        <v>0.27343183000000004</v>
      </c>
      <c r="E14" s="300">
        <v>2.1961370000000007</v>
      </c>
      <c r="F14" s="300">
        <v>3.73402991</v>
      </c>
      <c r="G14" s="300">
        <v>0.5378999</v>
      </c>
      <c r="H14" s="300">
        <v>158.23138566999987</v>
      </c>
      <c r="I14" s="300">
        <v>56.861096149999995</v>
      </c>
      <c r="J14" s="300">
        <v>49.70573204000002</v>
      </c>
      <c r="K14" s="300">
        <v>1.9253174400000002</v>
      </c>
      <c r="L14" s="300">
        <v>4.662481229999996</v>
      </c>
      <c r="M14" s="300">
        <v>1.1649124700000004</v>
      </c>
      <c r="N14" s="300">
        <v>53.91863819999998</v>
      </c>
      <c r="O14" s="300">
        <v>0.5930457200000002</v>
      </c>
      <c r="P14" s="300">
        <v>0.36462638999999997</v>
      </c>
      <c r="Q14" s="301">
        <f t="shared" si="18"/>
        <v>334.1687339499999</v>
      </c>
      <c r="R14" s="163"/>
      <c r="S14" s="301">
        <v>0.28103901</v>
      </c>
      <c r="T14" s="301">
        <v>2.2719174500000014</v>
      </c>
      <c r="U14" s="301">
        <v>6.756581790000002</v>
      </c>
      <c r="V14" s="301">
        <v>0.42811067000000014</v>
      </c>
      <c r="W14" s="301">
        <v>165.27906319999994</v>
      </c>
      <c r="X14" s="301">
        <v>54.235613970000024</v>
      </c>
      <c r="Y14" s="301">
        <v>59.70558778000004</v>
      </c>
      <c r="Z14" s="301">
        <v>2.108669340000002</v>
      </c>
      <c r="AA14" s="301">
        <v>5.20476499</v>
      </c>
      <c r="AB14" s="301">
        <v>2.4072086100000014</v>
      </c>
      <c r="AC14" s="301">
        <v>53.262022460000004</v>
      </c>
      <c r="AD14" s="301">
        <v>0.6680373900000003</v>
      </c>
      <c r="AE14" s="301">
        <v>0.4108599700000001</v>
      </c>
      <c r="AF14" s="288">
        <f>SUM(S14:AE14)</f>
        <v>353.01947663000004</v>
      </c>
      <c r="AG14" s="163"/>
      <c r="AH14" s="172">
        <f t="shared" si="2"/>
        <v>-2.7068057206719938</v>
      </c>
      <c r="AI14" s="172">
        <f t="shared" si="3"/>
        <v>-3.335528322122828</v>
      </c>
      <c r="AJ14" s="172">
        <f t="shared" si="4"/>
        <v>-44.73492623849376</v>
      </c>
      <c r="AK14" s="172">
        <f t="shared" si="5"/>
        <v>25.64505808743328</v>
      </c>
      <c r="AL14" s="172">
        <f t="shared" si="6"/>
        <v>-4.264107863118669</v>
      </c>
      <c r="AM14" s="172">
        <f t="shared" si="7"/>
        <v>4.840882194958158</v>
      </c>
      <c r="AN14" s="172">
        <f t="shared" si="8"/>
        <v>-16.74860948835635</v>
      </c>
      <c r="AO14" s="172">
        <f t="shared" si="9"/>
        <v>-8.695147054208201</v>
      </c>
      <c r="AP14" s="172">
        <f t="shared" si="10"/>
        <v>-10.418986468013507</v>
      </c>
      <c r="AQ14" s="172">
        <f t="shared" si="11"/>
        <v>-51.6073320292752</v>
      </c>
      <c r="AR14" s="172">
        <f t="shared" si="12"/>
        <v>1.2328028671706923</v>
      </c>
      <c r="AS14" s="172">
        <f t="shared" si="13"/>
        <v>-11.22566956918385</v>
      </c>
      <c r="AT14" s="172">
        <f t="shared" si="14"/>
        <v>-11.252880147949215</v>
      </c>
      <c r="AU14" s="173">
        <f t="shared" si="15"/>
        <v>-5.339859109178172</v>
      </c>
      <c r="AV14" s="165"/>
      <c r="AW14" s="165"/>
      <c r="AX14" s="165"/>
      <c r="AY14" s="166"/>
      <c r="AZ14" s="166"/>
      <c r="BA14" s="166"/>
      <c r="BB14" s="166"/>
    </row>
    <row r="15" spans="3:54" ht="12.75" customHeight="1">
      <c r="C15" s="177" t="str">
        <f>IF(Indice_index!$Z$1=1,"Aquisição de serviços","Purchase of services")</f>
        <v>Aquisição de serviços</v>
      </c>
      <c r="D15" s="300">
        <v>2.4037955400000004</v>
      </c>
      <c r="E15" s="300">
        <v>20.716721180000004</v>
      </c>
      <c r="F15" s="300">
        <v>632.7341711099997</v>
      </c>
      <c r="G15" s="300">
        <v>30.97590944000001</v>
      </c>
      <c r="H15" s="300">
        <v>241.00519103999972</v>
      </c>
      <c r="I15" s="300">
        <v>151.24992339</v>
      </c>
      <c r="J15" s="300">
        <v>89.99196808000006</v>
      </c>
      <c r="K15" s="300">
        <v>13.547495229999999</v>
      </c>
      <c r="L15" s="300">
        <v>27.617729120000003</v>
      </c>
      <c r="M15" s="300">
        <v>19.634078869999986</v>
      </c>
      <c r="N15" s="300">
        <v>32.80331221999999</v>
      </c>
      <c r="O15" s="300">
        <v>7.0580931399999995</v>
      </c>
      <c r="P15" s="300">
        <v>3.5192280700000014</v>
      </c>
      <c r="Q15" s="301">
        <f t="shared" si="18"/>
        <v>1273.2576164299994</v>
      </c>
      <c r="R15" s="163"/>
      <c r="S15" s="301">
        <v>2.371862750000001</v>
      </c>
      <c r="T15" s="301">
        <v>23.346990880000003</v>
      </c>
      <c r="U15" s="301">
        <v>614.5887595100002</v>
      </c>
      <c r="V15" s="301">
        <v>32.73821957000001</v>
      </c>
      <c r="W15" s="301">
        <v>229.0765324899999</v>
      </c>
      <c r="X15" s="301">
        <v>143.4747397100001</v>
      </c>
      <c r="Y15" s="301">
        <v>110.88765928999999</v>
      </c>
      <c r="Z15" s="301">
        <v>12.441867920000009</v>
      </c>
      <c r="AA15" s="301">
        <v>34.76082153</v>
      </c>
      <c r="AB15" s="301">
        <v>35.28401185000003</v>
      </c>
      <c r="AC15" s="301">
        <v>42.324410799999974</v>
      </c>
      <c r="AD15" s="301">
        <v>7.53565564</v>
      </c>
      <c r="AE15" s="301">
        <v>8.155410659999998</v>
      </c>
      <c r="AF15" s="288">
        <f>SUM(S15:AE15)</f>
        <v>1296.9869426000002</v>
      </c>
      <c r="AG15" s="163"/>
      <c r="AH15" s="172">
        <f t="shared" si="2"/>
        <v>1.3463169401348993</v>
      </c>
      <c r="AI15" s="172">
        <f t="shared" si="3"/>
        <v>-11.265990180572679</v>
      </c>
      <c r="AJ15" s="172">
        <f t="shared" si="4"/>
        <v>2.9524476846056413</v>
      </c>
      <c r="AK15" s="172">
        <f t="shared" si="5"/>
        <v>-5.3830359535339944</v>
      </c>
      <c r="AL15" s="172">
        <f t="shared" si="6"/>
        <v>5.20728091190247</v>
      </c>
      <c r="AM15" s="172">
        <f t="shared" si="7"/>
        <v>5.419200408180255</v>
      </c>
      <c r="AN15" s="172">
        <f t="shared" si="8"/>
        <v>-18.844018661582776</v>
      </c>
      <c r="AO15" s="172">
        <f t="shared" si="9"/>
        <v>8.886345017557376</v>
      </c>
      <c r="AP15" s="172">
        <f t="shared" si="10"/>
        <v>-20.549262346504722</v>
      </c>
      <c r="AQ15" s="172">
        <f t="shared" si="11"/>
        <v>-44.35417674875322</v>
      </c>
      <c r="AR15" s="172">
        <f t="shared" si="12"/>
        <v>-22.495525395476957</v>
      </c>
      <c r="AS15" s="172">
        <f t="shared" si="13"/>
        <v>-6.337371594649996</v>
      </c>
      <c r="AT15" s="172">
        <f t="shared" si="14"/>
        <v>-56.847935478456925</v>
      </c>
      <c r="AU15" s="173">
        <f t="shared" si="15"/>
        <v>-1.8295732509405163</v>
      </c>
      <c r="AV15" s="165"/>
      <c r="AW15" s="165"/>
      <c r="AX15" s="165"/>
      <c r="AY15" s="166"/>
      <c r="AZ15" s="166"/>
      <c r="BA15" s="166"/>
      <c r="BB15" s="166"/>
    </row>
    <row r="16" spans="3:54" ht="12.75">
      <c r="C16" s="171" t="str">
        <f>IF(Indice_index!$Z$1=1,"Juros e outros encargos","Interests and other charges")</f>
        <v>Juros e outros encargos</v>
      </c>
      <c r="D16" s="300">
        <v>0.0014071799999999998</v>
      </c>
      <c r="E16" s="300">
        <v>0</v>
      </c>
      <c r="F16" s="300">
        <v>6841.69522317</v>
      </c>
      <c r="G16" s="300">
        <v>0.00761067</v>
      </c>
      <c r="H16" s="300">
        <v>0.68127967</v>
      </c>
      <c r="I16" s="300">
        <v>0.06272125</v>
      </c>
      <c r="J16" s="300">
        <v>0.012106700000000001</v>
      </c>
      <c r="K16" s="300">
        <v>0.030545350000000002</v>
      </c>
      <c r="L16" s="300">
        <v>0.09726159000000002</v>
      </c>
      <c r="M16" s="300">
        <v>0.00816355</v>
      </c>
      <c r="N16" s="300">
        <v>0</v>
      </c>
      <c r="O16" s="300">
        <v>3.7600000000000004E-06</v>
      </c>
      <c r="P16" s="300">
        <v>1.976E-05</v>
      </c>
      <c r="Q16" s="301">
        <f t="shared" si="18"/>
        <v>6842.596342649999</v>
      </c>
      <c r="R16" s="163"/>
      <c r="S16" s="301">
        <v>0.00201102</v>
      </c>
      <c r="T16" s="301">
        <v>3E-06</v>
      </c>
      <c r="U16" s="301">
        <v>6872.480806979999</v>
      </c>
      <c r="V16" s="301">
        <v>0.5192641499999999</v>
      </c>
      <c r="W16" s="301">
        <v>0.09408683</v>
      </c>
      <c r="X16" s="301">
        <v>0.37721257999999996</v>
      </c>
      <c r="Y16" s="301">
        <v>0</v>
      </c>
      <c r="Z16" s="301">
        <v>0.01075957</v>
      </c>
      <c r="AA16" s="301">
        <v>0.5120284199999999</v>
      </c>
      <c r="AB16" s="301">
        <v>0.0005647100000000001</v>
      </c>
      <c r="AC16" s="301">
        <v>0</v>
      </c>
      <c r="AD16" s="301">
        <v>0.00034292000000000003</v>
      </c>
      <c r="AE16" s="301">
        <v>0.01776389</v>
      </c>
      <c r="AF16" s="288">
        <f>SUM(S16:AE16)</f>
        <v>6874.0148440699995</v>
      </c>
      <c r="AG16" s="163"/>
      <c r="AH16" s="172">
        <f t="shared" si="2"/>
        <v>-30.02655368917267</v>
      </c>
      <c r="AI16" s="172">
        <f t="shared" si="3"/>
        <v>-100</v>
      </c>
      <c r="AJ16" s="172">
        <f t="shared" si="4"/>
        <v>-0.44795445305183335</v>
      </c>
      <c r="AK16" s="172">
        <f t="shared" si="5"/>
        <v>-98.5343355592717</v>
      </c>
      <c r="AL16" s="172" t="str">
        <f t="shared" si="6"/>
        <v>-</v>
      </c>
      <c r="AM16" s="172">
        <f t="shared" si="7"/>
        <v>-83.37243948756958</v>
      </c>
      <c r="AN16" s="172" t="str">
        <f t="shared" si="8"/>
        <v>-</v>
      </c>
      <c r="AO16" s="172" t="str">
        <f t="shared" si="9"/>
        <v>-</v>
      </c>
      <c r="AP16" s="172">
        <f t="shared" si="10"/>
        <v>-81.00465009344599</v>
      </c>
      <c r="AQ16" s="172" t="str">
        <f t="shared" si="11"/>
        <v>-</v>
      </c>
      <c r="AR16" s="172" t="str">
        <f t="shared" si="12"/>
        <v>-</v>
      </c>
      <c r="AS16" s="172">
        <f t="shared" si="13"/>
        <v>-98.90353435203546</v>
      </c>
      <c r="AT16" s="172">
        <f t="shared" si="14"/>
        <v>-99.88876310312662</v>
      </c>
      <c r="AU16" s="173">
        <f t="shared" si="15"/>
        <v>-0.45706187915936763</v>
      </c>
      <c r="AV16" s="165"/>
      <c r="AW16" s="165"/>
      <c r="AX16" s="165"/>
      <c r="AY16" s="166"/>
      <c r="AZ16" s="166"/>
      <c r="BA16" s="166"/>
      <c r="BB16" s="166"/>
    </row>
    <row r="17" spans="3:54" ht="12.75">
      <c r="C17" s="171" t="str">
        <f>IF(Indice_index!$Z$1=1,"Transferências correntes","Current transfers")</f>
        <v>Transferências correntes</v>
      </c>
      <c r="D17" s="301">
        <f>+D18+D23</f>
        <v>1888.85950363</v>
      </c>
      <c r="E17" s="301">
        <f aca="true" t="shared" si="20" ref="E17:Q17">+E18+E23</f>
        <v>112.26966687999999</v>
      </c>
      <c r="F17" s="301">
        <f t="shared" si="20"/>
        <v>6580.66462562</v>
      </c>
      <c r="G17" s="301">
        <f t="shared" si="20"/>
        <v>149.57805224</v>
      </c>
      <c r="H17" s="301">
        <f t="shared" si="20"/>
        <v>40.8596475</v>
      </c>
      <c r="I17" s="301">
        <f t="shared" si="20"/>
        <v>128.64515998</v>
      </c>
      <c r="J17" s="301">
        <f t="shared" si="20"/>
        <v>10.2858448</v>
      </c>
      <c r="K17" s="301">
        <f t="shared" si="20"/>
        <v>13.64200598</v>
      </c>
      <c r="L17" s="301">
        <f t="shared" si="20"/>
        <v>178.89021952000002</v>
      </c>
      <c r="M17" s="301">
        <f>+M18+M23</f>
        <v>7888.004271690001</v>
      </c>
      <c r="N17" s="301">
        <f t="shared" si="20"/>
        <v>2117.17594405</v>
      </c>
      <c r="O17" s="301">
        <f t="shared" si="20"/>
        <v>9381.344110940001</v>
      </c>
      <c r="P17" s="301">
        <f t="shared" si="20"/>
        <v>20.88892041</v>
      </c>
      <c r="Q17" s="301">
        <f t="shared" si="20"/>
        <v>28511.107973240003</v>
      </c>
      <c r="R17" s="163"/>
      <c r="S17" s="301">
        <f aca="true" t="shared" si="21" ref="S17:X17">+S18+S23</f>
        <v>1509.4363862400003</v>
      </c>
      <c r="T17" s="301">
        <f t="shared" si="21"/>
        <v>100.03555431999999</v>
      </c>
      <c r="U17" s="301">
        <f t="shared" si="21"/>
        <v>6516.47337825</v>
      </c>
      <c r="V17" s="301">
        <f t="shared" si="21"/>
        <v>122.62738468999999</v>
      </c>
      <c r="W17" s="301">
        <f t="shared" si="21"/>
        <v>17.97358115</v>
      </c>
      <c r="X17" s="301">
        <f t="shared" si="21"/>
        <v>102.23957115</v>
      </c>
      <c r="Y17" s="301">
        <f>+Y18+Y23</f>
        <v>16.99030587</v>
      </c>
      <c r="Z17" s="301">
        <f aca="true" t="shared" si="22" ref="Z17:AE17">+Z18+Z23</f>
        <v>21.452890300000004</v>
      </c>
      <c r="AA17" s="301">
        <f t="shared" si="22"/>
        <v>221.58816510999998</v>
      </c>
      <c r="AB17" s="301">
        <f>+AB18+AB23</f>
        <v>9702.84437707</v>
      </c>
      <c r="AC17" s="301">
        <f t="shared" si="22"/>
        <v>2007.4932910900002</v>
      </c>
      <c r="AD17" s="301">
        <f t="shared" si="22"/>
        <v>7863.51961758</v>
      </c>
      <c r="AE17" s="301">
        <f t="shared" si="22"/>
        <v>25.308579009999995</v>
      </c>
      <c r="AF17" s="288">
        <f>SUM(S17:AE17)</f>
        <v>28227.98308183</v>
      </c>
      <c r="AG17" s="163"/>
      <c r="AH17" s="172">
        <f t="shared" si="2"/>
        <v>25.13674116039704</v>
      </c>
      <c r="AI17" s="172">
        <f t="shared" si="3"/>
        <v>12.229764350447597</v>
      </c>
      <c r="AJ17" s="172">
        <f t="shared" si="4"/>
        <v>0.9850611464822551</v>
      </c>
      <c r="AK17" s="172">
        <f t="shared" si="5"/>
        <v>21.977690887015868</v>
      </c>
      <c r="AL17" s="172" t="str">
        <f t="shared" si="6"/>
        <v>-</v>
      </c>
      <c r="AM17" s="172">
        <f t="shared" si="7"/>
        <v>25.82717096031167</v>
      </c>
      <c r="AN17" s="172">
        <f t="shared" si="8"/>
        <v>-39.460508370471146</v>
      </c>
      <c r="AO17" s="172">
        <f t="shared" si="9"/>
        <v>-36.40947308624424</v>
      </c>
      <c r="AP17" s="172">
        <f t="shared" si="10"/>
        <v>-19.269055081892123</v>
      </c>
      <c r="AQ17" s="172">
        <f t="shared" si="11"/>
        <v>-18.704207084562476</v>
      </c>
      <c r="AR17" s="172">
        <f t="shared" si="12"/>
        <v>5.463662242200864</v>
      </c>
      <c r="AS17" s="172">
        <f t="shared" si="13"/>
        <v>19.30210093158147</v>
      </c>
      <c r="AT17" s="172">
        <f t="shared" si="14"/>
        <v>-17.4630847439269</v>
      </c>
      <c r="AU17" s="173">
        <f t="shared" si="15"/>
        <v>1.0029936980947367</v>
      </c>
      <c r="AV17" s="165"/>
      <c r="AW17" s="165"/>
      <c r="AX17" s="165"/>
      <c r="AY17" s="166"/>
      <c r="AZ17" s="166"/>
      <c r="BA17" s="166"/>
      <c r="BB17" s="166"/>
    </row>
    <row r="18" spans="3:54" ht="12.75">
      <c r="C18" s="174" t="str">
        <f>IF(Indice_index!$Z$1=1,"Administrações Públicas","General Government")</f>
        <v>Administrações Públicas</v>
      </c>
      <c r="D18" s="301">
        <f>+SUM(D19:D22)</f>
        <v>1888.37451753</v>
      </c>
      <c r="E18" s="301">
        <f aca="true" t="shared" si="23" ref="E18:Q18">+SUM(E19:E22)</f>
        <v>84.77853551</v>
      </c>
      <c r="F18" s="301">
        <f t="shared" si="23"/>
        <v>4624.54137862</v>
      </c>
      <c r="G18" s="301">
        <f t="shared" si="23"/>
        <v>61.795151</v>
      </c>
      <c r="H18" s="301">
        <f t="shared" si="23"/>
        <v>17.40383936</v>
      </c>
      <c r="I18" s="301">
        <f t="shared" si="23"/>
        <v>122.57501980999999</v>
      </c>
      <c r="J18" s="301">
        <f t="shared" si="23"/>
        <v>6.61726475</v>
      </c>
      <c r="K18" s="301">
        <f t="shared" si="23"/>
        <v>13.14715393</v>
      </c>
      <c r="L18" s="301">
        <f t="shared" si="23"/>
        <v>172.01738431</v>
      </c>
      <c r="M18" s="301">
        <f>+SUM(M19:M22)</f>
        <v>7879.654497760001</v>
      </c>
      <c r="N18" s="301">
        <f t="shared" si="23"/>
        <v>1662.4290474299999</v>
      </c>
      <c r="O18" s="301">
        <f t="shared" si="23"/>
        <v>9378.4056127</v>
      </c>
      <c r="P18" s="301">
        <f t="shared" si="23"/>
        <v>19.238747</v>
      </c>
      <c r="Q18" s="301">
        <f t="shared" si="23"/>
        <v>25930.97814971</v>
      </c>
      <c r="R18" s="163"/>
      <c r="S18" s="301">
        <f aca="true" t="shared" si="24" ref="S18:AF18">+SUM(S19:S22)</f>
        <v>1508.8894781600002</v>
      </c>
      <c r="T18" s="301">
        <f t="shared" si="24"/>
        <v>75.11023589999999</v>
      </c>
      <c r="U18" s="301">
        <f t="shared" si="24"/>
        <v>4724.152064049999</v>
      </c>
      <c r="V18" s="301">
        <f t="shared" si="24"/>
        <v>50.403951369999994</v>
      </c>
      <c r="W18" s="301">
        <f t="shared" si="24"/>
        <v>6.512399869999999</v>
      </c>
      <c r="X18" s="301">
        <f t="shared" si="24"/>
        <v>95.0520812</v>
      </c>
      <c r="Y18" s="301">
        <f t="shared" si="24"/>
        <v>14.263587300000001</v>
      </c>
      <c r="Z18" s="301">
        <f t="shared" si="24"/>
        <v>20.981104270000003</v>
      </c>
      <c r="AA18" s="301">
        <f t="shared" si="24"/>
        <v>213.45649468</v>
      </c>
      <c r="AB18" s="301">
        <f t="shared" si="24"/>
        <v>9698.05627682</v>
      </c>
      <c r="AC18" s="301">
        <f t="shared" si="24"/>
        <v>1534.7237028700004</v>
      </c>
      <c r="AD18" s="301">
        <f t="shared" si="24"/>
        <v>7859.647711680001</v>
      </c>
      <c r="AE18" s="301">
        <f t="shared" si="24"/>
        <v>23.418907959999995</v>
      </c>
      <c r="AF18" s="288">
        <f t="shared" si="24"/>
        <v>25824.66799613</v>
      </c>
      <c r="AG18" s="163"/>
      <c r="AH18" s="172">
        <f t="shared" si="2"/>
        <v>25.14995596846225</v>
      </c>
      <c r="AI18" s="172">
        <f t="shared" si="3"/>
        <v>12.87214651125867</v>
      </c>
      <c r="AJ18" s="172">
        <f t="shared" si="4"/>
        <v>-2.1085410477791386</v>
      </c>
      <c r="AK18" s="172">
        <f t="shared" si="5"/>
        <v>22.599814737500814</v>
      </c>
      <c r="AL18" s="172" t="str">
        <f t="shared" si="6"/>
        <v>-</v>
      </c>
      <c r="AM18" s="172">
        <f t="shared" si="7"/>
        <v>28.95564017382081</v>
      </c>
      <c r="AN18" s="172">
        <f t="shared" si="8"/>
        <v>-53.60728959116757</v>
      </c>
      <c r="AO18" s="172">
        <f t="shared" si="9"/>
        <v>-37.33812214641838</v>
      </c>
      <c r="AP18" s="172">
        <f t="shared" si="10"/>
        <v>-19.4133752791747</v>
      </c>
      <c r="AQ18" s="172">
        <f t="shared" si="11"/>
        <v>-18.750167323799594</v>
      </c>
      <c r="AR18" s="172">
        <f t="shared" si="12"/>
        <v>8.321064196844352</v>
      </c>
      <c r="AS18" s="172">
        <f t="shared" si="13"/>
        <v>19.323485692151525</v>
      </c>
      <c r="AT18" s="172">
        <f t="shared" si="14"/>
        <v>-17.849512740473642</v>
      </c>
      <c r="AU18" s="173">
        <f t="shared" si="15"/>
        <v>0.4116612596759532</v>
      </c>
      <c r="AV18" s="165"/>
      <c r="AW18" s="165"/>
      <c r="AX18" s="165"/>
      <c r="AY18" s="166"/>
      <c r="AZ18" s="166"/>
      <c r="BA18" s="166"/>
      <c r="BB18" s="166"/>
    </row>
    <row r="19" spans="3:54" ht="12.75">
      <c r="C19" s="178" t="str">
        <f>IF(Indice_index!$Z$1=1,"Administração Central","Central Government")</f>
        <v>Administração Central</v>
      </c>
      <c r="D19" s="300">
        <v>142.24840091</v>
      </c>
      <c r="E19" s="300">
        <v>84.39745981</v>
      </c>
      <c r="F19" s="300">
        <v>4611.05722246</v>
      </c>
      <c r="G19" s="300">
        <v>61.795151</v>
      </c>
      <c r="H19" s="300">
        <v>17.275619</v>
      </c>
      <c r="I19" s="300">
        <v>116.97852538</v>
      </c>
      <c r="J19" s="300">
        <v>6.61726475</v>
      </c>
      <c r="K19" s="300">
        <v>13.05214612</v>
      </c>
      <c r="L19" s="300">
        <v>172.01738431</v>
      </c>
      <c r="M19" s="300">
        <v>7879.654497760001</v>
      </c>
      <c r="N19" s="300">
        <v>1131.87655024</v>
      </c>
      <c r="O19" s="300">
        <v>0.3841657100000001</v>
      </c>
      <c r="P19" s="300">
        <v>19.238747</v>
      </c>
      <c r="Q19" s="301">
        <f t="shared" si="18"/>
        <v>14256.59313445</v>
      </c>
      <c r="R19" s="163"/>
      <c r="S19" s="301">
        <v>92.95015933</v>
      </c>
      <c r="T19" s="301">
        <v>75.0609379</v>
      </c>
      <c r="U19" s="301">
        <v>4711.6292780799995</v>
      </c>
      <c r="V19" s="301">
        <v>50.403951369999994</v>
      </c>
      <c r="W19" s="301">
        <v>6.459281</v>
      </c>
      <c r="X19" s="301">
        <v>93.68083646000001</v>
      </c>
      <c r="Y19" s="301">
        <v>14.263587300000001</v>
      </c>
      <c r="Z19" s="301">
        <v>13.30313791</v>
      </c>
      <c r="AA19" s="301">
        <v>212.39255301</v>
      </c>
      <c r="AB19" s="301">
        <v>9698.05627682</v>
      </c>
      <c r="AC19" s="301">
        <v>1075.2575268000003</v>
      </c>
      <c r="AD19" s="301">
        <v>0.42483887</v>
      </c>
      <c r="AE19" s="301">
        <v>23.218907959999996</v>
      </c>
      <c r="AF19" s="288">
        <f aca="true" t="shared" si="25" ref="AF19:AF26">SUM(S19:AE19)</f>
        <v>16067.10127281</v>
      </c>
      <c r="AG19" s="163"/>
      <c r="AH19" s="172">
        <f t="shared" si="2"/>
        <v>53.03728571887321</v>
      </c>
      <c r="AI19" s="172">
        <f t="shared" si="3"/>
        <v>12.438589459724833</v>
      </c>
      <c r="AJ19" s="172">
        <f t="shared" si="4"/>
        <v>-2.134549424079112</v>
      </c>
      <c r="AK19" s="172">
        <f t="shared" si="5"/>
        <v>22.599814737500814</v>
      </c>
      <c r="AL19" s="172" t="str">
        <f t="shared" si="6"/>
        <v>-</v>
      </c>
      <c r="AM19" s="172">
        <f t="shared" si="7"/>
        <v>24.869215306321127</v>
      </c>
      <c r="AN19" s="172">
        <f t="shared" si="8"/>
        <v>-53.60728959116757</v>
      </c>
      <c r="AO19" s="172">
        <f t="shared" si="9"/>
        <v>-1.886711178205026</v>
      </c>
      <c r="AP19" s="172">
        <f t="shared" si="10"/>
        <v>-19.0096913134704</v>
      </c>
      <c r="AQ19" s="172">
        <f t="shared" si="11"/>
        <v>-18.750167323799594</v>
      </c>
      <c r="AR19" s="172">
        <f t="shared" si="12"/>
        <v>5.265624469377081</v>
      </c>
      <c r="AS19" s="172">
        <f t="shared" si="13"/>
        <v>-9.573784997592117</v>
      </c>
      <c r="AT19" s="172">
        <f t="shared" si="14"/>
        <v>-17.14189559154442</v>
      </c>
      <c r="AU19" s="173">
        <f t="shared" si="15"/>
        <v>-11.268418040184274</v>
      </c>
      <c r="AV19" s="165"/>
      <c r="AW19" s="165"/>
      <c r="AX19" s="165"/>
      <c r="AY19" s="166"/>
      <c r="AZ19" s="166"/>
      <c r="BA19" s="166"/>
      <c r="BB19" s="166"/>
    </row>
    <row r="20" spans="3:54" ht="12.75">
      <c r="C20" s="178" t="str">
        <f>IF(Indice_index!$Z$1=1,"Administração Regional","Regional Government")</f>
        <v>Administração Regional</v>
      </c>
      <c r="D20" s="300">
        <v>0</v>
      </c>
      <c r="E20" s="300">
        <v>0</v>
      </c>
      <c r="F20" s="300">
        <v>0</v>
      </c>
      <c r="G20" s="300">
        <v>0</v>
      </c>
      <c r="H20" s="300">
        <v>0</v>
      </c>
      <c r="I20" s="300">
        <v>0</v>
      </c>
      <c r="J20" s="300">
        <v>0</v>
      </c>
      <c r="K20" s="300">
        <v>0</v>
      </c>
      <c r="L20" s="300">
        <v>0</v>
      </c>
      <c r="M20" s="300">
        <v>0</v>
      </c>
      <c r="N20" s="300">
        <v>0</v>
      </c>
      <c r="O20" s="300">
        <v>0</v>
      </c>
      <c r="P20" s="300">
        <v>0</v>
      </c>
      <c r="Q20" s="301">
        <f t="shared" si="18"/>
        <v>0</v>
      </c>
      <c r="R20" s="163"/>
      <c r="S20" s="301">
        <v>0</v>
      </c>
      <c r="T20" s="301">
        <v>0</v>
      </c>
      <c r="U20" s="301">
        <v>0</v>
      </c>
      <c r="V20" s="301">
        <v>0</v>
      </c>
      <c r="W20" s="301">
        <v>0</v>
      </c>
      <c r="X20" s="301">
        <v>0</v>
      </c>
      <c r="Y20" s="301">
        <v>0</v>
      </c>
      <c r="Z20" s="301">
        <v>7.671966360000001</v>
      </c>
      <c r="AA20" s="301">
        <v>0</v>
      </c>
      <c r="AB20" s="301">
        <v>0</v>
      </c>
      <c r="AC20" s="301">
        <v>0</v>
      </c>
      <c r="AD20" s="301">
        <v>0</v>
      </c>
      <c r="AE20" s="301">
        <v>0</v>
      </c>
      <c r="AF20" s="288">
        <f t="shared" si="25"/>
        <v>7.671966360000001</v>
      </c>
      <c r="AG20" s="163"/>
      <c r="AH20" s="172" t="str">
        <f t="shared" si="2"/>
        <v>-</v>
      </c>
      <c r="AI20" s="172" t="str">
        <f t="shared" si="3"/>
        <v>-</v>
      </c>
      <c r="AJ20" s="172" t="str">
        <f t="shared" si="4"/>
        <v>-</v>
      </c>
      <c r="AK20" s="172" t="str">
        <f t="shared" si="5"/>
        <v>-</v>
      </c>
      <c r="AL20" s="172" t="str">
        <f t="shared" si="6"/>
        <v>-</v>
      </c>
      <c r="AM20" s="172" t="str">
        <f t="shared" si="7"/>
        <v>-</v>
      </c>
      <c r="AN20" s="172" t="str">
        <f t="shared" si="8"/>
        <v>-</v>
      </c>
      <c r="AO20" s="172">
        <f t="shared" si="9"/>
        <v>-100</v>
      </c>
      <c r="AP20" s="172" t="str">
        <f t="shared" si="10"/>
        <v>-</v>
      </c>
      <c r="AQ20" s="172" t="str">
        <f t="shared" si="11"/>
        <v>-</v>
      </c>
      <c r="AR20" s="172" t="str">
        <f t="shared" si="12"/>
        <v>-</v>
      </c>
      <c r="AS20" s="172" t="str">
        <f t="shared" si="13"/>
        <v>-</v>
      </c>
      <c r="AT20" s="172" t="str">
        <f t="shared" si="14"/>
        <v>-</v>
      </c>
      <c r="AU20" s="173">
        <f t="shared" si="15"/>
        <v>-100</v>
      </c>
      <c r="AV20" s="165"/>
      <c r="AW20" s="165"/>
      <c r="AX20" s="165"/>
      <c r="AY20" s="166"/>
      <c r="AZ20" s="166"/>
      <c r="BA20" s="166"/>
      <c r="BB20" s="166"/>
    </row>
    <row r="21" spans="3:57" ht="12.75">
      <c r="C21" s="178" t="str">
        <f>IF(Indice_index!$Z$1=1,"Administração Local","Local Government")</f>
        <v>Administração Local</v>
      </c>
      <c r="D21" s="300">
        <v>1746.12611662</v>
      </c>
      <c r="E21" s="300">
        <v>0.3810757000000001</v>
      </c>
      <c r="F21" s="300">
        <v>0</v>
      </c>
      <c r="G21" s="300">
        <v>0</v>
      </c>
      <c r="H21" s="300">
        <v>0</v>
      </c>
      <c r="I21" s="300">
        <v>5.596494429999994</v>
      </c>
      <c r="J21" s="300">
        <v>0</v>
      </c>
      <c r="K21" s="300">
        <v>0.0015</v>
      </c>
      <c r="L21" s="300">
        <v>0</v>
      </c>
      <c r="M21" s="300">
        <v>0</v>
      </c>
      <c r="N21" s="300">
        <v>371.72821830999993</v>
      </c>
      <c r="O21" s="300">
        <v>0</v>
      </c>
      <c r="P21" s="300">
        <v>0</v>
      </c>
      <c r="Q21" s="301">
        <f t="shared" si="18"/>
        <v>2123.83340506</v>
      </c>
      <c r="R21" s="163"/>
      <c r="S21" s="301">
        <v>1415.9393188300003</v>
      </c>
      <c r="T21" s="301">
        <v>0.049298</v>
      </c>
      <c r="U21" s="301">
        <v>0</v>
      </c>
      <c r="V21" s="301">
        <v>0</v>
      </c>
      <c r="W21" s="301">
        <v>0</v>
      </c>
      <c r="X21" s="301">
        <v>1.3712447399999999</v>
      </c>
      <c r="Y21" s="301">
        <v>0</v>
      </c>
      <c r="Z21" s="301">
        <v>0.006</v>
      </c>
      <c r="AA21" s="301">
        <v>1.06394167</v>
      </c>
      <c r="AB21" s="301">
        <v>0</v>
      </c>
      <c r="AC21" s="301">
        <v>364.32802508</v>
      </c>
      <c r="AD21" s="301">
        <v>0</v>
      </c>
      <c r="AE21" s="301">
        <v>0.2</v>
      </c>
      <c r="AF21" s="288">
        <f t="shared" si="25"/>
        <v>1782.9578283200005</v>
      </c>
      <c r="AG21" s="163"/>
      <c r="AH21" s="172">
        <f t="shared" si="2"/>
        <v>23.31927600279051</v>
      </c>
      <c r="AI21" s="172" t="str">
        <f t="shared" si="3"/>
        <v>-</v>
      </c>
      <c r="AJ21" s="172" t="str">
        <f t="shared" si="4"/>
        <v>-</v>
      </c>
      <c r="AK21" s="172" t="str">
        <f t="shared" si="5"/>
        <v>-</v>
      </c>
      <c r="AL21" s="172" t="str">
        <f t="shared" si="6"/>
        <v>-</v>
      </c>
      <c r="AM21" s="172" t="str">
        <f t="shared" si="7"/>
        <v>-</v>
      </c>
      <c r="AN21" s="172" t="str">
        <f t="shared" si="8"/>
        <v>-</v>
      </c>
      <c r="AO21" s="172">
        <f t="shared" si="9"/>
        <v>-75.00000000000001</v>
      </c>
      <c r="AP21" s="172">
        <f t="shared" si="10"/>
        <v>-100</v>
      </c>
      <c r="AQ21" s="172" t="str">
        <f t="shared" si="11"/>
        <v>-</v>
      </c>
      <c r="AR21" s="172">
        <f t="shared" si="12"/>
        <v>2.0311896753962326</v>
      </c>
      <c r="AS21" s="172" t="str">
        <f t="shared" si="13"/>
        <v>-</v>
      </c>
      <c r="AT21" s="172">
        <f t="shared" si="14"/>
        <v>-100</v>
      </c>
      <c r="AU21" s="173">
        <f t="shared" si="15"/>
        <v>19.118543990532352</v>
      </c>
      <c r="AV21" s="165"/>
      <c r="AW21" s="165"/>
      <c r="AX21" s="165"/>
      <c r="AY21" s="166"/>
      <c r="AZ21" s="166"/>
      <c r="BA21" s="166"/>
      <c r="BB21" s="166"/>
      <c r="BC21" s="154"/>
      <c r="BD21" s="154"/>
      <c r="BE21" s="154"/>
    </row>
    <row r="22" spans="3:54" ht="12.75">
      <c r="C22" s="178" t="str">
        <f>IF(Indice_index!$Z$1=1,"Segurança Social","Social Security")</f>
        <v>Segurança Social</v>
      </c>
      <c r="D22" s="300">
        <v>0</v>
      </c>
      <c r="E22" s="300">
        <v>0</v>
      </c>
      <c r="F22" s="300">
        <v>13.48415616</v>
      </c>
      <c r="G22" s="300">
        <v>0</v>
      </c>
      <c r="H22" s="300">
        <v>0.12822036</v>
      </c>
      <c r="I22" s="300">
        <v>0</v>
      </c>
      <c r="J22" s="300">
        <v>0</v>
      </c>
      <c r="K22" s="300">
        <v>0.09350781</v>
      </c>
      <c r="L22" s="300">
        <v>0</v>
      </c>
      <c r="M22" s="300">
        <v>0</v>
      </c>
      <c r="N22" s="300">
        <v>158.82427888</v>
      </c>
      <c r="O22" s="300">
        <v>9378.02144699</v>
      </c>
      <c r="P22" s="300">
        <v>0</v>
      </c>
      <c r="Q22" s="301">
        <f t="shared" si="18"/>
        <v>9550.5516102</v>
      </c>
      <c r="R22" s="163"/>
      <c r="S22" s="301">
        <v>0</v>
      </c>
      <c r="T22" s="301">
        <v>0</v>
      </c>
      <c r="U22" s="301">
        <v>12.52278597</v>
      </c>
      <c r="V22" s="301">
        <v>0</v>
      </c>
      <c r="W22" s="301">
        <v>0.053118870000000006</v>
      </c>
      <c r="X22" s="301">
        <v>0</v>
      </c>
      <c r="Y22" s="301">
        <v>0</v>
      </c>
      <c r="Z22" s="301">
        <v>0</v>
      </c>
      <c r="AA22" s="301">
        <v>0</v>
      </c>
      <c r="AB22" s="301">
        <v>0</v>
      </c>
      <c r="AC22" s="301">
        <v>95.13815099</v>
      </c>
      <c r="AD22" s="301">
        <v>7859.222872810001</v>
      </c>
      <c r="AE22" s="301">
        <v>0</v>
      </c>
      <c r="AF22" s="288">
        <f t="shared" si="25"/>
        <v>7966.936928640001</v>
      </c>
      <c r="AG22" s="163"/>
      <c r="AH22" s="172" t="str">
        <f t="shared" si="2"/>
        <v>-</v>
      </c>
      <c r="AI22" s="172" t="str">
        <f t="shared" si="3"/>
        <v>-</v>
      </c>
      <c r="AJ22" s="172">
        <f t="shared" si="4"/>
        <v>7.676967348185064</v>
      </c>
      <c r="AK22" s="172" t="str">
        <f t="shared" si="5"/>
        <v>-</v>
      </c>
      <c r="AL22" s="172" t="str">
        <f t="shared" si="6"/>
        <v>-</v>
      </c>
      <c r="AM22" s="172" t="str">
        <f t="shared" si="7"/>
        <v>-</v>
      </c>
      <c r="AN22" s="172" t="str">
        <f t="shared" si="8"/>
        <v>-</v>
      </c>
      <c r="AO22" s="172" t="str">
        <f t="shared" si="9"/>
        <v>-</v>
      </c>
      <c r="AP22" s="172" t="str">
        <f t="shared" si="10"/>
        <v>-</v>
      </c>
      <c r="AQ22" s="172" t="str">
        <f t="shared" si="11"/>
        <v>-</v>
      </c>
      <c r="AR22" s="172">
        <f t="shared" si="12"/>
        <v>66.94068281471445</v>
      </c>
      <c r="AS22" s="172">
        <f t="shared" si="13"/>
        <v>19.325047765657335</v>
      </c>
      <c r="AT22" s="172" t="str">
        <f t="shared" si="14"/>
        <v>-</v>
      </c>
      <c r="AU22" s="173">
        <f t="shared" si="15"/>
        <v>19.87733423453035</v>
      </c>
      <c r="AV22" s="165"/>
      <c r="AW22" s="165"/>
      <c r="AX22" s="165"/>
      <c r="AY22" s="166"/>
      <c r="AZ22" s="166"/>
      <c r="BA22" s="166"/>
      <c r="BB22" s="166"/>
    </row>
    <row r="23" spans="3:54" ht="12.75">
      <c r="C23" s="174" t="str">
        <f>IF(Indice_index!$Z$1=1,"Outras transferências correntes","Other current transfers")</f>
        <v>Outras transferências correntes</v>
      </c>
      <c r="D23" s="300">
        <v>0.48498610000000003</v>
      </c>
      <c r="E23" s="300">
        <v>27.491131369999998</v>
      </c>
      <c r="F23" s="300">
        <v>1956.123247</v>
      </c>
      <c r="G23" s="300">
        <v>87.78290124</v>
      </c>
      <c r="H23" s="300">
        <v>23.455808140000002</v>
      </c>
      <c r="I23" s="300">
        <v>6.07014017</v>
      </c>
      <c r="J23" s="300">
        <v>3.66858005</v>
      </c>
      <c r="K23" s="300">
        <v>0.49485205000000004</v>
      </c>
      <c r="L23" s="300">
        <v>6.872835210000001</v>
      </c>
      <c r="M23" s="300">
        <v>8.349773930000001</v>
      </c>
      <c r="N23" s="300">
        <v>454.74689662000003</v>
      </c>
      <c r="O23" s="300">
        <v>2.9384982400000004</v>
      </c>
      <c r="P23" s="300">
        <v>1.65017341</v>
      </c>
      <c r="Q23" s="301">
        <f t="shared" si="18"/>
        <v>2580.1298235300005</v>
      </c>
      <c r="R23" s="163"/>
      <c r="S23" s="301">
        <v>0.5469080800000001</v>
      </c>
      <c r="T23" s="301">
        <v>24.925318419999996</v>
      </c>
      <c r="U23" s="301">
        <v>1792.3213142000002</v>
      </c>
      <c r="V23" s="301">
        <v>72.22343332</v>
      </c>
      <c r="W23" s="301">
        <v>11.461181280000002</v>
      </c>
      <c r="X23" s="301">
        <v>7.187489949999999</v>
      </c>
      <c r="Y23" s="301">
        <v>2.7267185699999996</v>
      </c>
      <c r="Z23" s="301">
        <v>0.47178603</v>
      </c>
      <c r="AA23" s="301">
        <v>8.13167043</v>
      </c>
      <c r="AB23" s="301">
        <v>4.78810025</v>
      </c>
      <c r="AC23" s="301">
        <v>472.7695882199999</v>
      </c>
      <c r="AD23" s="301">
        <v>3.8719059000000002</v>
      </c>
      <c r="AE23" s="301">
        <v>1.88967105</v>
      </c>
      <c r="AF23" s="288">
        <f t="shared" si="25"/>
        <v>2403.3150857</v>
      </c>
      <c r="AG23" s="163"/>
      <c r="AH23" s="172">
        <f t="shared" si="2"/>
        <v>-11.32219147319968</v>
      </c>
      <c r="AI23" s="172">
        <f t="shared" si="3"/>
        <v>10.294002695432775</v>
      </c>
      <c r="AJ23" s="172">
        <f t="shared" si="4"/>
        <v>9.139094173698009</v>
      </c>
      <c r="AK23" s="172">
        <f t="shared" si="5"/>
        <v>21.543517394224043</v>
      </c>
      <c r="AL23" s="172" t="str">
        <f t="shared" si="6"/>
        <v>-</v>
      </c>
      <c r="AM23" s="172">
        <f t="shared" si="7"/>
        <v>-15.54575780659003</v>
      </c>
      <c r="AN23" s="172">
        <f t="shared" si="8"/>
        <v>34.541939544571356</v>
      </c>
      <c r="AO23" s="172">
        <f t="shared" si="9"/>
        <v>4.889084994737979</v>
      </c>
      <c r="AP23" s="172">
        <f t="shared" si="10"/>
        <v>-15.480647313936934</v>
      </c>
      <c r="AQ23" s="172">
        <f t="shared" si="11"/>
        <v>74.3859462842283</v>
      </c>
      <c r="AR23" s="172">
        <f t="shared" si="12"/>
        <v>-3.812151214687086</v>
      </c>
      <c r="AS23" s="172">
        <f t="shared" si="13"/>
        <v>-24.107188658691314</v>
      </c>
      <c r="AT23" s="172">
        <f t="shared" si="14"/>
        <v>-12.6740386904906</v>
      </c>
      <c r="AU23" s="173">
        <f t="shared" si="15"/>
        <v>7.357118460332914</v>
      </c>
      <c r="AV23" s="165"/>
      <c r="AW23" s="165"/>
      <c r="AX23" s="165"/>
      <c r="AY23" s="166"/>
      <c r="AZ23" s="166"/>
      <c r="BA23" s="166"/>
      <c r="BB23" s="166"/>
    </row>
    <row r="24" spans="3:54" ht="12.75">
      <c r="C24" s="171" t="str">
        <f>IF(Indice_index!$Z$1=1,"Subsídios","Subsidies")</f>
        <v>Subsídios</v>
      </c>
      <c r="D24" s="300">
        <v>0.0003</v>
      </c>
      <c r="E24" s="300">
        <v>4.06866843</v>
      </c>
      <c r="F24" s="300">
        <v>404.65608844</v>
      </c>
      <c r="G24" s="300">
        <v>0</v>
      </c>
      <c r="H24" s="300">
        <v>0.1055228</v>
      </c>
      <c r="I24" s="300">
        <v>0</v>
      </c>
      <c r="J24" s="300">
        <v>0</v>
      </c>
      <c r="K24" s="300">
        <v>0</v>
      </c>
      <c r="L24" s="300">
        <v>0</v>
      </c>
      <c r="M24" s="300">
        <v>0</v>
      </c>
      <c r="N24" s="300">
        <v>0</v>
      </c>
      <c r="O24" s="300">
        <v>0</v>
      </c>
      <c r="P24" s="300">
        <v>0</v>
      </c>
      <c r="Q24" s="301">
        <f t="shared" si="18"/>
        <v>408.83057967</v>
      </c>
      <c r="R24" s="163"/>
      <c r="S24" s="301">
        <v>0.0003</v>
      </c>
      <c r="T24" s="301">
        <v>4.3608728800000005</v>
      </c>
      <c r="U24" s="301">
        <v>242.71994652000004</v>
      </c>
      <c r="V24" s="301">
        <v>0</v>
      </c>
      <c r="W24" s="301">
        <v>0.14650832</v>
      </c>
      <c r="X24" s="301">
        <v>0</v>
      </c>
      <c r="Y24" s="301">
        <v>0</v>
      </c>
      <c r="Z24" s="301">
        <v>0</v>
      </c>
      <c r="AA24" s="301">
        <v>0</v>
      </c>
      <c r="AB24" s="301">
        <v>0</v>
      </c>
      <c r="AC24" s="301">
        <v>0</v>
      </c>
      <c r="AD24" s="301">
        <v>0</v>
      </c>
      <c r="AE24" s="301">
        <v>0</v>
      </c>
      <c r="AF24" s="288">
        <f t="shared" si="25"/>
        <v>247.22762772000004</v>
      </c>
      <c r="AG24" s="163"/>
      <c r="AH24" s="172">
        <f t="shared" si="2"/>
        <v>0</v>
      </c>
      <c r="AI24" s="172">
        <f t="shared" si="3"/>
        <v>-6.700595455100738</v>
      </c>
      <c r="AJ24" s="172">
        <f t="shared" si="4"/>
        <v>66.71727818078458</v>
      </c>
      <c r="AK24" s="172" t="str">
        <f t="shared" si="5"/>
        <v>-</v>
      </c>
      <c r="AL24" s="172">
        <f t="shared" si="6"/>
        <v>-27.974875420044405</v>
      </c>
      <c r="AM24" s="172" t="str">
        <f t="shared" si="7"/>
        <v>-</v>
      </c>
      <c r="AN24" s="172" t="str">
        <f t="shared" si="8"/>
        <v>-</v>
      </c>
      <c r="AO24" s="172" t="str">
        <f t="shared" si="9"/>
        <v>-</v>
      </c>
      <c r="AP24" s="172" t="str">
        <f t="shared" si="10"/>
        <v>-</v>
      </c>
      <c r="AQ24" s="172" t="str">
        <f t="shared" si="11"/>
        <v>-</v>
      </c>
      <c r="AR24" s="172" t="str">
        <f t="shared" si="12"/>
        <v>-</v>
      </c>
      <c r="AS24" s="172" t="str">
        <f t="shared" si="13"/>
        <v>-</v>
      </c>
      <c r="AT24" s="172" t="str">
        <f t="shared" si="14"/>
        <v>-</v>
      </c>
      <c r="AU24" s="173">
        <f t="shared" si="15"/>
        <v>65.36605695744689</v>
      </c>
      <c r="AV24" s="165"/>
      <c r="AW24" s="165"/>
      <c r="AX24" s="165"/>
      <c r="AY24" s="166"/>
      <c r="AZ24" s="166"/>
      <c r="BA24" s="166"/>
      <c r="BB24" s="166"/>
    </row>
    <row r="25" spans="3:54" ht="12.75">
      <c r="C25" s="171" t="str">
        <f>IF(Indice_index!$Z$1=1,"Outras despesas correntes","Other current expenditure")</f>
        <v>Outras despesas correntes</v>
      </c>
      <c r="D25" s="300">
        <v>0.04518047</v>
      </c>
      <c r="E25" s="300">
        <v>0.29306714999999994</v>
      </c>
      <c r="F25" s="300">
        <v>26.653168169999997</v>
      </c>
      <c r="G25" s="300">
        <v>12.971646</v>
      </c>
      <c r="H25" s="300">
        <v>58.87715093</v>
      </c>
      <c r="I25" s="300">
        <v>9.457389799999998</v>
      </c>
      <c r="J25" s="300">
        <v>1.8528192700000004</v>
      </c>
      <c r="K25" s="300">
        <v>0.20709266999999995</v>
      </c>
      <c r="L25" s="300">
        <v>1.68178815</v>
      </c>
      <c r="M25" s="300">
        <v>0.10139480000000001</v>
      </c>
      <c r="N25" s="300">
        <v>532.1835553700001</v>
      </c>
      <c r="O25" s="300">
        <v>0.01884632</v>
      </c>
      <c r="P25" s="300">
        <v>0.14579455</v>
      </c>
      <c r="Q25" s="301">
        <f t="shared" si="18"/>
        <v>644.4888936500001</v>
      </c>
      <c r="R25" s="163"/>
      <c r="S25" s="301">
        <v>0.00458739</v>
      </c>
      <c r="T25" s="301">
        <v>0.29000750999999997</v>
      </c>
      <c r="U25" s="301">
        <v>12.539651280000001</v>
      </c>
      <c r="V25" s="301">
        <v>15.08696111</v>
      </c>
      <c r="W25" s="301">
        <v>53.05268991999999</v>
      </c>
      <c r="X25" s="301">
        <v>1.5769793499999998</v>
      </c>
      <c r="Y25" s="301">
        <v>1.65595559</v>
      </c>
      <c r="Z25" s="301">
        <v>0.25289907999999994</v>
      </c>
      <c r="AA25" s="301">
        <v>1.63010198</v>
      </c>
      <c r="AB25" s="301">
        <v>0.04606255</v>
      </c>
      <c r="AC25" s="301">
        <v>424.02799126000014</v>
      </c>
      <c r="AD25" s="301">
        <v>0.01116648</v>
      </c>
      <c r="AE25" s="301">
        <v>0.11464847000000002</v>
      </c>
      <c r="AF25" s="288">
        <f t="shared" si="25"/>
        <v>510.2897019700002</v>
      </c>
      <c r="AG25" s="163"/>
      <c r="AH25" s="172" t="str">
        <f t="shared" si="2"/>
        <v>-</v>
      </c>
      <c r="AI25" s="172">
        <f t="shared" si="3"/>
        <v>1.055020954457343</v>
      </c>
      <c r="AJ25" s="172" t="str">
        <f t="shared" si="4"/>
        <v>-</v>
      </c>
      <c r="AK25" s="172">
        <f t="shared" si="5"/>
        <v>-14.020816349807644</v>
      </c>
      <c r="AL25" s="172">
        <f t="shared" si="6"/>
        <v>10.978634672026839</v>
      </c>
      <c r="AM25" s="172" t="str">
        <f t="shared" si="7"/>
        <v>-</v>
      </c>
      <c r="AN25" s="172">
        <f t="shared" si="8"/>
        <v>11.888222195620616</v>
      </c>
      <c r="AO25" s="172">
        <f t="shared" si="9"/>
        <v>-18.112525359918273</v>
      </c>
      <c r="AP25" s="172">
        <f t="shared" si="10"/>
        <v>3.1707322998282583</v>
      </c>
      <c r="AQ25" s="172" t="str">
        <f t="shared" si="11"/>
        <v>-</v>
      </c>
      <c r="AR25" s="172">
        <f t="shared" si="12"/>
        <v>25.506703882594046</v>
      </c>
      <c r="AS25" s="172">
        <f t="shared" si="13"/>
        <v>68.77583625278513</v>
      </c>
      <c r="AT25" s="172">
        <f t="shared" si="14"/>
        <v>27.16659018650661</v>
      </c>
      <c r="AU25" s="173">
        <f t="shared" si="15"/>
        <v>26.298628242333116</v>
      </c>
      <c r="AV25" s="165"/>
      <c r="AW25" s="165"/>
      <c r="AX25" s="165"/>
      <c r="AY25" s="166"/>
      <c r="AZ25" s="166"/>
      <c r="BA25" s="166"/>
      <c r="BB25" s="166"/>
    </row>
    <row r="26" spans="3:54" ht="12.75">
      <c r="C26" s="179"/>
      <c r="D26" s="300"/>
      <c r="E26" s="300"/>
      <c r="F26" s="300"/>
      <c r="G26" s="300"/>
      <c r="H26" s="300"/>
      <c r="I26" s="300"/>
      <c r="J26" s="300"/>
      <c r="K26" s="300"/>
      <c r="L26" s="300"/>
      <c r="M26" s="300"/>
      <c r="N26" s="300"/>
      <c r="O26" s="300"/>
      <c r="P26" s="300"/>
      <c r="Q26" s="301">
        <f>SUM(D26:P26)</f>
        <v>0</v>
      </c>
      <c r="R26" s="163"/>
      <c r="S26" s="301"/>
      <c r="T26" s="301"/>
      <c r="U26" s="301"/>
      <c r="V26" s="301"/>
      <c r="W26" s="301"/>
      <c r="X26" s="301"/>
      <c r="Y26" s="301"/>
      <c r="Z26" s="301"/>
      <c r="AA26" s="301"/>
      <c r="AB26" s="301"/>
      <c r="AC26" s="301"/>
      <c r="AD26" s="301"/>
      <c r="AE26" s="301"/>
      <c r="AF26" s="288">
        <f t="shared" si="25"/>
        <v>0</v>
      </c>
      <c r="AG26" s="163"/>
      <c r="AH26" s="172"/>
      <c r="AI26" s="172"/>
      <c r="AJ26" s="172"/>
      <c r="AK26" s="172"/>
      <c r="AL26" s="172"/>
      <c r="AM26" s="172"/>
      <c r="AN26" s="172"/>
      <c r="AO26" s="172"/>
      <c r="AP26" s="172"/>
      <c r="AQ26" s="172"/>
      <c r="AR26" s="172"/>
      <c r="AS26" s="172"/>
      <c r="AT26" s="172" t="str">
        <f aca="true" t="shared" si="26" ref="AT26:AT38">IF(AE26=0,"-",IF((P26/AE26)&gt;2,"-",((P26-AE26)/AE26)*100))</f>
        <v>-</v>
      </c>
      <c r="AU26" s="173"/>
      <c r="AV26" s="165"/>
      <c r="AW26" s="165"/>
      <c r="AX26" s="165"/>
      <c r="AY26" s="166"/>
      <c r="AZ26" s="166"/>
      <c r="BA26" s="166"/>
      <c r="BB26" s="166"/>
    </row>
    <row r="27" spans="3:54" ht="12.75">
      <c r="C27" s="180" t="str">
        <f>IF(Indice_index!$Z$1=1,"Despesa de capital","Capital expenditure")</f>
        <v>Despesa de capital</v>
      </c>
      <c r="D27" s="302">
        <f aca="true" t="shared" si="27" ref="D27:Q27">+D28+D29+D36</f>
        <v>931.2579677499999</v>
      </c>
      <c r="E27" s="302">
        <f t="shared" si="27"/>
        <v>12.046135390000003</v>
      </c>
      <c r="F27" s="302">
        <f t="shared" si="27"/>
        <v>152.27266380999998</v>
      </c>
      <c r="G27" s="302">
        <f t="shared" si="27"/>
        <v>5.47818912</v>
      </c>
      <c r="H27" s="302">
        <f t="shared" si="27"/>
        <v>148.42025047</v>
      </c>
      <c r="I27" s="302">
        <f t="shared" si="27"/>
        <v>38.73882648</v>
      </c>
      <c r="J27" s="302">
        <f t="shared" si="27"/>
        <v>7.350958110000001</v>
      </c>
      <c r="K27" s="302">
        <f t="shared" si="27"/>
        <v>33.15272583</v>
      </c>
      <c r="L27" s="302">
        <f t="shared" si="27"/>
        <v>69.16219758999999</v>
      </c>
      <c r="M27" s="302">
        <f t="shared" si="27"/>
        <v>2.86370216</v>
      </c>
      <c r="N27" s="302">
        <f t="shared" si="27"/>
        <v>242.73159198999997</v>
      </c>
      <c r="O27" s="302">
        <f t="shared" si="27"/>
        <v>3.52837978</v>
      </c>
      <c r="P27" s="302">
        <f t="shared" si="27"/>
        <v>2.24047922</v>
      </c>
      <c r="Q27" s="302">
        <f t="shared" si="27"/>
        <v>1649.2440677</v>
      </c>
      <c r="R27" s="181"/>
      <c r="S27" s="302">
        <f aca="true" t="shared" si="28" ref="S27:X27">+S28+S29+S36</f>
        <v>1269.05353205</v>
      </c>
      <c r="T27" s="302">
        <f t="shared" si="28"/>
        <v>15.16369943</v>
      </c>
      <c r="U27" s="302">
        <f t="shared" si="28"/>
        <v>804.2103306899999</v>
      </c>
      <c r="V27" s="302">
        <f t="shared" si="28"/>
        <v>8.659587830000001</v>
      </c>
      <c r="W27" s="302">
        <f t="shared" si="28"/>
        <v>201.40782760999986</v>
      </c>
      <c r="X27" s="302">
        <f t="shared" si="28"/>
        <v>35.81345982</v>
      </c>
      <c r="Y27" s="302">
        <f>+Y28+Y29+Y36</f>
        <v>10.058186749999999</v>
      </c>
      <c r="Z27" s="302">
        <f aca="true" t="shared" si="29" ref="Z27:AE27">+Z28+Z29+Z36</f>
        <v>69.9238479</v>
      </c>
      <c r="AA27" s="302">
        <f t="shared" si="29"/>
        <v>78.05346863999999</v>
      </c>
      <c r="AB27" s="302">
        <f>+AB28+AB29+AB36</f>
        <v>8.72440872</v>
      </c>
      <c r="AC27" s="302">
        <f t="shared" si="29"/>
        <v>301.94458525999994</v>
      </c>
      <c r="AD27" s="302">
        <f t="shared" si="29"/>
        <v>4.06986778</v>
      </c>
      <c r="AE27" s="302">
        <f t="shared" si="29"/>
        <v>14.63531552</v>
      </c>
      <c r="AF27" s="293">
        <f>+AF28+AF29+AF36</f>
        <v>2821.7181179999993</v>
      </c>
      <c r="AG27" s="181"/>
      <c r="AH27" s="182">
        <f aca="true" t="shared" si="30" ref="AH27:AH36">IF(S27=0,"-",IF((D27/S27)&gt;2,"-",((D27-S27)/S27)*100))</f>
        <v>-26.61791293818259</v>
      </c>
      <c r="AI27" s="182">
        <f aca="true" t="shared" si="31" ref="AI27:AI36">IF(T27=0,"-",IF((E27/T27)&gt;2,"-",((E27-T27)/T27)*100))</f>
        <v>-20.559389576346913</v>
      </c>
      <c r="AJ27" s="182">
        <f aca="true" t="shared" si="32" ref="AJ27:AJ36">IF(U27=0,"-",IF((F27/U27)&gt;2,"-",((F27-U27)/U27)*100))</f>
        <v>-81.06556730260446</v>
      </c>
      <c r="AK27" s="182">
        <f aca="true" t="shared" si="33" ref="AK27:AK36">IF(V27=0,"-",IF((G27/V27)&gt;2,"-",((G27-V27)/V27)*100))</f>
        <v>-36.738454213472664</v>
      </c>
      <c r="AL27" s="182">
        <f aca="true" t="shared" si="34" ref="AL27:AL36">IF(W27=0,"-",IF((H27/W27)&gt;2,"-",((H27-W27)/W27)*100))</f>
        <v>-26.308598711765768</v>
      </c>
      <c r="AM27" s="182">
        <f aca="true" t="shared" si="35" ref="AM27:AM36">IF(X27=0,"-",IF((I27/X27)&gt;2,"-",((I27-X27)/X27)*100))</f>
        <v>8.168344177588597</v>
      </c>
      <c r="AN27" s="182">
        <f aca="true" t="shared" si="36" ref="AN27:AN36">IF(Y27=0,"-",IF((J27/Y27)&gt;2,"-",((J27-Y27)/Y27)*100))</f>
        <v>-26.91567284729524</v>
      </c>
      <c r="AO27" s="182">
        <f aca="true" t="shared" si="37" ref="AO27:AO36">IF(Z27=0,"-",IF((K27/Z27)&gt;2,"-",((K27-Z27)/Z27)*100))</f>
        <v>-52.58738352412667</v>
      </c>
      <c r="AP27" s="182">
        <f aca="true" t="shared" si="38" ref="AP27:AP36">IF(AA27=0,"-",IF((L27/AA27)&gt;2,"-",((L27-AA27)/AA27)*100))</f>
        <v>-11.391256794760174</v>
      </c>
      <c r="AQ27" s="182">
        <f aca="true" t="shared" si="39" ref="AQ27:AQ36">IF(AB27=0,"-",IF((M27/AB27)&gt;2,"-",((M27-AB27)/AB27)*100))</f>
        <v>-67.17597430488102</v>
      </c>
      <c r="AR27" s="182">
        <f aca="true" t="shared" si="40" ref="AR27:AR36">IF(AC27=0,"-",IF((N27/AC27)&gt;2,"-",((N27-AC27)/AC27)*100))</f>
        <v>-19.610549803041692</v>
      </c>
      <c r="AS27" s="182">
        <f aca="true" t="shared" si="41" ref="AS27:AS36">IF(AD27=0,"-",IF((O27/AD27)&gt;2,"-",((O27-AD27)/AD27)*100))</f>
        <v>-13.304805690763747</v>
      </c>
      <c r="AT27" s="182">
        <f t="shared" si="26"/>
        <v>-84.69128173602915</v>
      </c>
      <c r="AU27" s="183">
        <f aca="true" t="shared" si="42" ref="AU27:AU36">IF(AF27=0,"-",IF((Q27/AF27)&gt;2,"-",((Q27-AF27)/AF27)*100))</f>
        <v>-41.551778075232946</v>
      </c>
      <c r="AV27" s="184"/>
      <c r="AW27" s="165"/>
      <c r="AX27" s="165"/>
      <c r="AY27" s="166"/>
      <c r="AZ27" s="166"/>
      <c r="BA27" s="166"/>
      <c r="BB27" s="166"/>
    </row>
    <row r="28" spans="3:54" ht="12.75">
      <c r="C28" s="171" t="str">
        <f>IF(Indice_index!$Z$1=1,"Investimento","Investment")</f>
        <v>Investimento</v>
      </c>
      <c r="D28" s="300">
        <v>0.23237162999999994</v>
      </c>
      <c r="E28" s="300">
        <v>5.844137670000003</v>
      </c>
      <c r="F28" s="300">
        <v>13.104576499999999</v>
      </c>
      <c r="G28" s="300">
        <v>5.47818912</v>
      </c>
      <c r="H28" s="300">
        <v>147.51376176000002</v>
      </c>
      <c r="I28" s="300">
        <v>33.94884453</v>
      </c>
      <c r="J28" s="300">
        <v>7.350958110000001</v>
      </c>
      <c r="K28" s="300">
        <v>1.2905899599999997</v>
      </c>
      <c r="L28" s="300">
        <v>14.371722299999998</v>
      </c>
      <c r="M28" s="300">
        <v>0.31897109999999995</v>
      </c>
      <c r="N28" s="300">
        <v>5.76914324</v>
      </c>
      <c r="O28" s="300">
        <v>0.7138756299999999</v>
      </c>
      <c r="P28" s="300">
        <v>0.55401422</v>
      </c>
      <c r="Q28" s="301">
        <f>SUM(D28:P28)</f>
        <v>236.49115577</v>
      </c>
      <c r="R28" s="163"/>
      <c r="S28" s="301">
        <v>0.14284027000000002</v>
      </c>
      <c r="T28" s="301">
        <v>8.35562491</v>
      </c>
      <c r="U28" s="301">
        <v>297.9390771499999</v>
      </c>
      <c r="V28" s="301">
        <v>7.259012590000001</v>
      </c>
      <c r="W28" s="301">
        <v>201.26496859999986</v>
      </c>
      <c r="X28" s="301">
        <v>33.68007465</v>
      </c>
      <c r="Y28" s="301">
        <v>10.03324793</v>
      </c>
      <c r="Z28" s="301">
        <v>0.8234821000000002</v>
      </c>
      <c r="AA28" s="301">
        <v>26.870563609999994</v>
      </c>
      <c r="AB28" s="301">
        <v>1.0882933599999998</v>
      </c>
      <c r="AC28" s="301">
        <v>67.04959016000001</v>
      </c>
      <c r="AD28" s="301">
        <v>0.7595723500000001</v>
      </c>
      <c r="AE28" s="301">
        <v>4.32419071</v>
      </c>
      <c r="AF28" s="288">
        <f>SUM(S28:AE28)</f>
        <v>659.5905383899997</v>
      </c>
      <c r="AG28" s="163"/>
      <c r="AH28" s="172">
        <f t="shared" si="30"/>
        <v>62.67935505862591</v>
      </c>
      <c r="AI28" s="172">
        <f t="shared" si="31"/>
        <v>-30.057443543142444</v>
      </c>
      <c r="AJ28" s="172">
        <f t="shared" si="32"/>
        <v>-95.60159190081589</v>
      </c>
      <c r="AK28" s="172">
        <f t="shared" si="33"/>
        <v>-24.53258549865666</v>
      </c>
      <c r="AL28" s="172">
        <f t="shared" si="34"/>
        <v>-26.706687812535634</v>
      </c>
      <c r="AM28" s="172">
        <f t="shared" si="35"/>
        <v>0.7980085637963414</v>
      </c>
      <c r="AN28" s="172">
        <f t="shared" si="36"/>
        <v>-26.734013140249374</v>
      </c>
      <c r="AO28" s="172">
        <f t="shared" si="37"/>
        <v>56.72349890786932</v>
      </c>
      <c r="AP28" s="172">
        <f t="shared" si="38"/>
        <v>-46.51499496403752</v>
      </c>
      <c r="AQ28" s="172">
        <f t="shared" si="39"/>
        <v>-70.69070604271627</v>
      </c>
      <c r="AR28" s="172">
        <f t="shared" si="40"/>
        <v>-91.39570692940386</v>
      </c>
      <c r="AS28" s="172">
        <f t="shared" si="41"/>
        <v>-6.016111565935785</v>
      </c>
      <c r="AT28" s="172">
        <f t="shared" si="26"/>
        <v>-87.18802529410179</v>
      </c>
      <c r="AU28" s="173">
        <f t="shared" si="42"/>
        <v>-64.1457628626309</v>
      </c>
      <c r="AV28" s="184"/>
      <c r="AW28" s="165"/>
      <c r="AX28" s="165"/>
      <c r="AY28" s="166"/>
      <c r="AZ28" s="166"/>
      <c r="BA28" s="166"/>
      <c r="BB28" s="166"/>
    </row>
    <row r="29" spans="3:54" ht="12.75">
      <c r="C29" s="171" t="str">
        <f>IF(Indice_index!$Z$1=1,"Transferências de capital","Capital transfers")</f>
        <v>Transferências de capital</v>
      </c>
      <c r="D29" s="301">
        <f>+D30+D35</f>
        <v>931.0255961199999</v>
      </c>
      <c r="E29" s="301">
        <f aca="true" t="shared" si="43" ref="E29:Q29">+E30+E35</f>
        <v>6.20199772</v>
      </c>
      <c r="F29" s="301">
        <f t="shared" si="43"/>
        <v>59.168087310000004</v>
      </c>
      <c r="G29" s="301">
        <f t="shared" si="43"/>
        <v>0</v>
      </c>
      <c r="H29" s="301">
        <f t="shared" si="43"/>
        <v>0.90648871</v>
      </c>
      <c r="I29" s="301">
        <f t="shared" si="43"/>
        <v>4.7899819500000005</v>
      </c>
      <c r="J29" s="301">
        <f t="shared" si="43"/>
        <v>0</v>
      </c>
      <c r="K29" s="301">
        <f t="shared" si="43"/>
        <v>31.86213587</v>
      </c>
      <c r="L29" s="301">
        <f t="shared" si="43"/>
        <v>54.78967409</v>
      </c>
      <c r="M29" s="301">
        <f>+M30+M35</f>
        <v>2.54473106</v>
      </c>
      <c r="N29" s="301">
        <f t="shared" si="43"/>
        <v>195.60707674999998</v>
      </c>
      <c r="O29" s="301">
        <f t="shared" si="43"/>
        <v>2.81450415</v>
      </c>
      <c r="P29" s="301">
        <f t="shared" si="43"/>
        <v>1.686465</v>
      </c>
      <c r="Q29" s="301">
        <f t="shared" si="43"/>
        <v>1291.39673873</v>
      </c>
      <c r="R29" s="163"/>
      <c r="S29" s="301">
        <f aca="true" t="shared" si="44" ref="S29:X29">+S30+S35</f>
        <v>1268.91069178</v>
      </c>
      <c r="T29" s="301">
        <f t="shared" si="44"/>
        <v>6.80807452</v>
      </c>
      <c r="U29" s="301">
        <f t="shared" si="44"/>
        <v>506.27125354000003</v>
      </c>
      <c r="V29" s="301">
        <f t="shared" si="44"/>
        <v>0.94462061</v>
      </c>
      <c r="W29" s="301">
        <f t="shared" si="44"/>
        <v>0.14285901</v>
      </c>
      <c r="X29" s="301">
        <f t="shared" si="44"/>
        <v>2.13338517</v>
      </c>
      <c r="Y29" s="301">
        <f>+Y30+Y35</f>
        <v>0.02493882</v>
      </c>
      <c r="Z29" s="301">
        <f aca="true" t="shared" si="45" ref="Z29:AF29">+Z30+Z35</f>
        <v>69.10036579999999</v>
      </c>
      <c r="AA29" s="301">
        <f t="shared" si="45"/>
        <v>51.179338539999996</v>
      </c>
      <c r="AB29" s="301">
        <f>+AB30+AB35</f>
        <v>7.636115360000001</v>
      </c>
      <c r="AC29" s="301">
        <f t="shared" si="45"/>
        <v>200.39107638999997</v>
      </c>
      <c r="AD29" s="301">
        <f t="shared" si="45"/>
        <v>3.31029543</v>
      </c>
      <c r="AE29" s="301">
        <f t="shared" si="45"/>
        <v>10.31112481</v>
      </c>
      <c r="AF29" s="288">
        <f t="shared" si="45"/>
        <v>2127.16413978</v>
      </c>
      <c r="AG29" s="163"/>
      <c r="AH29" s="172">
        <f t="shared" si="30"/>
        <v>-26.62796506080521</v>
      </c>
      <c r="AI29" s="172">
        <f t="shared" si="31"/>
        <v>-8.902323237202173</v>
      </c>
      <c r="AJ29" s="172">
        <f t="shared" si="32"/>
        <v>-88.31296722927107</v>
      </c>
      <c r="AK29" s="172">
        <f t="shared" si="33"/>
        <v>-100</v>
      </c>
      <c r="AL29" s="172" t="str">
        <f t="shared" si="34"/>
        <v>-</v>
      </c>
      <c r="AM29" s="172" t="str">
        <f t="shared" si="35"/>
        <v>-</v>
      </c>
      <c r="AN29" s="172">
        <f t="shared" si="36"/>
        <v>-100</v>
      </c>
      <c r="AO29" s="172">
        <f t="shared" si="37"/>
        <v>-53.89006193944055</v>
      </c>
      <c r="AP29" s="172">
        <f t="shared" si="38"/>
        <v>7.054283335800225</v>
      </c>
      <c r="AQ29" s="172">
        <f t="shared" si="39"/>
        <v>-66.6750574077236</v>
      </c>
      <c r="AR29" s="172">
        <f t="shared" si="40"/>
        <v>-2.3873316747345563</v>
      </c>
      <c r="AS29" s="172">
        <f t="shared" si="41"/>
        <v>-14.977251743358755</v>
      </c>
      <c r="AT29" s="172">
        <f t="shared" si="26"/>
        <v>-83.6442189278475</v>
      </c>
      <c r="AU29" s="173">
        <f t="shared" si="42"/>
        <v>-39.290216745400684</v>
      </c>
      <c r="AV29" s="184"/>
      <c r="AW29" s="165"/>
      <c r="AX29" s="165"/>
      <c r="AY29" s="166"/>
      <c r="AZ29" s="166"/>
      <c r="BA29" s="166"/>
      <c r="BB29" s="166"/>
    </row>
    <row r="30" spans="3:54" ht="12.75">
      <c r="C30" s="174" t="str">
        <f>IF(Indice_index!$Z$1=1,"Administrações Públicas","General Government")</f>
        <v>Administrações Públicas</v>
      </c>
      <c r="D30" s="301">
        <f aca="true" t="shared" si="46" ref="D30:AF30">SUM(D31:D34)</f>
        <v>931.0255961199999</v>
      </c>
      <c r="E30" s="301">
        <f t="shared" si="46"/>
        <v>5.1584658</v>
      </c>
      <c r="F30" s="301">
        <f t="shared" si="46"/>
        <v>0.96668281</v>
      </c>
      <c r="G30" s="301">
        <f t="shared" si="46"/>
        <v>0</v>
      </c>
      <c r="H30" s="301">
        <f t="shared" si="46"/>
        <v>0.90648871</v>
      </c>
      <c r="I30" s="301">
        <f t="shared" si="46"/>
        <v>4.675300760000001</v>
      </c>
      <c r="J30" s="301">
        <f t="shared" si="46"/>
        <v>0</v>
      </c>
      <c r="K30" s="301">
        <f t="shared" si="46"/>
        <v>25.31397969</v>
      </c>
      <c r="L30" s="301">
        <f t="shared" si="46"/>
        <v>54.78967409</v>
      </c>
      <c r="M30" s="301">
        <f>SUM(M31:M34)</f>
        <v>2.54473106</v>
      </c>
      <c r="N30" s="301">
        <f t="shared" si="46"/>
        <v>194.26422029999998</v>
      </c>
      <c r="O30" s="301">
        <f t="shared" si="46"/>
        <v>2.81450415</v>
      </c>
      <c r="P30" s="301">
        <f t="shared" si="46"/>
        <v>1.686465</v>
      </c>
      <c r="Q30" s="301">
        <f t="shared" si="46"/>
        <v>1224.14610849</v>
      </c>
      <c r="R30" s="163"/>
      <c r="S30" s="301">
        <f t="shared" si="46"/>
        <v>1268.91069178</v>
      </c>
      <c r="T30" s="301">
        <f t="shared" si="46"/>
        <v>5.7892097</v>
      </c>
      <c r="U30" s="301">
        <f t="shared" si="46"/>
        <v>347.04373743</v>
      </c>
      <c r="V30" s="301">
        <f t="shared" si="46"/>
        <v>0.94462061</v>
      </c>
      <c r="W30" s="301">
        <f t="shared" si="46"/>
        <v>0.14285901</v>
      </c>
      <c r="X30" s="301">
        <f t="shared" si="46"/>
        <v>2.11512708</v>
      </c>
      <c r="Y30" s="301">
        <f t="shared" si="46"/>
        <v>0</v>
      </c>
      <c r="Z30" s="301">
        <f t="shared" si="46"/>
        <v>61.90952305</v>
      </c>
      <c r="AA30" s="301">
        <f t="shared" si="46"/>
        <v>51.179338539999996</v>
      </c>
      <c r="AB30" s="301">
        <f>SUM(AB31:AB34)</f>
        <v>7.636115360000001</v>
      </c>
      <c r="AC30" s="301">
        <f t="shared" si="46"/>
        <v>199.40974553999996</v>
      </c>
      <c r="AD30" s="301">
        <f t="shared" si="46"/>
        <v>3.31029543</v>
      </c>
      <c r="AE30" s="301">
        <f t="shared" si="46"/>
        <v>9.95449948</v>
      </c>
      <c r="AF30" s="288">
        <f t="shared" si="46"/>
        <v>1958.34576301</v>
      </c>
      <c r="AG30" s="163"/>
      <c r="AH30" s="172">
        <f t="shared" si="30"/>
        <v>-26.62796506080521</v>
      </c>
      <c r="AI30" s="172">
        <f t="shared" si="31"/>
        <v>-10.89516415340767</v>
      </c>
      <c r="AJ30" s="172">
        <f t="shared" si="32"/>
        <v>-99.72145216704999</v>
      </c>
      <c r="AK30" s="172">
        <f t="shared" si="33"/>
        <v>-100</v>
      </c>
      <c r="AL30" s="172" t="str">
        <f t="shared" si="34"/>
        <v>-</v>
      </c>
      <c r="AM30" s="172" t="str">
        <f t="shared" si="35"/>
        <v>-</v>
      </c>
      <c r="AN30" s="172" t="str">
        <f t="shared" si="36"/>
        <v>-</v>
      </c>
      <c r="AO30" s="172">
        <f t="shared" si="37"/>
        <v>-59.111331435140166</v>
      </c>
      <c r="AP30" s="172">
        <f t="shared" si="38"/>
        <v>7.054283335800225</v>
      </c>
      <c r="AQ30" s="172">
        <f t="shared" si="39"/>
        <v>-66.6750574077236</v>
      </c>
      <c r="AR30" s="172">
        <f t="shared" si="40"/>
        <v>-2.580378018168542</v>
      </c>
      <c r="AS30" s="172">
        <f t="shared" si="41"/>
        <v>-14.977251743358755</v>
      </c>
      <c r="AT30" s="172">
        <f t="shared" si="26"/>
        <v>-83.05826422123637</v>
      </c>
      <c r="AU30" s="173">
        <f t="shared" si="42"/>
        <v>-37.490808231511004</v>
      </c>
      <c r="AV30" s="184"/>
      <c r="AW30" s="165"/>
      <c r="AX30" s="165"/>
      <c r="AY30" s="166"/>
      <c r="AZ30" s="166"/>
      <c r="BA30" s="166"/>
      <c r="BB30" s="166"/>
    </row>
    <row r="31" spans="3:54" ht="12.75">
      <c r="C31" s="178" t="str">
        <f>IF(Indice_index!$Z$1=1,"Administração Central","Central Government")</f>
        <v>Administração Central</v>
      </c>
      <c r="D31" s="300">
        <v>4.5637691799999995</v>
      </c>
      <c r="E31" s="300">
        <v>3.9334578000000002</v>
      </c>
      <c r="F31" s="300">
        <v>0.96668281</v>
      </c>
      <c r="G31" s="300">
        <v>0</v>
      </c>
      <c r="H31" s="300">
        <v>0.90648871</v>
      </c>
      <c r="I31" s="300">
        <v>0.725437</v>
      </c>
      <c r="J31" s="300">
        <v>0</v>
      </c>
      <c r="K31" s="300">
        <v>25.31397969</v>
      </c>
      <c r="L31" s="300">
        <v>54.78967409</v>
      </c>
      <c r="M31" s="300">
        <v>2.54473106</v>
      </c>
      <c r="N31" s="300">
        <v>180.39461407</v>
      </c>
      <c r="O31" s="300">
        <v>0</v>
      </c>
      <c r="P31" s="300">
        <v>1.686465</v>
      </c>
      <c r="Q31" s="301">
        <f t="shared" si="18"/>
        <v>275.82529940999996</v>
      </c>
      <c r="R31" s="163"/>
      <c r="S31" s="301">
        <v>4.7693280300000005</v>
      </c>
      <c r="T31" s="301">
        <v>5.1733157</v>
      </c>
      <c r="U31" s="301">
        <v>347.04373743</v>
      </c>
      <c r="V31" s="301">
        <v>0.94462061</v>
      </c>
      <c r="W31" s="301">
        <v>0.14285901</v>
      </c>
      <c r="X31" s="301">
        <v>0.593475</v>
      </c>
      <c r="Y31" s="301">
        <v>0</v>
      </c>
      <c r="Z31" s="301">
        <v>61.90952305</v>
      </c>
      <c r="AA31" s="301">
        <v>51.179338539999996</v>
      </c>
      <c r="AB31" s="301">
        <v>7.636115360000001</v>
      </c>
      <c r="AC31" s="301">
        <v>186.18008908999997</v>
      </c>
      <c r="AD31" s="301">
        <v>0</v>
      </c>
      <c r="AE31" s="301">
        <v>6.55466948</v>
      </c>
      <c r="AF31" s="288">
        <f aca="true" t="shared" si="47" ref="AF31:AF36">SUM(S31:AE31)</f>
        <v>672.1270713000001</v>
      </c>
      <c r="AG31" s="163"/>
      <c r="AH31" s="172">
        <f t="shared" si="30"/>
        <v>-4.310017023509304</v>
      </c>
      <c r="AI31" s="172">
        <f t="shared" si="31"/>
        <v>-23.96640707621999</v>
      </c>
      <c r="AJ31" s="172">
        <f t="shared" si="32"/>
        <v>-99.72145216704999</v>
      </c>
      <c r="AK31" s="172">
        <f t="shared" si="33"/>
        <v>-100</v>
      </c>
      <c r="AL31" s="172" t="str">
        <f t="shared" si="34"/>
        <v>-</v>
      </c>
      <c r="AM31" s="172">
        <f t="shared" si="35"/>
        <v>22.23547748430853</v>
      </c>
      <c r="AN31" s="172" t="str">
        <f t="shared" si="36"/>
        <v>-</v>
      </c>
      <c r="AO31" s="172">
        <f t="shared" si="37"/>
        <v>-59.111331435140166</v>
      </c>
      <c r="AP31" s="172">
        <f t="shared" si="38"/>
        <v>7.054283335800225</v>
      </c>
      <c r="AQ31" s="172">
        <f t="shared" si="39"/>
        <v>-66.6750574077236</v>
      </c>
      <c r="AR31" s="172">
        <f t="shared" si="40"/>
        <v>-3.107461731422453</v>
      </c>
      <c r="AS31" s="172" t="str">
        <f t="shared" si="41"/>
        <v>-</v>
      </c>
      <c r="AT31" s="172">
        <f t="shared" si="26"/>
        <v>-74.27078504651008</v>
      </c>
      <c r="AU31" s="173">
        <f t="shared" si="42"/>
        <v>-58.96232852568932</v>
      </c>
      <c r="AV31" s="184"/>
      <c r="AW31" s="165"/>
      <c r="AX31" s="165"/>
      <c r="AY31" s="166"/>
      <c r="AZ31" s="166"/>
      <c r="BA31" s="166"/>
      <c r="BB31" s="166"/>
    </row>
    <row r="32" spans="3:54" ht="12.75">
      <c r="C32" s="178" t="str">
        <f>IF(Indice_index!$Z$1=1,"Administração Regional","Regional Government")</f>
        <v>Administração Regional</v>
      </c>
      <c r="D32" s="300">
        <v>560.047662</v>
      </c>
      <c r="E32" s="300">
        <v>0</v>
      </c>
      <c r="F32" s="300">
        <v>0</v>
      </c>
      <c r="G32" s="300">
        <v>0</v>
      </c>
      <c r="H32" s="300">
        <v>0</v>
      </c>
      <c r="I32" s="300">
        <v>0</v>
      </c>
      <c r="J32" s="300">
        <v>0</v>
      </c>
      <c r="K32" s="300">
        <v>0</v>
      </c>
      <c r="L32" s="300">
        <v>0</v>
      </c>
      <c r="M32" s="300">
        <v>0</v>
      </c>
      <c r="N32" s="300">
        <v>0</v>
      </c>
      <c r="O32" s="300">
        <v>0</v>
      </c>
      <c r="P32" s="300">
        <v>0</v>
      </c>
      <c r="Q32" s="301">
        <f t="shared" si="18"/>
        <v>560.047662</v>
      </c>
      <c r="R32" s="163"/>
      <c r="S32" s="301">
        <v>565.45008351</v>
      </c>
      <c r="T32" s="301">
        <v>0</v>
      </c>
      <c r="U32" s="301">
        <v>0</v>
      </c>
      <c r="V32" s="301">
        <v>0</v>
      </c>
      <c r="W32" s="301">
        <v>0</v>
      </c>
      <c r="X32" s="301">
        <v>0</v>
      </c>
      <c r="Y32" s="301">
        <v>0</v>
      </c>
      <c r="Z32" s="301">
        <v>0</v>
      </c>
      <c r="AA32" s="301">
        <v>0</v>
      </c>
      <c r="AB32" s="301">
        <v>0</v>
      </c>
      <c r="AC32" s="301">
        <v>0</v>
      </c>
      <c r="AD32" s="301">
        <v>0</v>
      </c>
      <c r="AE32" s="301">
        <v>0</v>
      </c>
      <c r="AF32" s="288">
        <f t="shared" si="47"/>
        <v>565.45008351</v>
      </c>
      <c r="AG32" s="163"/>
      <c r="AH32" s="172">
        <f t="shared" si="30"/>
        <v>-0.9554197032680296</v>
      </c>
      <c r="AI32" s="172" t="str">
        <f t="shared" si="31"/>
        <v>-</v>
      </c>
      <c r="AJ32" s="172" t="str">
        <f t="shared" si="32"/>
        <v>-</v>
      </c>
      <c r="AK32" s="172" t="str">
        <f t="shared" si="33"/>
        <v>-</v>
      </c>
      <c r="AL32" s="172" t="str">
        <f t="shared" si="34"/>
        <v>-</v>
      </c>
      <c r="AM32" s="172" t="str">
        <f t="shared" si="35"/>
        <v>-</v>
      </c>
      <c r="AN32" s="172" t="str">
        <f t="shared" si="36"/>
        <v>-</v>
      </c>
      <c r="AO32" s="172" t="str">
        <f t="shared" si="37"/>
        <v>-</v>
      </c>
      <c r="AP32" s="172" t="str">
        <f t="shared" si="38"/>
        <v>-</v>
      </c>
      <c r="AQ32" s="172" t="str">
        <f t="shared" si="39"/>
        <v>-</v>
      </c>
      <c r="AR32" s="172" t="str">
        <f t="shared" si="40"/>
        <v>-</v>
      </c>
      <c r="AS32" s="172" t="str">
        <f t="shared" si="41"/>
        <v>-</v>
      </c>
      <c r="AT32" s="172" t="str">
        <f t="shared" si="26"/>
        <v>-</v>
      </c>
      <c r="AU32" s="173">
        <f t="shared" si="42"/>
        <v>-0.9554197032680296</v>
      </c>
      <c r="AV32" s="184"/>
      <c r="AW32" s="165"/>
      <c r="AX32" s="165"/>
      <c r="AY32" s="166"/>
      <c r="AZ32" s="166"/>
      <c r="BA32" s="166"/>
      <c r="BB32" s="166"/>
    </row>
    <row r="33" spans="3:54" ht="12.75">
      <c r="C33" s="178" t="str">
        <f>IF(Indice_index!$Z$1=1,"Administração Local","Local Government")</f>
        <v>Administração Local</v>
      </c>
      <c r="D33" s="300">
        <v>366.41416494</v>
      </c>
      <c r="E33" s="300">
        <v>1.225008</v>
      </c>
      <c r="F33" s="300">
        <v>0</v>
      </c>
      <c r="G33" s="300">
        <v>0</v>
      </c>
      <c r="H33" s="300">
        <v>0</v>
      </c>
      <c r="I33" s="300">
        <v>3.9498637600000004</v>
      </c>
      <c r="J33" s="300">
        <v>0</v>
      </c>
      <c r="K33" s="300">
        <v>0</v>
      </c>
      <c r="L33" s="300">
        <v>0</v>
      </c>
      <c r="M33" s="300">
        <v>0</v>
      </c>
      <c r="N33" s="300">
        <v>13.86960623</v>
      </c>
      <c r="O33" s="300">
        <v>0</v>
      </c>
      <c r="P33" s="300">
        <v>0</v>
      </c>
      <c r="Q33" s="301">
        <f t="shared" si="18"/>
        <v>385.45864293</v>
      </c>
      <c r="R33" s="163"/>
      <c r="S33" s="301">
        <v>698.69128024</v>
      </c>
      <c r="T33" s="301">
        <v>0.615894</v>
      </c>
      <c r="U33" s="301">
        <v>0</v>
      </c>
      <c r="V33" s="301">
        <v>0</v>
      </c>
      <c r="W33" s="301">
        <v>0</v>
      </c>
      <c r="X33" s="301">
        <v>1.5216520800000002</v>
      </c>
      <c r="Y33" s="301">
        <v>0</v>
      </c>
      <c r="Z33" s="301">
        <v>0</v>
      </c>
      <c r="AA33" s="301">
        <v>0</v>
      </c>
      <c r="AB33" s="301">
        <v>0</v>
      </c>
      <c r="AC33" s="301">
        <v>13.229656450000006</v>
      </c>
      <c r="AD33" s="301">
        <v>0</v>
      </c>
      <c r="AE33" s="301">
        <v>3.39983</v>
      </c>
      <c r="AF33" s="288">
        <f t="shared" si="47"/>
        <v>717.4583127699999</v>
      </c>
      <c r="AG33" s="163"/>
      <c r="AH33" s="172">
        <f t="shared" si="30"/>
        <v>-47.55707201410372</v>
      </c>
      <c r="AI33" s="172">
        <f t="shared" si="31"/>
        <v>98.89916121930072</v>
      </c>
      <c r="AJ33" s="172" t="str">
        <f t="shared" si="32"/>
        <v>-</v>
      </c>
      <c r="AK33" s="172" t="str">
        <f t="shared" si="33"/>
        <v>-</v>
      </c>
      <c r="AL33" s="172" t="str">
        <f t="shared" si="34"/>
        <v>-</v>
      </c>
      <c r="AM33" s="172" t="str">
        <f t="shared" si="35"/>
        <v>-</v>
      </c>
      <c r="AN33" s="172" t="str">
        <f t="shared" si="36"/>
        <v>-</v>
      </c>
      <c r="AO33" s="172" t="str">
        <f t="shared" si="37"/>
        <v>-</v>
      </c>
      <c r="AP33" s="172" t="str">
        <f t="shared" si="38"/>
        <v>-</v>
      </c>
      <c r="AQ33" s="172" t="str">
        <f t="shared" si="39"/>
        <v>-</v>
      </c>
      <c r="AR33" s="172">
        <f t="shared" si="40"/>
        <v>4.837236570871005</v>
      </c>
      <c r="AS33" s="172" t="str">
        <f t="shared" si="41"/>
        <v>-</v>
      </c>
      <c r="AT33" s="172">
        <f t="shared" si="26"/>
        <v>-100</v>
      </c>
      <c r="AU33" s="173">
        <f t="shared" si="42"/>
        <v>-46.27441956288701</v>
      </c>
      <c r="AV33" s="184"/>
      <c r="AW33" s="165"/>
      <c r="AX33" s="165"/>
      <c r="AY33" s="166"/>
      <c r="AZ33" s="166"/>
      <c r="BA33" s="166"/>
      <c r="BB33" s="166"/>
    </row>
    <row r="34" spans="3:54" ht="12.75">
      <c r="C34" s="178" t="str">
        <f>IF(Indice_index!$Z$1=1,"Segurança Social","Social Security")</f>
        <v>Segurança Social</v>
      </c>
      <c r="D34" s="300">
        <v>0</v>
      </c>
      <c r="E34" s="300">
        <v>0</v>
      </c>
      <c r="F34" s="300">
        <v>0</v>
      </c>
      <c r="G34" s="300">
        <v>0</v>
      </c>
      <c r="H34" s="300">
        <v>0</v>
      </c>
      <c r="I34" s="300">
        <v>0</v>
      </c>
      <c r="J34" s="300">
        <v>0</v>
      </c>
      <c r="K34" s="300">
        <v>0</v>
      </c>
      <c r="L34" s="300">
        <v>0</v>
      </c>
      <c r="M34" s="300">
        <v>0</v>
      </c>
      <c r="N34" s="300">
        <v>0</v>
      </c>
      <c r="O34" s="300">
        <v>2.81450415</v>
      </c>
      <c r="P34" s="300">
        <v>0</v>
      </c>
      <c r="Q34" s="301">
        <f t="shared" si="18"/>
        <v>2.81450415</v>
      </c>
      <c r="R34" s="163"/>
      <c r="S34" s="301">
        <v>0</v>
      </c>
      <c r="T34" s="301">
        <v>0</v>
      </c>
      <c r="U34" s="301">
        <v>0</v>
      </c>
      <c r="V34" s="301">
        <v>0</v>
      </c>
      <c r="W34" s="301">
        <v>0</v>
      </c>
      <c r="X34" s="301">
        <v>0</v>
      </c>
      <c r="Y34" s="301">
        <v>0</v>
      </c>
      <c r="Z34" s="301">
        <v>0</v>
      </c>
      <c r="AA34" s="301">
        <v>0</v>
      </c>
      <c r="AB34" s="301">
        <v>0</v>
      </c>
      <c r="AC34" s="301">
        <v>0</v>
      </c>
      <c r="AD34" s="301">
        <v>3.31029543</v>
      </c>
      <c r="AE34" s="301">
        <v>0</v>
      </c>
      <c r="AF34" s="288">
        <f t="shared" si="47"/>
        <v>3.31029543</v>
      </c>
      <c r="AG34" s="163"/>
      <c r="AH34" s="172" t="str">
        <f t="shared" si="30"/>
        <v>-</v>
      </c>
      <c r="AI34" s="172" t="str">
        <f t="shared" si="31"/>
        <v>-</v>
      </c>
      <c r="AJ34" s="172" t="str">
        <f t="shared" si="32"/>
        <v>-</v>
      </c>
      <c r="AK34" s="172" t="str">
        <f t="shared" si="33"/>
        <v>-</v>
      </c>
      <c r="AL34" s="172" t="str">
        <f t="shared" si="34"/>
        <v>-</v>
      </c>
      <c r="AM34" s="172" t="str">
        <f t="shared" si="35"/>
        <v>-</v>
      </c>
      <c r="AN34" s="172" t="str">
        <f t="shared" si="36"/>
        <v>-</v>
      </c>
      <c r="AO34" s="172" t="str">
        <f t="shared" si="37"/>
        <v>-</v>
      </c>
      <c r="AP34" s="172" t="str">
        <f t="shared" si="38"/>
        <v>-</v>
      </c>
      <c r="AQ34" s="172" t="str">
        <f t="shared" si="39"/>
        <v>-</v>
      </c>
      <c r="AR34" s="172" t="str">
        <f t="shared" si="40"/>
        <v>-</v>
      </c>
      <c r="AS34" s="172">
        <f t="shared" si="41"/>
        <v>-14.977251743358755</v>
      </c>
      <c r="AT34" s="172" t="str">
        <f t="shared" si="26"/>
        <v>-</v>
      </c>
      <c r="AU34" s="173">
        <f t="shared" si="42"/>
        <v>-14.977251743358755</v>
      </c>
      <c r="AV34" s="184"/>
      <c r="AW34" s="165"/>
      <c r="AX34" s="165"/>
      <c r="AY34" s="166"/>
      <c r="AZ34" s="166"/>
      <c r="BA34" s="166"/>
      <c r="BB34" s="166"/>
    </row>
    <row r="35" spans="3:54" ht="12.75">
      <c r="C35" s="185" t="str">
        <f>IF(Indice_index!$Z$1=1,"Outras transferências de capital","Other capital transfers")</f>
        <v>Outras transferências de capital</v>
      </c>
      <c r="D35" s="300">
        <v>0</v>
      </c>
      <c r="E35" s="300">
        <v>1.04353192</v>
      </c>
      <c r="F35" s="300">
        <v>58.2014045</v>
      </c>
      <c r="G35" s="300">
        <v>0</v>
      </c>
      <c r="H35" s="300">
        <v>0</v>
      </c>
      <c r="I35" s="300">
        <v>0.11468118999999999</v>
      </c>
      <c r="J35" s="300">
        <v>0</v>
      </c>
      <c r="K35" s="300">
        <v>6.548156179999999</v>
      </c>
      <c r="L35" s="300">
        <v>0</v>
      </c>
      <c r="M35" s="300">
        <v>0</v>
      </c>
      <c r="N35" s="300">
        <v>1.34285645</v>
      </c>
      <c r="O35" s="300">
        <v>0</v>
      </c>
      <c r="P35" s="300">
        <v>0</v>
      </c>
      <c r="Q35" s="301">
        <f t="shared" si="18"/>
        <v>67.25063023999999</v>
      </c>
      <c r="R35" s="163"/>
      <c r="S35" s="301">
        <v>0</v>
      </c>
      <c r="T35" s="301">
        <v>1.01886482</v>
      </c>
      <c r="U35" s="301">
        <v>159.22751611</v>
      </c>
      <c r="V35" s="301">
        <v>0</v>
      </c>
      <c r="W35" s="301">
        <v>0</v>
      </c>
      <c r="X35" s="301">
        <v>0.01825809</v>
      </c>
      <c r="Y35" s="301">
        <v>0.02493882</v>
      </c>
      <c r="Z35" s="301">
        <v>7.19084275</v>
      </c>
      <c r="AA35" s="301">
        <v>0</v>
      </c>
      <c r="AB35" s="301">
        <v>0</v>
      </c>
      <c r="AC35" s="301">
        <v>0.9813308500000001</v>
      </c>
      <c r="AD35" s="301">
        <v>0</v>
      </c>
      <c r="AE35" s="301">
        <v>0.35662533</v>
      </c>
      <c r="AF35" s="288">
        <f t="shared" si="47"/>
        <v>168.81837677000001</v>
      </c>
      <c r="AG35" s="163"/>
      <c r="AH35" s="172" t="str">
        <f t="shared" si="30"/>
        <v>-</v>
      </c>
      <c r="AI35" s="172">
        <f t="shared" si="31"/>
        <v>2.4210375621763105</v>
      </c>
      <c r="AJ35" s="172">
        <f t="shared" si="32"/>
        <v>-63.447646536298166</v>
      </c>
      <c r="AK35" s="172" t="str">
        <f t="shared" si="33"/>
        <v>-</v>
      </c>
      <c r="AL35" s="172" t="str">
        <f t="shared" si="34"/>
        <v>-</v>
      </c>
      <c r="AM35" s="172" t="str">
        <f t="shared" si="35"/>
        <v>-</v>
      </c>
      <c r="AN35" s="172">
        <f t="shared" si="36"/>
        <v>-100</v>
      </c>
      <c r="AO35" s="172">
        <f t="shared" si="37"/>
        <v>-8.937569522014655</v>
      </c>
      <c r="AP35" s="172" t="str">
        <f t="shared" si="38"/>
        <v>-</v>
      </c>
      <c r="AQ35" s="172" t="str">
        <f t="shared" si="39"/>
        <v>-</v>
      </c>
      <c r="AR35" s="172">
        <f t="shared" si="40"/>
        <v>36.84033779229501</v>
      </c>
      <c r="AS35" s="172" t="str">
        <f t="shared" si="41"/>
        <v>-</v>
      </c>
      <c r="AT35" s="172">
        <f t="shared" si="26"/>
        <v>-100</v>
      </c>
      <c r="AU35" s="173">
        <f t="shared" si="42"/>
        <v>-60.163916081468436</v>
      </c>
      <c r="AV35" s="184"/>
      <c r="AW35" s="165"/>
      <c r="AX35" s="165"/>
      <c r="AY35" s="166"/>
      <c r="AZ35" s="166"/>
      <c r="BA35" s="166"/>
      <c r="BB35" s="166"/>
    </row>
    <row r="36" spans="3:54" ht="12.75">
      <c r="C36" s="186" t="str">
        <f>IF(Indice_index!$Z$1=1,"Outras despesas de capital","Other capital expenditure")</f>
        <v>Outras despesas de capital</v>
      </c>
      <c r="D36" s="300">
        <v>0</v>
      </c>
      <c r="E36" s="300">
        <v>0</v>
      </c>
      <c r="F36" s="300">
        <v>80</v>
      </c>
      <c r="G36" s="300">
        <v>0</v>
      </c>
      <c r="H36" s="300">
        <v>0</v>
      </c>
      <c r="I36" s="300">
        <v>0</v>
      </c>
      <c r="J36" s="300">
        <v>0</v>
      </c>
      <c r="K36" s="300">
        <v>0</v>
      </c>
      <c r="L36" s="300">
        <v>0.0008012000000000001</v>
      </c>
      <c r="M36" s="300">
        <v>0</v>
      </c>
      <c r="N36" s="300">
        <v>41.355371999999996</v>
      </c>
      <c r="O36" s="300">
        <v>0</v>
      </c>
      <c r="P36" s="300">
        <v>0</v>
      </c>
      <c r="Q36" s="301">
        <f t="shared" si="18"/>
        <v>121.3561732</v>
      </c>
      <c r="R36" s="163"/>
      <c r="S36" s="301">
        <v>0</v>
      </c>
      <c r="T36" s="301">
        <v>0</v>
      </c>
      <c r="U36" s="301">
        <v>0</v>
      </c>
      <c r="V36" s="301">
        <v>0.45595463</v>
      </c>
      <c r="W36" s="301">
        <v>0</v>
      </c>
      <c r="X36" s="301">
        <v>0</v>
      </c>
      <c r="Y36" s="301">
        <v>0</v>
      </c>
      <c r="Z36" s="301">
        <v>0</v>
      </c>
      <c r="AA36" s="301">
        <v>0.00356649</v>
      </c>
      <c r="AB36" s="301">
        <v>0</v>
      </c>
      <c r="AC36" s="301">
        <v>34.50391871</v>
      </c>
      <c r="AD36" s="301">
        <v>0</v>
      </c>
      <c r="AE36" s="301">
        <v>0</v>
      </c>
      <c r="AF36" s="288">
        <f t="shared" si="47"/>
        <v>34.96343983</v>
      </c>
      <c r="AG36" s="163"/>
      <c r="AH36" s="172" t="str">
        <f t="shared" si="30"/>
        <v>-</v>
      </c>
      <c r="AI36" s="172" t="str">
        <f t="shared" si="31"/>
        <v>-</v>
      </c>
      <c r="AJ36" s="172" t="str">
        <f t="shared" si="32"/>
        <v>-</v>
      </c>
      <c r="AK36" s="172">
        <f t="shared" si="33"/>
        <v>-100</v>
      </c>
      <c r="AL36" s="172" t="str">
        <f t="shared" si="34"/>
        <v>-</v>
      </c>
      <c r="AM36" s="172" t="str">
        <f t="shared" si="35"/>
        <v>-</v>
      </c>
      <c r="AN36" s="172" t="str">
        <f t="shared" si="36"/>
        <v>-</v>
      </c>
      <c r="AO36" s="172" t="str">
        <f t="shared" si="37"/>
        <v>-</v>
      </c>
      <c r="AP36" s="172">
        <f t="shared" si="38"/>
        <v>-77.53533586243057</v>
      </c>
      <c r="AQ36" s="172" t="str">
        <f t="shared" si="39"/>
        <v>-</v>
      </c>
      <c r="AR36" s="172">
        <f t="shared" si="40"/>
        <v>19.85702942203574</v>
      </c>
      <c r="AS36" s="172" t="str">
        <f t="shared" si="41"/>
        <v>-</v>
      </c>
      <c r="AT36" s="172" t="str">
        <f t="shared" si="26"/>
        <v>-</v>
      </c>
      <c r="AU36" s="173" t="str">
        <f t="shared" si="42"/>
        <v>-</v>
      </c>
      <c r="AV36" s="184"/>
      <c r="AW36" s="165"/>
      <c r="AX36" s="165"/>
      <c r="AY36" s="166"/>
      <c r="AZ36" s="166"/>
      <c r="BA36" s="166"/>
      <c r="BB36" s="166"/>
    </row>
    <row r="37" spans="3:54" ht="12.75">
      <c r="C37" s="186"/>
      <c r="D37" s="301"/>
      <c r="E37" s="301"/>
      <c r="F37" s="301"/>
      <c r="G37" s="301"/>
      <c r="H37" s="301"/>
      <c r="I37" s="301"/>
      <c r="J37" s="301"/>
      <c r="K37" s="301"/>
      <c r="L37" s="301"/>
      <c r="M37" s="301"/>
      <c r="N37" s="301"/>
      <c r="O37" s="301"/>
      <c r="P37" s="301"/>
      <c r="Q37" s="301"/>
      <c r="R37" s="163"/>
      <c r="S37" s="301"/>
      <c r="T37" s="301"/>
      <c r="U37" s="301"/>
      <c r="V37" s="301"/>
      <c r="W37" s="301"/>
      <c r="X37" s="301"/>
      <c r="Y37" s="301"/>
      <c r="Z37" s="301"/>
      <c r="AA37" s="301"/>
      <c r="AB37" s="301"/>
      <c r="AC37" s="301"/>
      <c r="AD37" s="301"/>
      <c r="AE37" s="301"/>
      <c r="AF37" s="288"/>
      <c r="AG37" s="163"/>
      <c r="AH37" s="172"/>
      <c r="AI37" s="172"/>
      <c r="AJ37" s="172"/>
      <c r="AK37" s="172"/>
      <c r="AL37" s="172"/>
      <c r="AM37" s="172"/>
      <c r="AN37" s="172"/>
      <c r="AO37" s="172"/>
      <c r="AP37" s="172"/>
      <c r="AQ37" s="172"/>
      <c r="AR37" s="172"/>
      <c r="AS37" s="172"/>
      <c r="AT37" s="172" t="str">
        <f t="shared" si="26"/>
        <v>-</v>
      </c>
      <c r="AU37" s="173"/>
      <c r="AV37" s="184"/>
      <c r="AW37" s="165"/>
      <c r="AX37" s="165"/>
      <c r="AY37" s="166"/>
      <c r="AZ37" s="166"/>
      <c r="BA37" s="166"/>
      <c r="BB37" s="166"/>
    </row>
    <row r="38" spans="3:187" s="139" customFormat="1" ht="17.25" customHeight="1">
      <c r="C38" s="187" t="str">
        <f>IF(Indice_index!$Z$1=1,"Despesa efetiva","Effective Expenditure")</f>
        <v>Despesa efetiva</v>
      </c>
      <c r="D38" s="303">
        <f>+D27+D8</f>
        <v>2862.21793604</v>
      </c>
      <c r="E38" s="303">
        <f>+E27+E8</f>
        <v>229.07652409000002</v>
      </c>
      <c r="F38" s="303">
        <f aca="true" t="shared" si="48" ref="F38:P38">+F8+F27</f>
        <v>15132.68825442</v>
      </c>
      <c r="G38" s="303">
        <f t="shared" si="48"/>
        <v>324.9574611500001</v>
      </c>
      <c r="H38" s="303">
        <f t="shared" si="48"/>
        <v>1887.1411464599996</v>
      </c>
      <c r="I38" s="303">
        <f t="shared" si="48"/>
        <v>1998.5197856400002</v>
      </c>
      <c r="J38" s="303">
        <f t="shared" si="48"/>
        <v>1167.4587487799997</v>
      </c>
      <c r="K38" s="303">
        <f t="shared" si="48"/>
        <v>109.76505062999999</v>
      </c>
      <c r="L38" s="303">
        <f t="shared" si="48"/>
        <v>406.4047457899999</v>
      </c>
      <c r="M38" s="303">
        <f t="shared" si="48"/>
        <v>7930.54961669</v>
      </c>
      <c r="N38" s="303">
        <f t="shared" si="48"/>
        <v>7370.805624590006</v>
      </c>
      <c r="O38" s="303">
        <f t="shared" si="48"/>
        <v>9434.90005091</v>
      </c>
      <c r="P38" s="303">
        <f t="shared" si="48"/>
        <v>43.66997555</v>
      </c>
      <c r="Q38" s="303">
        <f>+Q8+Q27</f>
        <v>48898.15492074</v>
      </c>
      <c r="R38" s="188"/>
      <c r="S38" s="303">
        <f>+S27+S8</f>
        <v>2815.5126578900004</v>
      </c>
      <c r="T38" s="303">
        <f>+T27+T8</f>
        <v>227.44951938000003</v>
      </c>
      <c r="U38" s="303">
        <f aca="true" t="shared" si="49" ref="U38:AE38">+U8+U27</f>
        <v>15502.403290139999</v>
      </c>
      <c r="V38" s="303">
        <f t="shared" si="49"/>
        <v>304.19137143</v>
      </c>
      <c r="W38" s="303">
        <f t="shared" si="49"/>
        <v>1816.2944081699998</v>
      </c>
      <c r="X38" s="303">
        <f t="shared" si="49"/>
        <v>1724.4173860400006</v>
      </c>
      <c r="Y38" s="303">
        <f t="shared" si="49"/>
        <v>1078.46469796</v>
      </c>
      <c r="Z38" s="303">
        <f t="shared" si="49"/>
        <v>148.87680929</v>
      </c>
      <c r="AA38" s="303">
        <f t="shared" si="49"/>
        <v>462.76461074</v>
      </c>
      <c r="AB38" s="303">
        <f>+AB8+AB27</f>
        <v>9795.79061265</v>
      </c>
      <c r="AC38" s="303">
        <f t="shared" si="49"/>
        <v>6909.100156570004</v>
      </c>
      <c r="AD38" s="303">
        <f t="shared" si="49"/>
        <v>7916.35846413</v>
      </c>
      <c r="AE38" s="303">
        <f t="shared" si="49"/>
        <v>67.92769028</v>
      </c>
      <c r="AF38" s="294">
        <f>+AF8+AF27</f>
        <v>48769.55167467</v>
      </c>
      <c r="AG38" s="188"/>
      <c r="AH38" s="189">
        <f aca="true" t="shared" si="50" ref="AH38:AS38">IF(S38=0,"-",IF((D38/S38)&gt;2,"-",((D38-S38)/S38)*100))</f>
        <v>1.6588552006369428</v>
      </c>
      <c r="AI38" s="189">
        <f t="shared" si="50"/>
        <v>0.7153256311268597</v>
      </c>
      <c r="AJ38" s="189">
        <f t="shared" si="50"/>
        <v>-2.3848885156738824</v>
      </c>
      <c r="AK38" s="189">
        <f t="shared" si="50"/>
        <v>6.826653110631948</v>
      </c>
      <c r="AL38" s="189">
        <f t="shared" si="50"/>
        <v>3.9006197437661663</v>
      </c>
      <c r="AM38" s="189">
        <f t="shared" si="50"/>
        <v>15.895362794355487</v>
      </c>
      <c r="AN38" s="189">
        <f t="shared" si="50"/>
        <v>8.251920622746294</v>
      </c>
      <c r="AO38" s="189">
        <f t="shared" si="50"/>
        <v>-26.271223064576475</v>
      </c>
      <c r="AP38" s="189">
        <f t="shared" si="50"/>
        <v>-12.178948787781312</v>
      </c>
      <c r="AQ38" s="189">
        <f t="shared" si="50"/>
        <v>-19.041250162608435</v>
      </c>
      <c r="AR38" s="189">
        <f t="shared" si="50"/>
        <v>6.68257019810252</v>
      </c>
      <c r="AS38" s="189">
        <f t="shared" si="50"/>
        <v>19.18232472241751</v>
      </c>
      <c r="AT38" s="189">
        <f t="shared" si="26"/>
        <v>-35.71108428684821</v>
      </c>
      <c r="AU38" s="190">
        <f>IF(AF38=0,"-",IF((Q38/AF38)&gt;2,"-",((Q38-AF38)/AF38)*100))</f>
        <v>0.2636957725752375</v>
      </c>
      <c r="AV38" s="184"/>
      <c r="AW38" s="165"/>
      <c r="AX38" s="165"/>
      <c r="AY38" s="166"/>
      <c r="AZ38" s="166"/>
      <c r="BA38" s="166"/>
      <c r="BB38" s="166"/>
      <c r="BC38" s="153"/>
      <c r="BD38" s="153"/>
      <c r="BE38" s="153"/>
      <c r="BF38" s="152"/>
      <c r="BG38" s="152"/>
      <c r="BH38" s="152"/>
      <c r="BI38" s="152"/>
      <c r="BJ38" s="152"/>
      <c r="BK38" s="152"/>
      <c r="BL38" s="137"/>
      <c r="BM38" s="137"/>
      <c r="BN38" s="137"/>
      <c r="BO38" s="137"/>
      <c r="BP38" s="137"/>
      <c r="BQ38" s="137"/>
      <c r="BR38" s="137"/>
      <c r="BS38" s="137"/>
      <c r="BT38" s="137"/>
      <c r="BU38" s="137"/>
      <c r="BV38" s="137"/>
      <c r="BW38" s="137"/>
      <c r="BX38" s="137"/>
      <c r="BY38" s="137"/>
      <c r="BZ38" s="137"/>
      <c r="CA38" s="137"/>
      <c r="CB38" s="137"/>
      <c r="CC38" s="137"/>
      <c r="CD38" s="137"/>
      <c r="CE38" s="137"/>
      <c r="CF38" s="137"/>
      <c r="CG38" s="137"/>
      <c r="CH38" s="137"/>
      <c r="CI38" s="137"/>
      <c r="CJ38" s="137"/>
      <c r="CK38" s="137"/>
      <c r="CL38" s="137"/>
      <c r="CM38" s="137"/>
      <c r="CN38" s="137"/>
      <c r="CO38" s="137"/>
      <c r="CP38" s="137"/>
      <c r="CQ38" s="137"/>
      <c r="CR38" s="137"/>
      <c r="CS38" s="137"/>
      <c r="CT38" s="137"/>
      <c r="CU38" s="137"/>
      <c r="CV38" s="137"/>
      <c r="CW38" s="137"/>
      <c r="CX38" s="137"/>
      <c r="CY38" s="137"/>
      <c r="CZ38" s="137"/>
      <c r="DA38" s="137"/>
      <c r="DB38" s="137"/>
      <c r="DC38" s="137"/>
      <c r="DD38" s="137"/>
      <c r="DE38" s="137"/>
      <c r="DF38" s="137"/>
      <c r="DG38" s="137"/>
      <c r="DH38" s="137"/>
      <c r="DI38" s="137"/>
      <c r="DJ38" s="137"/>
      <c r="DK38" s="137"/>
      <c r="DL38" s="137"/>
      <c r="DM38" s="137"/>
      <c r="DN38" s="137"/>
      <c r="DO38" s="137"/>
      <c r="DP38" s="137"/>
      <c r="DQ38" s="137"/>
      <c r="DR38" s="137"/>
      <c r="DS38" s="137"/>
      <c r="DT38" s="137"/>
      <c r="DU38" s="137"/>
      <c r="DV38" s="137"/>
      <c r="DW38" s="137"/>
      <c r="DX38" s="137"/>
      <c r="DY38" s="137"/>
      <c r="DZ38" s="137"/>
      <c r="EA38" s="137"/>
      <c r="EB38" s="137"/>
      <c r="EC38" s="137"/>
      <c r="ED38" s="137"/>
      <c r="EE38" s="137"/>
      <c r="EF38" s="137"/>
      <c r="EG38" s="137"/>
      <c r="EH38" s="137"/>
      <c r="EI38" s="137"/>
      <c r="EJ38" s="137"/>
      <c r="EK38" s="137"/>
      <c r="EL38" s="137"/>
      <c r="EM38" s="137"/>
      <c r="EN38" s="137"/>
      <c r="EO38" s="137"/>
      <c r="EP38" s="137"/>
      <c r="EQ38" s="137"/>
      <c r="ER38" s="137"/>
      <c r="ES38" s="137"/>
      <c r="ET38" s="137"/>
      <c r="EU38" s="137"/>
      <c r="EV38" s="137"/>
      <c r="EW38" s="137"/>
      <c r="EX38" s="137"/>
      <c r="EY38" s="137"/>
      <c r="EZ38" s="137"/>
      <c r="FA38" s="137"/>
      <c r="FB38" s="137"/>
      <c r="FC38" s="137"/>
      <c r="FD38" s="137"/>
      <c r="FE38" s="137"/>
      <c r="FF38" s="137"/>
      <c r="FG38" s="137"/>
      <c r="FH38" s="137"/>
      <c r="FI38" s="137"/>
      <c r="FJ38" s="137"/>
      <c r="FK38" s="137"/>
      <c r="FL38" s="137"/>
      <c r="FM38" s="137"/>
      <c r="FN38" s="137"/>
      <c r="FO38" s="137"/>
      <c r="FP38" s="137"/>
      <c r="FQ38" s="137"/>
      <c r="FR38" s="137"/>
      <c r="FS38" s="137"/>
      <c r="FT38" s="137"/>
      <c r="FU38" s="137"/>
      <c r="FV38" s="137"/>
      <c r="FW38" s="137"/>
      <c r="FX38" s="137"/>
      <c r="FY38" s="137"/>
      <c r="FZ38" s="137"/>
      <c r="GA38" s="137"/>
      <c r="GB38" s="137"/>
      <c r="GC38" s="137"/>
      <c r="GD38" s="137"/>
      <c r="GE38" s="137"/>
    </row>
    <row r="39" spans="3:54" ht="12.75">
      <c r="C39" s="191" t="str">
        <f>IF(Indice_index!$Z$1=1,"   Por memória:","   Memo item:")</f>
        <v>   Por memória:</v>
      </c>
      <c r="D39" s="301"/>
      <c r="E39" s="301"/>
      <c r="F39" s="301"/>
      <c r="G39" s="301"/>
      <c r="H39" s="301"/>
      <c r="I39" s="301"/>
      <c r="J39" s="301"/>
      <c r="K39" s="301"/>
      <c r="L39" s="301"/>
      <c r="M39" s="301"/>
      <c r="N39" s="301"/>
      <c r="O39" s="301"/>
      <c r="P39" s="301"/>
      <c r="Q39" s="301"/>
      <c r="R39" s="163"/>
      <c r="S39" s="301"/>
      <c r="T39" s="301"/>
      <c r="U39" s="301"/>
      <c r="V39" s="301"/>
      <c r="W39" s="301"/>
      <c r="X39" s="301"/>
      <c r="Y39" s="301"/>
      <c r="Z39" s="301"/>
      <c r="AA39" s="301"/>
      <c r="AB39" s="301"/>
      <c r="AC39" s="301"/>
      <c r="AD39" s="301"/>
      <c r="AE39" s="301"/>
      <c r="AF39" s="288"/>
      <c r="AG39" s="163"/>
      <c r="AH39" s="172"/>
      <c r="AI39" s="172"/>
      <c r="AJ39" s="172"/>
      <c r="AK39" s="172"/>
      <c r="AL39" s="172"/>
      <c r="AM39" s="172"/>
      <c r="AN39" s="172"/>
      <c r="AO39" s="172"/>
      <c r="AP39" s="172"/>
      <c r="AQ39" s="172"/>
      <c r="AR39" s="172"/>
      <c r="AS39" s="172"/>
      <c r="AT39" s="172"/>
      <c r="AU39" s="192"/>
      <c r="AV39" s="184"/>
      <c r="AW39" s="165"/>
      <c r="AX39" s="165"/>
      <c r="AY39" s="166"/>
      <c r="AZ39" s="166"/>
      <c r="BA39" s="166"/>
      <c r="BB39" s="166"/>
    </row>
    <row r="40" spans="3:54" ht="12.75">
      <c r="C40" s="193" t="str">
        <f>IF(Indice_index!$Z$1=1,"Ativos financeiros","Financial assets")</f>
        <v>Ativos financeiros</v>
      </c>
      <c r="D40" s="300"/>
      <c r="E40" s="300"/>
      <c r="F40" s="300">
        <v>6821.548412959999</v>
      </c>
      <c r="G40" s="300"/>
      <c r="H40" s="300"/>
      <c r="I40" s="300"/>
      <c r="J40" s="300"/>
      <c r="K40" s="300"/>
      <c r="L40" s="300"/>
      <c r="M40" s="300"/>
      <c r="N40" s="300"/>
      <c r="O40" s="300"/>
      <c r="P40" s="300"/>
      <c r="Q40" s="301">
        <f>SUM(D40:P40)</f>
        <v>6821.548412959999</v>
      </c>
      <c r="R40" s="194"/>
      <c r="S40" s="301"/>
      <c r="T40" s="301"/>
      <c r="U40" s="301">
        <v>11810.264908460002</v>
      </c>
      <c r="V40" s="301"/>
      <c r="W40" s="301"/>
      <c r="X40" s="301"/>
      <c r="Y40" s="301"/>
      <c r="Z40" s="301"/>
      <c r="AA40" s="301"/>
      <c r="AB40" s="301"/>
      <c r="AC40" s="301"/>
      <c r="AD40" s="301"/>
      <c r="AE40" s="301"/>
      <c r="AF40" s="288">
        <f>SUM(S40:AE40)</f>
        <v>11810.264908460002</v>
      </c>
      <c r="AG40" s="194"/>
      <c r="AH40" s="172"/>
      <c r="AI40" s="172"/>
      <c r="AJ40" s="172"/>
      <c r="AK40" s="172"/>
      <c r="AL40" s="172"/>
      <c r="AM40" s="172"/>
      <c r="AN40" s="172"/>
      <c r="AO40" s="172"/>
      <c r="AP40" s="172"/>
      <c r="AQ40" s="172"/>
      <c r="AR40" s="172"/>
      <c r="AS40" s="172"/>
      <c r="AT40" s="172"/>
      <c r="AU40" s="192"/>
      <c r="AV40" s="184"/>
      <c r="AW40" s="165"/>
      <c r="AX40" s="165"/>
      <c r="AY40" s="166"/>
      <c r="AZ40" s="166"/>
      <c r="BA40" s="166"/>
      <c r="BB40" s="166"/>
    </row>
    <row r="41" spans="3:54" ht="12.75">
      <c r="C41" s="193" t="str">
        <f>IF(Indice_index!$Z$1=1,"Passivos financeiros","Financial liabilities")</f>
        <v>Passivos financeiros</v>
      </c>
      <c r="D41" s="300"/>
      <c r="E41" s="300"/>
      <c r="F41" s="300">
        <v>86643.28747836</v>
      </c>
      <c r="G41" s="300"/>
      <c r="H41" s="300"/>
      <c r="I41" s="300"/>
      <c r="J41" s="300"/>
      <c r="K41" s="300"/>
      <c r="L41" s="300"/>
      <c r="M41" s="300"/>
      <c r="N41" s="300"/>
      <c r="O41" s="300"/>
      <c r="P41" s="300"/>
      <c r="Q41" s="301">
        <f>SUM(D41:P41)</f>
        <v>86643.28747836</v>
      </c>
      <c r="R41" s="194"/>
      <c r="S41" s="301"/>
      <c r="T41" s="301"/>
      <c r="U41" s="301">
        <v>91276.45253028</v>
      </c>
      <c r="V41" s="301"/>
      <c r="W41" s="301"/>
      <c r="X41" s="301"/>
      <c r="Y41" s="301"/>
      <c r="Z41" s="301"/>
      <c r="AA41" s="301"/>
      <c r="AB41" s="301"/>
      <c r="AC41" s="301"/>
      <c r="AD41" s="301"/>
      <c r="AE41" s="301"/>
      <c r="AF41" s="288">
        <f>SUM(S41:AE41)</f>
        <v>91276.45253028</v>
      </c>
      <c r="AG41" s="194"/>
      <c r="AH41" s="172"/>
      <c r="AI41" s="172"/>
      <c r="AJ41" s="172"/>
      <c r="AK41" s="172"/>
      <c r="AL41" s="172"/>
      <c r="AM41" s="172"/>
      <c r="AN41" s="172"/>
      <c r="AO41" s="172"/>
      <c r="AP41" s="172"/>
      <c r="AQ41" s="172"/>
      <c r="AR41" s="172"/>
      <c r="AS41" s="172"/>
      <c r="AT41" s="172"/>
      <c r="AU41" s="192"/>
      <c r="AV41" s="184"/>
      <c r="AW41" s="165"/>
      <c r="AX41" s="165"/>
      <c r="AY41" s="166"/>
      <c r="AZ41" s="166"/>
      <c r="BA41" s="166"/>
      <c r="BB41" s="166"/>
    </row>
    <row r="42" spans="3:54" ht="23.25" customHeight="1">
      <c r="C42" s="195" t="str">
        <f>IF(Indice_index!$Z$1=1,"Transf. para o Fundo de Regularização da Dívida Pública","Public Debt Settlement Fund transfers")</f>
        <v>Transf. para o Fundo de Regularização da Dívida Pública</v>
      </c>
      <c r="D42" s="304"/>
      <c r="E42" s="304"/>
      <c r="F42" s="304">
        <v>1340</v>
      </c>
      <c r="G42" s="304"/>
      <c r="H42" s="304"/>
      <c r="I42" s="304"/>
      <c r="J42" s="304"/>
      <c r="K42" s="304"/>
      <c r="L42" s="304"/>
      <c r="M42" s="304"/>
      <c r="N42" s="304"/>
      <c r="O42" s="304"/>
      <c r="P42" s="304"/>
      <c r="Q42" s="304">
        <f>SUM(D42:P42)</f>
        <v>1340</v>
      </c>
      <c r="R42" s="196"/>
      <c r="S42" s="304"/>
      <c r="T42" s="304"/>
      <c r="U42" s="304">
        <v>2768.06236586</v>
      </c>
      <c r="V42" s="304"/>
      <c r="W42" s="304"/>
      <c r="X42" s="304"/>
      <c r="Y42" s="304"/>
      <c r="Z42" s="304"/>
      <c r="AA42" s="304"/>
      <c r="AB42" s="304"/>
      <c r="AC42" s="304"/>
      <c r="AD42" s="304"/>
      <c r="AE42" s="304"/>
      <c r="AF42" s="295">
        <f>SUM(S42:AE42)</f>
        <v>2768.06236586</v>
      </c>
      <c r="AG42" s="196"/>
      <c r="AH42" s="197"/>
      <c r="AI42" s="197"/>
      <c r="AJ42" s="197"/>
      <c r="AK42" s="197"/>
      <c r="AL42" s="197"/>
      <c r="AM42" s="197"/>
      <c r="AN42" s="197"/>
      <c r="AO42" s="197"/>
      <c r="AP42" s="197"/>
      <c r="AQ42" s="197"/>
      <c r="AR42" s="197"/>
      <c r="AS42" s="197"/>
      <c r="AT42" s="197"/>
      <c r="AU42" s="198"/>
      <c r="AV42" s="184"/>
      <c r="AW42" s="165"/>
      <c r="AX42" s="165"/>
      <c r="AY42" s="166"/>
      <c r="AZ42" s="166"/>
      <c r="BA42" s="166"/>
      <c r="BB42" s="166"/>
    </row>
    <row r="43" spans="3:63" s="140" customFormat="1" ht="12.75">
      <c r="C43" s="213" t="str">
        <f>IF(Indice_index!$Z$1=1,"Nota: Os valores constantes do presente quadro não excluem transferências intra-setoriais.","Note: Data of the present chat does not exclude intra-sectoral transfers.")</f>
        <v>Nota: Os valores constantes do presente quadro não excluem transferências intra-setoriais.</v>
      </c>
      <c r="E43" s="199"/>
      <c r="F43" s="200"/>
      <c r="G43" s="199"/>
      <c r="H43" s="199"/>
      <c r="I43" s="200"/>
      <c r="J43" s="199"/>
      <c r="K43" s="199"/>
      <c r="L43" s="199"/>
      <c r="M43" s="199"/>
      <c r="N43" s="199"/>
      <c r="O43" s="201"/>
      <c r="P43" s="202"/>
      <c r="Q43"/>
      <c r="R43" s="203"/>
      <c r="S43" s="203"/>
      <c r="T43" s="203"/>
      <c r="U43" s="203"/>
      <c r="V43" s="203"/>
      <c r="W43" s="203"/>
      <c r="X43" s="203"/>
      <c r="Y43" s="203"/>
      <c r="Z43" s="203"/>
      <c r="AA43" s="203"/>
      <c r="AB43" s="203"/>
      <c r="AC43" s="204"/>
      <c r="AD43" s="204"/>
      <c r="AE43" s="204"/>
      <c r="AF43" s="203"/>
      <c r="AG43" s="203"/>
      <c r="AH43" s="203"/>
      <c r="AI43" s="199"/>
      <c r="AJ43" s="199"/>
      <c r="AK43" s="199"/>
      <c r="AL43" s="199"/>
      <c r="AM43" s="199"/>
      <c r="AN43" s="199"/>
      <c r="AO43" s="199"/>
      <c r="AP43" s="199"/>
      <c r="AQ43" s="199"/>
      <c r="AR43" s="199"/>
      <c r="AS43" s="199"/>
      <c r="AT43" s="199"/>
      <c r="AU43" s="199"/>
      <c r="AV43" s="205"/>
      <c r="AW43" s="205"/>
      <c r="AX43" s="205"/>
      <c r="AY43" s="206"/>
      <c r="AZ43" s="206"/>
      <c r="BA43" s="206"/>
      <c r="BB43" s="206"/>
      <c r="BC43" s="155"/>
      <c r="BD43" s="155"/>
      <c r="BE43" s="155"/>
      <c r="BF43" s="155"/>
      <c r="BG43" s="155"/>
      <c r="BH43" s="155"/>
      <c r="BI43" s="155"/>
      <c r="BJ43" s="155"/>
      <c r="BK43" s="155"/>
    </row>
    <row r="44" spans="16:32" ht="12.75">
      <c r="P44" s="141"/>
      <c r="Q44"/>
      <c r="R44"/>
      <c r="S44"/>
      <c r="T44"/>
      <c r="U44"/>
      <c r="V44"/>
      <c r="W44"/>
      <c r="X44"/>
      <c r="Y44"/>
      <c r="Z44"/>
      <c r="AA44"/>
      <c r="AB44"/>
      <c r="AC44"/>
      <c r="AD44"/>
      <c r="AE44"/>
      <c r="AF44"/>
    </row>
    <row r="45" spans="3:32" ht="12.75">
      <c r="C45" s="212" t="str">
        <f>IF(Indice_index!$Z$1=1,"Fonte: Ministério das Finanças","Source: Ministry of Finance")</f>
        <v>Fonte: Ministério das Finanças</v>
      </c>
      <c r="D45" s="231"/>
      <c r="E45" s="231"/>
      <c r="F45" s="231"/>
      <c r="G45" s="231"/>
      <c r="H45" s="231"/>
      <c r="I45" s="231"/>
      <c r="J45" s="231"/>
      <c r="K45" s="231"/>
      <c r="L45" s="231"/>
      <c r="M45" s="231"/>
      <c r="N45" s="231"/>
      <c r="O45" s="231"/>
      <c r="P45" s="231"/>
      <c r="Q45"/>
      <c r="R45"/>
      <c r="S45"/>
      <c r="T45"/>
      <c r="U45"/>
      <c r="V45"/>
      <c r="W45"/>
      <c r="X45"/>
      <c r="Y45"/>
      <c r="Z45"/>
      <c r="AA45"/>
      <c r="AB45"/>
      <c r="AC45"/>
      <c r="AD45"/>
      <c r="AE45"/>
      <c r="AF45"/>
    </row>
    <row r="46" ht="12">
      <c r="P46" s="141"/>
    </row>
    <row r="47" ht="12">
      <c r="P47" s="141"/>
    </row>
    <row r="48" ht="12">
      <c r="P48" s="141"/>
    </row>
    <row r="49" spans="16:32" ht="12">
      <c r="P49" s="141"/>
      <c r="AF49" s="271"/>
    </row>
    <row r="50" ht="12">
      <c r="P50" s="141"/>
    </row>
    <row r="51" ht="12">
      <c r="P51" s="141"/>
    </row>
    <row r="52" ht="12">
      <c r="P52" s="141"/>
    </row>
    <row r="53" ht="12">
      <c r="P53" s="141"/>
    </row>
    <row r="54" ht="12">
      <c r="P54" s="141"/>
    </row>
    <row r="55" ht="12">
      <c r="P55" s="141"/>
    </row>
    <row r="56" ht="12">
      <c r="P56" s="141"/>
    </row>
    <row r="57" ht="12">
      <c r="P57" s="141"/>
    </row>
    <row r="58" ht="12">
      <c r="P58" s="141"/>
    </row>
    <row r="59" ht="12">
      <c r="P59" s="141"/>
    </row>
    <row r="60" ht="12">
      <c r="P60" s="141"/>
    </row>
    <row r="61" ht="12">
      <c r="P61" s="141"/>
    </row>
    <row r="62" ht="12">
      <c r="P62" s="141"/>
    </row>
    <row r="63" ht="12">
      <c r="P63" s="141"/>
    </row>
    <row r="64" ht="12">
      <c r="P64" s="141"/>
    </row>
    <row r="65" ht="12">
      <c r="P65" s="141"/>
    </row>
    <row r="66" ht="12">
      <c r="P66" s="141"/>
    </row>
    <row r="67" ht="12">
      <c r="P67" s="141"/>
    </row>
    <row r="68" ht="12">
      <c r="P68" s="141"/>
    </row>
    <row r="69" ht="12">
      <c r="P69" s="141"/>
    </row>
    <row r="70" ht="12">
      <c r="P70" s="141"/>
    </row>
    <row r="71" ht="12">
      <c r="P71" s="141"/>
    </row>
    <row r="72" ht="12">
      <c r="P72" s="141"/>
    </row>
    <row r="73" ht="12">
      <c r="P73" s="141"/>
    </row>
    <row r="74" ht="12">
      <c r="P74" s="141"/>
    </row>
    <row r="75" ht="12">
      <c r="P75" s="141"/>
    </row>
    <row r="76" ht="12">
      <c r="P76" s="141"/>
    </row>
    <row r="77" ht="12">
      <c r="P77" s="141"/>
    </row>
  </sheetData>
  <sheetProtection/>
  <mergeCells count="4">
    <mergeCell ref="D6:Q6"/>
    <mergeCell ref="AH6:AU6"/>
    <mergeCell ref="S6:AF6"/>
    <mergeCell ref="C2:AU2"/>
  </mergeCells>
  <printOptions horizontalCentered="1" verticalCentered="1"/>
  <pageMargins left="0.35433070866141736" right="0.35433070866141736" top="0.3937007874015748" bottom="0.3937007874015748" header="0.3937007874015748" footer="0.3937007874015748"/>
  <pageSetup fitToWidth="2" horizontalDpi="600" verticalDpi="600" orientation="landscape" paperSize="9" scale="56" r:id="rId3"/>
  <headerFooter alignWithMargins="0">
    <oddHeader>&amp;L&amp;G</oddHeader>
  </headerFooter>
  <colBreaks count="2" manualBreakCount="2">
    <brk id="17" min="1" max="45" man="1"/>
    <brk id="33" min="1" max="45" man="1"/>
  </colBreaks>
  <ignoredErrors>
    <ignoredError sqref="AC6:AF6 D6:L6 N6:AA6" numberStoredAsText="1"/>
    <ignoredError sqref="D13 D18 R14:R15 R16 R20 R19 D26:D27 R21 R22 R23 R24 R25 D30 R28 R32 R31 R13 D17 R17 R18 D29 AC29:AE29 R30 AC26:AE27 Q31 Q32 Q28 N26:P27 N13:P13 N17:P18 N29:Q30 Q33:Q35 AC17:AE17 AC13:AE13 AC18:AE18 AC30:AF30 E29:L30 E17:L18 E13:L13 E26:L27 S30:AA30 S18:AA18 S13:AA13 S17:AA17 R26:AA27 R29:AA29 M13 M17:M18 M26:M27 M29:M30" formulaRange="1"/>
    <ignoredError sqref="Q17:Q18 Q13 Q14:Q15 Q16 Q20 Q19 Q26:Q27 Q21 Q22 Q23 Q24 Q25 AF17 AF18 AF13:AF16" formula="1" formulaRange="1"/>
    <ignoredError sqref="AF27" formula="1"/>
  </ignoredErrors>
  <drawing r:id="rId1"/>
  <legacyDrawingHF r:id="rId2"/>
</worksheet>
</file>

<file path=xl/worksheets/sheet6.xml><?xml version="1.0" encoding="utf-8"?>
<worksheet xmlns="http://schemas.openxmlformats.org/spreadsheetml/2006/main" xmlns:r="http://schemas.openxmlformats.org/officeDocument/2006/relationships">
  <sheetPr>
    <pageSetUpPr fitToPage="1"/>
  </sheetPr>
  <dimension ref="B2:AD48"/>
  <sheetViews>
    <sheetView showGridLines="0" zoomScale="90" zoomScaleNormal="90" zoomScalePageLayoutView="0" workbookViewId="0" topLeftCell="A1">
      <selection activeCell="B2" sqref="B2"/>
    </sheetView>
  </sheetViews>
  <sheetFormatPr defaultColWidth="9.140625" defaultRowHeight="12.75"/>
  <cols>
    <col min="1" max="1" width="4.28125" style="108" customWidth="1"/>
    <col min="2" max="2" width="4.140625" style="108" customWidth="1"/>
    <col min="3" max="3" width="5.140625" style="108" customWidth="1"/>
    <col min="4" max="4" width="9.7109375" style="108" bestFit="1" customWidth="1"/>
    <col min="5" max="5" width="14.00390625" style="108" customWidth="1"/>
    <col min="6" max="6" width="10.421875" style="108" bestFit="1" customWidth="1"/>
    <col min="7" max="7" width="11.8515625" style="108" customWidth="1"/>
    <col min="8" max="8" width="0.9921875" style="108" customWidth="1"/>
    <col min="9" max="9" width="9.28125" style="108" customWidth="1"/>
    <col min="10" max="10" width="9.421875" style="108" bestFit="1" customWidth="1"/>
    <col min="11" max="11" width="11.8515625" style="108" customWidth="1"/>
    <col min="12" max="12" width="11.00390625" style="108" customWidth="1"/>
    <col min="13" max="13" width="13.28125" style="108" customWidth="1"/>
    <col min="14" max="14" width="1.57421875" style="108" customWidth="1"/>
    <col min="15" max="15" width="13.140625" style="108" customWidth="1"/>
    <col min="16" max="16" width="9.8515625" style="108" customWidth="1"/>
    <col min="17" max="17" width="13.7109375" style="108" customWidth="1"/>
    <col min="18" max="18" width="11.57421875" style="108" customWidth="1"/>
    <col min="19" max="19" width="11.421875" style="108" customWidth="1"/>
    <col min="20" max="20" width="2.28125" style="108" customWidth="1"/>
    <col min="21" max="21" width="10.28125" style="108" customWidth="1"/>
    <col min="22" max="22" width="14.421875" style="108" customWidth="1"/>
    <col min="23" max="23" width="13.7109375" style="108" customWidth="1"/>
    <col min="24" max="24" width="2.00390625" style="108" customWidth="1"/>
    <col min="25" max="25" width="23.140625" style="112" customWidth="1"/>
    <col min="26" max="16384" width="9.140625" style="108" customWidth="1"/>
  </cols>
  <sheetData>
    <row r="2" spans="2:30" s="100" customFormat="1" ht="19.5" thickBot="1">
      <c r="B2" s="97"/>
      <c r="C2" s="135" t="str">
        <f>IF(Indice_index!$Z$1=1,"4 - Despesa dos Serviços e Fundos Autónomos - Classificação Funcional","4 -  Autonomous Services and Funds expenditure - Functional Classification")</f>
        <v>4 - Despesa dos Serviços e Fundos Autónomos - Classificação Funcional</v>
      </c>
      <c r="D2" s="98"/>
      <c r="E2" s="98"/>
      <c r="F2" s="98"/>
      <c r="G2" s="98"/>
      <c r="H2" s="98"/>
      <c r="I2" s="98"/>
      <c r="J2" s="98"/>
      <c r="K2" s="98"/>
      <c r="L2" s="98"/>
      <c r="M2" s="98"/>
      <c r="N2" s="98"/>
      <c r="O2" s="98"/>
      <c r="P2" s="98"/>
      <c r="Q2" s="98"/>
      <c r="R2" s="98"/>
      <c r="S2" s="98"/>
      <c r="T2" s="98"/>
      <c r="U2" s="98"/>
      <c r="V2" s="98"/>
      <c r="W2" s="99"/>
      <c r="Y2" s="99"/>
      <c r="AA2" s="101"/>
      <c r="AB2" s="102"/>
      <c r="AC2" s="101"/>
      <c r="AD2" s="103"/>
    </row>
    <row r="3" ht="12.75"/>
    <row r="4" spans="3:26" s="104" customFormat="1" ht="12.75">
      <c r="C4" s="106"/>
      <c r="D4" s="106"/>
      <c r="E4" s="128"/>
      <c r="F4" s="128"/>
      <c r="G4" s="128"/>
      <c r="H4" s="128"/>
      <c r="I4" s="130"/>
      <c r="J4" s="131"/>
      <c r="K4" s="128"/>
      <c r="L4" s="128"/>
      <c r="M4" s="132"/>
      <c r="N4" s="132"/>
      <c r="O4" s="128"/>
      <c r="P4" s="128"/>
      <c r="Q4" s="128"/>
      <c r="R4" s="128"/>
      <c r="S4" s="128"/>
      <c r="T4" s="128"/>
      <c r="U4" s="128"/>
      <c r="V4" s="128"/>
      <c r="W4" s="134"/>
      <c r="X4" s="102"/>
      <c r="Y4" s="134" t="str">
        <f>IF(Indice_index!$Z$1=1,"€ Milhões","€ Millions")</f>
        <v>€ Milhões</v>
      </c>
      <c r="Z4" s="102"/>
    </row>
    <row r="5" spans="3:25" s="104" customFormat="1" ht="15.75" customHeight="1">
      <c r="C5" s="223"/>
      <c r="D5" s="223"/>
      <c r="E5" s="358" t="str">
        <f>IF(Indice_index!$Z$1=1,"Funções Gerais de Soberania","Sovereign General Functions")</f>
        <v>Funções Gerais de Soberania</v>
      </c>
      <c r="F5" s="358" t="s">
        <v>12</v>
      </c>
      <c r="G5" s="358" t="s">
        <v>12</v>
      </c>
      <c r="H5" s="224"/>
      <c r="I5" s="359" t="str">
        <f>IF(Indice_index!$Z$1=1,"Funções Sociais","Social Functions")</f>
        <v>Funções Sociais</v>
      </c>
      <c r="J5" s="359" t="s">
        <v>13</v>
      </c>
      <c r="K5" s="359" t="s">
        <v>13</v>
      </c>
      <c r="L5" s="359" t="s">
        <v>13</v>
      </c>
      <c r="M5" s="359" t="s">
        <v>13</v>
      </c>
      <c r="N5" s="225"/>
      <c r="O5" s="359" t="str">
        <f>IF(Indice_index!$Z$1=1,"Funções Económicas","Economic Functions")</f>
        <v>Funções Económicas</v>
      </c>
      <c r="P5" s="359" t="s">
        <v>14</v>
      </c>
      <c r="Q5" s="359" t="s">
        <v>14</v>
      </c>
      <c r="R5" s="359" t="s">
        <v>14</v>
      </c>
      <c r="S5" s="359" t="s">
        <v>14</v>
      </c>
      <c r="T5" s="225"/>
      <c r="U5" s="359" t="str">
        <f>IF(Indice_index!$Z$1=1,"Outras Funções","Other Functions")</f>
        <v>Outras Funções</v>
      </c>
      <c r="V5" s="359" t="s">
        <v>15</v>
      </c>
      <c r="W5" s="359" t="s">
        <v>15</v>
      </c>
      <c r="X5" s="102"/>
      <c r="Y5" s="229"/>
    </row>
    <row r="6" spans="2:25" s="110" customFormat="1" ht="69" customHeight="1">
      <c r="B6" s="107"/>
      <c r="C6" s="219"/>
      <c r="D6" s="219"/>
      <c r="E6" s="222" t="str">
        <f>IF(Indice_index!$Z$1=1,"Serviços Gerais da Administração Pública","General Public Services")</f>
        <v>Serviços Gerais da Administração Pública</v>
      </c>
      <c r="F6" s="222" t="str">
        <f>IF(Indice_index!$Z$1=1,"Defesa Nacional","National Defense")</f>
        <v>Defesa Nacional</v>
      </c>
      <c r="G6" s="222" t="str">
        <f>IF(Indice_index!$Z$1=1,"Segurança e Ordem Públicas","Public Order and Safety")</f>
        <v>Segurança e Ordem Públicas</v>
      </c>
      <c r="H6" s="221"/>
      <c r="I6" s="222" t="str">
        <f>IF(Indice_index!$Z$1=1,"Educação","Education")</f>
        <v>Educação</v>
      </c>
      <c r="J6" s="222" t="str">
        <f>IF(Indice_index!$Z$1=1,"Saúde","Health")</f>
        <v>Saúde</v>
      </c>
      <c r="K6" s="222" t="str">
        <f>IF(Indice_index!$Z$1=1,"Segurança e Ação Sociais","Safety and Social Services")</f>
        <v>Segurança e Ação Sociais</v>
      </c>
      <c r="L6" s="222" t="str">
        <f>IF(Indice_index!$Z$1=1,"Habitação e Serviços Colectivos","Housing and Collective Services")</f>
        <v>Habitação e Serviços Colectivos</v>
      </c>
      <c r="M6" s="222" t="str">
        <f>IF(Indice_index!$Z$1=1,"Serviços Culturais, Recreativos e Religiosos","Cultural, Recreational e Religious Services")</f>
        <v>Serviços Culturais, Recreativos e Religiosos</v>
      </c>
      <c r="N6" s="220"/>
      <c r="O6" s="222" t="str">
        <f>IF(Indice_index!$Z$1=1,"Agricultura e Pecuária, Silvicultura, Caça e Pesca","Agriculture and Livestock, Forestry, Fishing and Hunting")</f>
        <v>Agricultura e Pecuária, Silvicultura, Caça e Pesca</v>
      </c>
      <c r="P6" s="222" t="str">
        <f>IF(Indice_index!$Z$1=1,"Indústria e Energia","Industry and Energy")</f>
        <v>Indústria e Energia</v>
      </c>
      <c r="Q6" s="222" t="str">
        <f>IF(Indice_index!$Z$1=1,"Transportes e Comunicações","Transport and Communication")</f>
        <v>Transportes e Comunicações</v>
      </c>
      <c r="R6" s="222" t="str">
        <f>IF(Indice_index!$Z$1=1,"Comércio e Turismo","Trade and Tourism")</f>
        <v>Comércio e Turismo</v>
      </c>
      <c r="S6" s="222" t="str">
        <f>IF(Indice_index!$Z$1=1,"Outras Funções Económicas","Other Economic Functions")</f>
        <v>Outras Funções Económicas</v>
      </c>
      <c r="T6" s="220"/>
      <c r="U6" s="222" t="str">
        <f>IF(Indice_index!$Z$1=1,"Operações da Dívida Pública","Public Debt Operations")</f>
        <v>Operações da Dívida Pública</v>
      </c>
      <c r="V6" s="222" t="str">
        <f>IF(Indice_index!$Z$1=1,"Transferências entre Administrações Públicas","Transfers within the General Government")</f>
        <v>Transferências entre Administrações Públicas</v>
      </c>
      <c r="W6" s="222" t="str">
        <f>IF(Indice_index!$Z$1=1,"Diversas não especificadas","Not Elsewhere Classified")</f>
        <v>Diversas não especificadas</v>
      </c>
      <c r="X6" s="109"/>
      <c r="Y6" s="222" t="str">
        <f>IF(Indice_index!$Z$1=1,"TOTAL","TOTAL")</f>
        <v>TOTAL</v>
      </c>
    </row>
    <row r="7" spans="2:25" s="104" customFormat="1" ht="12.75">
      <c r="B7" s="114"/>
      <c r="C7" s="115"/>
      <c r="D7" s="113"/>
      <c r="E7" s="113"/>
      <c r="F7" s="113"/>
      <c r="G7" s="125"/>
      <c r="H7" s="125"/>
      <c r="I7" s="113"/>
      <c r="J7" s="113"/>
      <c r="K7" s="113"/>
      <c r="L7" s="113"/>
      <c r="M7" s="125"/>
      <c r="N7" s="125"/>
      <c r="O7" s="113"/>
      <c r="P7" s="113"/>
      <c r="Q7" s="113"/>
      <c r="R7" s="113"/>
      <c r="S7" s="125"/>
      <c r="T7" s="125"/>
      <c r="U7" s="113"/>
      <c r="V7" s="113"/>
      <c r="W7" s="102"/>
      <c r="X7" s="102"/>
      <c r="Y7" s="102"/>
    </row>
    <row r="8" spans="2:26" s="104" customFormat="1" ht="12.75" customHeight="1">
      <c r="B8" s="114"/>
      <c r="C8" s="111">
        <v>2010</v>
      </c>
      <c r="D8" s="113"/>
      <c r="E8" s="123">
        <v>963.6919563499996</v>
      </c>
      <c r="F8" s="123">
        <v>95.21513813999998</v>
      </c>
      <c r="G8" s="112">
        <v>757.0097847000001</v>
      </c>
      <c r="I8" s="112">
        <v>1857.9218796399962</v>
      </c>
      <c r="J8" s="112">
        <v>13874.370099270005</v>
      </c>
      <c r="K8" s="112">
        <v>8566.594957039995</v>
      </c>
      <c r="L8" s="112">
        <v>161.06434034999995</v>
      </c>
      <c r="M8" s="112">
        <v>136.70439526</v>
      </c>
      <c r="O8" s="112">
        <v>1015.9161751399996</v>
      </c>
      <c r="P8" s="112">
        <v>10.141408859999999</v>
      </c>
      <c r="Q8" s="112">
        <v>220.92411322000012</v>
      </c>
      <c r="R8" s="112">
        <v>199.32523314</v>
      </c>
      <c r="S8" s="112">
        <v>1105.303809229999</v>
      </c>
      <c r="U8" s="104">
        <v>1.1100000000000002E-06</v>
      </c>
      <c r="V8" s="104">
        <v>0</v>
      </c>
      <c r="W8" s="104">
        <v>0</v>
      </c>
      <c r="X8"/>
      <c r="Y8" s="104">
        <f>SUM(E8:W8)</f>
        <v>28964.18329144999</v>
      </c>
      <c r="Z8" s="102"/>
    </row>
    <row r="9" spans="2:26" s="104" customFormat="1" ht="12.75">
      <c r="B9" s="114"/>
      <c r="C9" s="111" t="s">
        <v>4</v>
      </c>
      <c r="E9" s="123">
        <v>824.2703045400007</v>
      </c>
      <c r="F9" s="123">
        <v>76.82205590000005</v>
      </c>
      <c r="G9" s="112">
        <v>932.63138717</v>
      </c>
      <c r="I9" s="112">
        <v>1661.484868819995</v>
      </c>
      <c r="J9" s="112">
        <v>12827.70615570001</v>
      </c>
      <c r="K9" s="112">
        <v>9027.993233619998</v>
      </c>
      <c r="L9" s="112">
        <v>175.51096309999977</v>
      </c>
      <c r="M9" s="112">
        <v>134.25981249999987</v>
      </c>
      <c r="O9" s="112">
        <v>1067.9623552100002</v>
      </c>
      <c r="P9" s="112">
        <v>8.771636879999999</v>
      </c>
      <c r="Q9" s="112">
        <v>210.3638538999999</v>
      </c>
      <c r="R9" s="112">
        <v>210.32018855999996</v>
      </c>
      <c r="S9" s="112">
        <v>1001.6037524099999</v>
      </c>
      <c r="T9" s="113"/>
      <c r="U9" s="113">
        <v>0.05154986</v>
      </c>
      <c r="V9" s="113">
        <v>0</v>
      </c>
      <c r="W9" s="113">
        <v>0</v>
      </c>
      <c r="X9"/>
      <c r="Y9" s="113">
        <f>SUM(E9:W9)</f>
        <v>28159.752118170003</v>
      </c>
      <c r="Z9" s="102"/>
    </row>
    <row r="10" spans="2:26" s="104" customFormat="1" ht="12.75">
      <c r="B10" s="114"/>
      <c r="C10" s="111" t="s">
        <v>5</v>
      </c>
      <c r="D10" s="116"/>
      <c r="E10" s="117"/>
      <c r="F10" s="117"/>
      <c r="G10" s="117"/>
      <c r="H10" s="118"/>
      <c r="I10" s="117"/>
      <c r="J10" s="117"/>
      <c r="K10" s="117"/>
      <c r="L10" s="117"/>
      <c r="M10" s="117"/>
      <c r="N10" s="119"/>
      <c r="O10" s="117"/>
      <c r="P10" s="117"/>
      <c r="Q10" s="117"/>
      <c r="R10" s="117"/>
      <c r="S10" s="117"/>
      <c r="T10" s="116"/>
      <c r="U10" s="116"/>
      <c r="V10" s="116"/>
      <c r="W10" s="116"/>
      <c r="X10"/>
      <c r="Y10" s="116"/>
      <c r="Z10" s="102"/>
    </row>
    <row r="11" spans="2:26" s="104" customFormat="1" ht="12.75">
      <c r="B11" s="114"/>
      <c r="C11" s="111"/>
      <c r="D11" s="121" t="str">
        <f>IF(Indice_index!$Z$1=1,"janeiro","January")</f>
        <v>janeiro</v>
      </c>
      <c r="E11" s="112">
        <v>50.86410505999996</v>
      </c>
      <c r="F11" s="112">
        <v>7.944250999999997</v>
      </c>
      <c r="G11" s="112">
        <v>31.30149552999999</v>
      </c>
      <c r="H11" s="122"/>
      <c r="I11" s="112">
        <v>147.8705575700004</v>
      </c>
      <c r="J11" s="112">
        <v>554.5282396599995</v>
      </c>
      <c r="K11" s="112">
        <v>656.9632568500002</v>
      </c>
      <c r="L11" s="112">
        <v>6.416681610000004</v>
      </c>
      <c r="M11" s="112">
        <v>30.55289105</v>
      </c>
      <c r="N11" s="120"/>
      <c r="O11" s="112">
        <v>6.463445149999999</v>
      </c>
      <c r="P11" s="112">
        <v>0.43473707000000006</v>
      </c>
      <c r="Q11" s="112">
        <v>124.49553471000003</v>
      </c>
      <c r="R11" s="112">
        <v>3.8907862</v>
      </c>
      <c r="S11" s="112">
        <v>26.04618723999998</v>
      </c>
      <c r="U11" s="104">
        <v>3.27437711</v>
      </c>
      <c r="V11" s="104">
        <v>0</v>
      </c>
      <c r="W11" s="104">
        <v>0</v>
      </c>
      <c r="X11"/>
      <c r="Y11" s="104">
        <f>SUM(E11:W11)</f>
        <v>1651.0465458100002</v>
      </c>
      <c r="Z11" s="102"/>
    </row>
    <row r="12" spans="2:26" s="104" customFormat="1" ht="12.75">
      <c r="B12" s="114"/>
      <c r="C12" s="111"/>
      <c r="D12" s="121" t="str">
        <f>IF(Indice_index!$Z$1=1,"fevereiro","February")</f>
        <v>fevereiro</v>
      </c>
      <c r="E12" s="112">
        <v>95.0996756100001</v>
      </c>
      <c r="F12" s="112">
        <v>11.804664920000002</v>
      </c>
      <c r="G12" s="112">
        <v>68.82121115999998</v>
      </c>
      <c r="H12" s="122"/>
      <c r="I12" s="112">
        <v>297.8116592599997</v>
      </c>
      <c r="J12" s="112">
        <v>1193.8923142000021</v>
      </c>
      <c r="K12" s="112">
        <v>1329.0579137799991</v>
      </c>
      <c r="L12" s="112">
        <v>14.947247789999995</v>
      </c>
      <c r="M12" s="112">
        <v>62.00460618000001</v>
      </c>
      <c r="N12" s="120"/>
      <c r="O12" s="112">
        <v>51.129445910000015</v>
      </c>
      <c r="P12" s="112">
        <v>3.2361848400000013</v>
      </c>
      <c r="Q12" s="112">
        <v>454.90253939999974</v>
      </c>
      <c r="R12" s="112">
        <v>20.916114980000003</v>
      </c>
      <c r="S12" s="112">
        <v>76.80490078</v>
      </c>
      <c r="U12" s="104">
        <v>3.27437711</v>
      </c>
      <c r="V12" s="104">
        <v>0</v>
      </c>
      <c r="W12" s="104">
        <v>0</v>
      </c>
      <c r="X12"/>
      <c r="Y12" s="104">
        <f aca="true" t="shared" si="0" ref="Y12:Y22">SUM(E12:W12)</f>
        <v>3683.7028559200007</v>
      </c>
      <c r="Z12" s="102"/>
    </row>
    <row r="13" spans="2:26" s="104" customFormat="1" ht="12.75">
      <c r="B13" s="114"/>
      <c r="C13" s="111"/>
      <c r="D13" s="121" t="str">
        <f>IF(Indice_index!$Z$1=1,"março","March")</f>
        <v>março</v>
      </c>
      <c r="E13" s="112">
        <v>139.61809288999996</v>
      </c>
      <c r="F13" s="112">
        <v>18.229815280000015</v>
      </c>
      <c r="G13" s="112">
        <v>112.75472930999993</v>
      </c>
      <c r="H13" s="122"/>
      <c r="I13" s="112">
        <v>486.0623890099991</v>
      </c>
      <c r="J13" s="112">
        <v>1833.1670087600003</v>
      </c>
      <c r="K13" s="112">
        <v>2000.0427508599996</v>
      </c>
      <c r="L13" s="112">
        <v>23.401889219999983</v>
      </c>
      <c r="M13" s="112">
        <v>103.85869122000004</v>
      </c>
      <c r="N13" s="120"/>
      <c r="O13" s="112">
        <v>112.29047363000002</v>
      </c>
      <c r="P13" s="112">
        <v>4.910543700000002</v>
      </c>
      <c r="Q13" s="112">
        <v>646.4836589199991</v>
      </c>
      <c r="R13" s="112">
        <v>32.36870182000001</v>
      </c>
      <c r="S13" s="112">
        <v>137.64248914999976</v>
      </c>
      <c r="T13" s="124"/>
      <c r="U13" s="124">
        <v>21.635391359999996</v>
      </c>
      <c r="V13" s="124">
        <v>0</v>
      </c>
      <c r="W13" s="124">
        <v>0</v>
      </c>
      <c r="X13"/>
      <c r="Y13" s="124">
        <f t="shared" si="0"/>
        <v>5672.466625129998</v>
      </c>
      <c r="Z13" s="102"/>
    </row>
    <row r="14" spans="2:26" s="104" customFormat="1" ht="12.75">
      <c r="B14" s="114"/>
      <c r="C14" s="111"/>
      <c r="D14" s="121" t="str">
        <f>IF(Indice_index!$Z$1=1,"abril","April")</f>
        <v>abril</v>
      </c>
      <c r="E14" s="112">
        <v>191.98286335000017</v>
      </c>
      <c r="F14" s="112">
        <v>22.76157668999998</v>
      </c>
      <c r="G14" s="112">
        <v>153.90765025000007</v>
      </c>
      <c r="H14" s="122"/>
      <c r="I14" s="112">
        <v>678.7628918000007</v>
      </c>
      <c r="J14" s="112">
        <v>2475.793032079996</v>
      </c>
      <c r="K14" s="112">
        <v>2666.1023769800004</v>
      </c>
      <c r="L14" s="112">
        <v>41.19626006000003</v>
      </c>
      <c r="M14" s="112">
        <v>128.4932277</v>
      </c>
      <c r="N14" s="120"/>
      <c r="O14" s="112">
        <v>196.93817785999997</v>
      </c>
      <c r="P14" s="112">
        <v>7.015257750000001</v>
      </c>
      <c r="Q14" s="112">
        <v>786.9558759099997</v>
      </c>
      <c r="R14" s="112">
        <v>42.50212164</v>
      </c>
      <c r="S14" s="112">
        <v>192.94843219000018</v>
      </c>
      <c r="T14" s="124"/>
      <c r="U14" s="124">
        <v>30.44430842</v>
      </c>
      <c r="V14" s="124">
        <v>0</v>
      </c>
      <c r="W14" s="124">
        <v>0</v>
      </c>
      <c r="X14"/>
      <c r="Y14" s="124">
        <f t="shared" si="0"/>
        <v>7615.804052679998</v>
      </c>
      <c r="Z14" s="102"/>
    </row>
    <row r="15" spans="3:26" s="120" customFormat="1" ht="12.75">
      <c r="C15" s="276"/>
      <c r="D15" s="121" t="str">
        <f>IF(Indice_index!$Z$1=1,"maio","May")</f>
        <v>maio</v>
      </c>
      <c r="E15" s="277">
        <v>269.91912126999983</v>
      </c>
      <c r="F15" s="277">
        <v>27.708958409999994</v>
      </c>
      <c r="G15" s="277">
        <v>222.6304692</v>
      </c>
      <c r="H15" s="278"/>
      <c r="I15" s="277">
        <v>866.0773310199946</v>
      </c>
      <c r="J15" s="277">
        <v>3152.553206639998</v>
      </c>
      <c r="K15" s="277">
        <v>3338.5707995400007</v>
      </c>
      <c r="L15" s="277">
        <v>49.543757620000044</v>
      </c>
      <c r="M15" s="277">
        <v>162.27658219000003</v>
      </c>
      <c r="O15" s="277">
        <v>320.06907936</v>
      </c>
      <c r="P15" s="277">
        <v>8.85124896</v>
      </c>
      <c r="Q15" s="277">
        <v>1159.5787509500012</v>
      </c>
      <c r="R15" s="277">
        <v>54.7929234</v>
      </c>
      <c r="S15" s="277">
        <v>270.8560507900005</v>
      </c>
      <c r="T15" s="121"/>
      <c r="U15" s="121">
        <v>34.22152923</v>
      </c>
      <c r="V15" s="121">
        <v>0</v>
      </c>
      <c r="W15" s="121">
        <v>0</v>
      </c>
      <c r="X15" s="279"/>
      <c r="Y15" s="121">
        <f t="shared" si="0"/>
        <v>9937.649808579994</v>
      </c>
      <c r="Z15" s="280"/>
    </row>
    <row r="16" spans="2:26" s="104" customFormat="1" ht="12.75">
      <c r="B16" s="114"/>
      <c r="C16" s="111"/>
      <c r="D16" s="121" t="str">
        <f>IF(Indice_index!$Z$1=1,"junho","June")</f>
        <v>junho</v>
      </c>
      <c r="E16" s="277">
        <v>301.82554600000026</v>
      </c>
      <c r="F16" s="277">
        <v>33.55376741999998</v>
      </c>
      <c r="G16" s="277">
        <v>270.66925847</v>
      </c>
      <c r="H16" s="278"/>
      <c r="I16" s="277">
        <v>1032.918154949999</v>
      </c>
      <c r="J16" s="277">
        <v>4001.3767290399983</v>
      </c>
      <c r="K16" s="277">
        <v>4012.33746034</v>
      </c>
      <c r="L16" s="277">
        <v>58.55497182</v>
      </c>
      <c r="M16" s="277">
        <v>189.69428771999998</v>
      </c>
      <c r="N16" s="120"/>
      <c r="O16" s="277">
        <v>360.88653002000007</v>
      </c>
      <c r="P16" s="277">
        <v>10.901286389999996</v>
      </c>
      <c r="Q16" s="277">
        <v>1246.6742289300012</v>
      </c>
      <c r="R16" s="277">
        <v>70.16491868999998</v>
      </c>
      <c r="S16" s="277">
        <v>342.2470419500001</v>
      </c>
      <c r="T16" s="121"/>
      <c r="U16" s="121">
        <v>36.59452834</v>
      </c>
      <c r="V16" s="121">
        <v>0</v>
      </c>
      <c r="W16" s="121">
        <v>0</v>
      </c>
      <c r="X16" s="279"/>
      <c r="Y16" s="121">
        <f t="shared" si="0"/>
        <v>11968.398710079999</v>
      </c>
      <c r="Z16" s="280"/>
    </row>
    <row r="17" spans="2:26" s="104" customFormat="1" ht="12.75">
      <c r="B17" s="114"/>
      <c r="C17" s="111"/>
      <c r="D17" s="121" t="str">
        <f>IF(Indice_index!$Z$1=1,"julho","July")</f>
        <v>julho</v>
      </c>
      <c r="E17" s="112">
        <v>383.5165810699995</v>
      </c>
      <c r="F17" s="112">
        <v>39.79512837999999</v>
      </c>
      <c r="G17" s="112">
        <v>341.20955454000006</v>
      </c>
      <c r="H17" s="122"/>
      <c r="I17" s="112">
        <v>1243.4838325100015</v>
      </c>
      <c r="J17" s="112">
        <v>5059.478993330003</v>
      </c>
      <c r="K17" s="112">
        <v>4797.4605173799955</v>
      </c>
      <c r="L17" s="112">
        <v>65.61446938999997</v>
      </c>
      <c r="M17" s="112">
        <v>229.38103484000004</v>
      </c>
      <c r="N17" s="120"/>
      <c r="O17" s="112">
        <v>518.8345638099996</v>
      </c>
      <c r="P17" s="112">
        <v>13.127424490000001</v>
      </c>
      <c r="Q17" s="112">
        <v>1461.489824369999</v>
      </c>
      <c r="R17" s="112">
        <v>89.57315279999996</v>
      </c>
      <c r="S17" s="112">
        <v>461.2347911099998</v>
      </c>
      <c r="T17" s="124"/>
      <c r="U17" s="124">
        <v>43.013712489999996</v>
      </c>
      <c r="V17" s="124">
        <v>0</v>
      </c>
      <c r="W17" s="124">
        <v>0</v>
      </c>
      <c r="X17"/>
      <c r="Y17" s="124">
        <f t="shared" si="0"/>
        <v>14747.213580509999</v>
      </c>
      <c r="Z17" s="102"/>
    </row>
    <row r="18" spans="2:26" s="104" customFormat="1" ht="12.75">
      <c r="B18" s="114"/>
      <c r="C18" s="111"/>
      <c r="D18" s="121" t="str">
        <f>IF(Indice_index!$Z$1=1,"agosto","August")</f>
        <v>agosto</v>
      </c>
      <c r="E18" s="112">
        <v>414.94284743999975</v>
      </c>
      <c r="F18" s="112">
        <v>46.59738614000002</v>
      </c>
      <c r="G18" s="112">
        <v>362.70187377999997</v>
      </c>
      <c r="H18" s="122"/>
      <c r="I18" s="112">
        <v>1412.0768802599996</v>
      </c>
      <c r="J18" s="112">
        <v>6752.8886243700035</v>
      </c>
      <c r="K18" s="112">
        <v>5469.568619520001</v>
      </c>
      <c r="L18" s="112">
        <v>74.87727911000006</v>
      </c>
      <c r="M18" s="112">
        <v>258.39957383</v>
      </c>
      <c r="N18" s="120"/>
      <c r="O18" s="112">
        <v>576.9258805899999</v>
      </c>
      <c r="P18" s="112">
        <v>15.054922580000001</v>
      </c>
      <c r="Q18" s="112">
        <v>1646.6049993900006</v>
      </c>
      <c r="R18" s="112">
        <v>100.66588496000001</v>
      </c>
      <c r="S18" s="112">
        <v>527.1794751200011</v>
      </c>
      <c r="T18" s="124"/>
      <c r="U18" s="124">
        <v>46.71267965</v>
      </c>
      <c r="V18" s="124">
        <v>0</v>
      </c>
      <c r="W18" s="124">
        <v>0</v>
      </c>
      <c r="X18"/>
      <c r="Y18" s="124">
        <f t="shared" si="0"/>
        <v>17705.196926740005</v>
      </c>
      <c r="Z18" s="102"/>
    </row>
    <row r="19" spans="2:26" s="104" customFormat="1" ht="12.75">
      <c r="B19" s="114"/>
      <c r="C19" s="111"/>
      <c r="D19" s="121" t="str">
        <f>IF(Indice_index!$Z$1=1,"setembro","September")</f>
        <v>setembro</v>
      </c>
      <c r="E19" s="112">
        <v>502.50348895999986</v>
      </c>
      <c r="F19" s="112">
        <v>51.62672009000001</v>
      </c>
      <c r="G19" s="112">
        <v>411.9494118999998</v>
      </c>
      <c r="H19" s="122"/>
      <c r="I19" s="112">
        <v>1543.1537035699992</v>
      </c>
      <c r="J19" s="112">
        <v>7496.624905960003</v>
      </c>
      <c r="K19" s="112">
        <v>6143.991620269999</v>
      </c>
      <c r="L19" s="112">
        <v>83.65656964000009</v>
      </c>
      <c r="M19" s="112">
        <v>293.33957112</v>
      </c>
      <c r="N19" s="120"/>
      <c r="O19" s="112">
        <v>691.1912814900002</v>
      </c>
      <c r="P19" s="112">
        <v>17.217660929999994</v>
      </c>
      <c r="Q19" s="112">
        <v>1768.5031496100007</v>
      </c>
      <c r="R19" s="112">
        <v>107.10715089000003</v>
      </c>
      <c r="S19" s="112">
        <v>577.12353385</v>
      </c>
      <c r="T19" s="124"/>
      <c r="U19" s="124">
        <v>46.85313693</v>
      </c>
      <c r="V19" s="124">
        <v>0</v>
      </c>
      <c r="W19" s="124">
        <v>0</v>
      </c>
      <c r="X19"/>
      <c r="Y19" s="124">
        <f t="shared" si="0"/>
        <v>19734.84190521</v>
      </c>
      <c r="Z19" s="102"/>
    </row>
    <row r="20" spans="2:26" s="104" customFormat="1" ht="12.75">
      <c r="B20" s="114"/>
      <c r="C20" s="111"/>
      <c r="D20" s="121" t="str">
        <f>IF(Indice_index!$Z$1=1,"outubro","October")</f>
        <v>outubro</v>
      </c>
      <c r="E20" s="112">
        <v>581.2543177099993</v>
      </c>
      <c r="F20" s="112">
        <v>56.25920780000003</v>
      </c>
      <c r="G20" s="112">
        <v>452.7805961099997</v>
      </c>
      <c r="H20" s="122"/>
      <c r="I20" s="112">
        <v>1708.7926529399974</v>
      </c>
      <c r="J20" s="112">
        <v>8198.375704700002</v>
      </c>
      <c r="K20" s="112">
        <v>6818.44397150001</v>
      </c>
      <c r="L20" s="112">
        <v>93.5480568099999</v>
      </c>
      <c r="M20" s="112">
        <v>323.09322839000015</v>
      </c>
      <c r="N20" s="120"/>
      <c r="O20" s="112">
        <v>812.0875419399999</v>
      </c>
      <c r="P20" s="112">
        <v>19.426701809999997</v>
      </c>
      <c r="Q20" s="112">
        <v>2076.6604106699974</v>
      </c>
      <c r="R20" s="112">
        <v>121.64938575000006</v>
      </c>
      <c r="S20" s="112">
        <v>654.0989237299998</v>
      </c>
      <c r="T20" s="124"/>
      <c r="U20" s="112">
        <v>52.77956032</v>
      </c>
      <c r="V20" s="124">
        <v>0</v>
      </c>
      <c r="W20" s="124">
        <v>0</v>
      </c>
      <c r="X20"/>
      <c r="Y20" s="124">
        <f t="shared" si="0"/>
        <v>21969.250260179997</v>
      </c>
      <c r="Z20" s="102"/>
    </row>
    <row r="21" spans="2:26" s="104" customFormat="1" ht="12.75">
      <c r="B21" s="114"/>
      <c r="C21" s="111"/>
      <c r="D21" s="121" t="str">
        <f>IF(Indice_index!$Z$1=1,"novembro","November")</f>
        <v>novembro</v>
      </c>
      <c r="E21" s="112">
        <v>658.9798442199989</v>
      </c>
      <c r="F21" s="112">
        <v>62.38789649</v>
      </c>
      <c r="G21" s="112">
        <v>505.62144844000005</v>
      </c>
      <c r="H21" s="122"/>
      <c r="I21" s="112">
        <v>1885.039948169999</v>
      </c>
      <c r="J21" s="112">
        <v>8901.503533829991</v>
      </c>
      <c r="K21" s="112">
        <v>7611.970674790004</v>
      </c>
      <c r="L21" s="112">
        <v>103.53461740000006</v>
      </c>
      <c r="M21" s="112">
        <v>362.8261496999995</v>
      </c>
      <c r="N21" s="120"/>
      <c r="O21" s="112">
        <v>887.4635019800002</v>
      </c>
      <c r="P21" s="112">
        <v>21.609135939999998</v>
      </c>
      <c r="Q21" s="112">
        <v>2260.209211110002</v>
      </c>
      <c r="R21" s="112">
        <v>135.5047241</v>
      </c>
      <c r="S21" s="112">
        <v>725.7848128300001</v>
      </c>
      <c r="T21" s="124"/>
      <c r="U21" s="124">
        <v>58.49854507</v>
      </c>
      <c r="V21" s="124">
        <v>0</v>
      </c>
      <c r="W21" s="124">
        <v>0</v>
      </c>
      <c r="X21"/>
      <c r="Y21" s="124">
        <f t="shared" si="0"/>
        <v>24180.934044069996</v>
      </c>
      <c r="Z21" s="102"/>
    </row>
    <row r="22" spans="2:26" s="104" customFormat="1" ht="12.75">
      <c r="B22" s="114"/>
      <c r="C22" s="111"/>
      <c r="D22" s="121" t="str">
        <f>IF(Indice_index!$Z$1=1,"dezembro","December")</f>
        <v>dezembro</v>
      </c>
      <c r="E22" s="112">
        <v>770.6630495800005</v>
      </c>
      <c r="F22" s="112">
        <v>71.07268262000001</v>
      </c>
      <c r="G22" s="112">
        <v>662.3120621299995</v>
      </c>
      <c r="H22" s="122"/>
      <c r="I22" s="112">
        <v>2146.318515600006</v>
      </c>
      <c r="J22" s="112">
        <v>10121.755064699992</v>
      </c>
      <c r="K22" s="112">
        <v>8303.584013869999</v>
      </c>
      <c r="L22" s="112">
        <v>123.58124601000004</v>
      </c>
      <c r="M22" s="112">
        <v>406.64428898999984</v>
      </c>
      <c r="N22" s="120"/>
      <c r="O22" s="112">
        <v>1103.3974878800004</v>
      </c>
      <c r="P22" s="112">
        <v>24.535795159999996</v>
      </c>
      <c r="Q22" s="112">
        <v>2575.1638260900004</v>
      </c>
      <c r="R22" s="112">
        <v>159.17782638999995</v>
      </c>
      <c r="S22" s="112">
        <v>1263.44919772</v>
      </c>
      <c r="T22" s="124"/>
      <c r="U22" s="124">
        <v>59.99559826000001</v>
      </c>
      <c r="V22" s="124">
        <v>0</v>
      </c>
      <c r="W22" s="124">
        <v>0</v>
      </c>
      <c r="X22"/>
      <c r="Y22" s="124">
        <f t="shared" si="0"/>
        <v>27791.650655</v>
      </c>
      <c r="Z22" s="102"/>
    </row>
    <row r="23" spans="2:26" s="104" customFormat="1" ht="12.75">
      <c r="B23" s="114"/>
      <c r="C23" s="111" t="s">
        <v>7</v>
      </c>
      <c r="D23" s="121"/>
      <c r="E23" s="112"/>
      <c r="F23" s="112"/>
      <c r="G23" s="112"/>
      <c r="H23" s="122"/>
      <c r="I23" s="112"/>
      <c r="J23" s="112"/>
      <c r="K23" s="112"/>
      <c r="L23" s="112"/>
      <c r="M23" s="112"/>
      <c r="N23" s="120"/>
      <c r="O23" s="112"/>
      <c r="P23" s="112"/>
      <c r="Q23" s="112"/>
      <c r="R23" s="112"/>
      <c r="S23" s="112"/>
      <c r="T23" s="124"/>
      <c r="U23" s="124"/>
      <c r="V23" s="124"/>
      <c r="W23" s="124"/>
      <c r="X23"/>
      <c r="Y23" s="124"/>
      <c r="Z23" s="102"/>
    </row>
    <row r="24" spans="2:26" s="104" customFormat="1" ht="12.75">
      <c r="B24" s="114"/>
      <c r="C24" s="121"/>
      <c r="D24" s="121" t="str">
        <f>IF(Indice_index!$Z$1=1,"janeiro","January")</f>
        <v>janeiro</v>
      </c>
      <c r="E24" s="124">
        <v>36.64781879999999</v>
      </c>
      <c r="F24" s="124">
        <v>9.068788940000001</v>
      </c>
      <c r="G24" s="124">
        <v>26.85345191000001</v>
      </c>
      <c r="H24" s="124"/>
      <c r="I24" s="124">
        <v>95.28250327000013</v>
      </c>
      <c r="J24" s="124">
        <v>543.8209952299999</v>
      </c>
      <c r="K24" s="124">
        <v>674.3777262299994</v>
      </c>
      <c r="L24" s="124">
        <v>7.710486749999998</v>
      </c>
      <c r="M24" s="124">
        <v>34.375950939999996</v>
      </c>
      <c r="N24" s="124"/>
      <c r="O24" s="124">
        <v>46.941290979999984</v>
      </c>
      <c r="P24" s="124">
        <v>1.8417948899999996</v>
      </c>
      <c r="Q24" s="124">
        <v>49.545370039999995</v>
      </c>
      <c r="R24" s="124">
        <v>2.7695030599999995</v>
      </c>
      <c r="S24" s="124">
        <v>30.166039039999976</v>
      </c>
      <c r="T24" s="124"/>
      <c r="U24" s="124">
        <v>0</v>
      </c>
      <c r="V24" s="124">
        <v>0</v>
      </c>
      <c r="W24" s="124">
        <v>0</v>
      </c>
      <c r="X24"/>
      <c r="Y24" s="124">
        <f aca="true" t="shared" si="1" ref="Y24:Y34">SUM(E24:W24)</f>
        <v>1559.4017200799994</v>
      </c>
      <c r="Z24" s="102"/>
    </row>
    <row r="25" spans="2:26" s="104" customFormat="1" ht="12.75">
      <c r="B25" s="114"/>
      <c r="C25" s="121"/>
      <c r="D25" s="121" t="str">
        <f>IF(Indice_index!$Z$1=1,"fevereiro","February")</f>
        <v>fevereiro</v>
      </c>
      <c r="E25" s="265">
        <v>89.7886576799999</v>
      </c>
      <c r="F25" s="265">
        <v>15.362792310000001</v>
      </c>
      <c r="G25" s="265">
        <v>61.56073509999999</v>
      </c>
      <c r="H25" s="265"/>
      <c r="I25" s="265">
        <v>221.60847636999966</v>
      </c>
      <c r="J25" s="265">
        <v>1171.6989925500036</v>
      </c>
      <c r="K25" s="265">
        <v>1461.1020311299994</v>
      </c>
      <c r="L25" s="265">
        <v>16.96839987</v>
      </c>
      <c r="M25" s="265">
        <v>60.92670039999998</v>
      </c>
      <c r="N25" s="265"/>
      <c r="O25" s="265">
        <v>89.13584117</v>
      </c>
      <c r="P25" s="265">
        <v>4.073721709999998</v>
      </c>
      <c r="Q25" s="265">
        <v>358.5126610899998</v>
      </c>
      <c r="R25" s="265">
        <v>7.1453302500000015</v>
      </c>
      <c r="S25" s="265">
        <v>78.77152071999996</v>
      </c>
      <c r="T25" s="265"/>
      <c r="U25" s="265">
        <v>0.31958889</v>
      </c>
      <c r="V25" s="265">
        <v>0</v>
      </c>
      <c r="W25" s="265">
        <v>0</v>
      </c>
      <c r="X25" s="266"/>
      <c r="Y25" s="124">
        <f t="shared" si="1"/>
        <v>3636.975449240002</v>
      </c>
      <c r="Z25" s="102"/>
    </row>
    <row r="26" spans="2:26" s="104" customFormat="1" ht="12.75">
      <c r="B26" s="114"/>
      <c r="C26" s="121"/>
      <c r="D26" s="121" t="str">
        <f>IF(Indice_index!$Z$1=1,"março","March")</f>
        <v>março</v>
      </c>
      <c r="E26" s="265">
        <v>133.26908576000008</v>
      </c>
      <c r="F26" s="265">
        <v>24.55034495</v>
      </c>
      <c r="G26" s="265">
        <v>118.59985601000004</v>
      </c>
      <c r="H26" s="265"/>
      <c r="I26" s="265">
        <v>376.5535803699982</v>
      </c>
      <c r="J26" s="265">
        <v>1831.873177160003</v>
      </c>
      <c r="K26" s="265">
        <v>2193.0498786200005</v>
      </c>
      <c r="L26" s="265">
        <v>24.34323638999997</v>
      </c>
      <c r="M26" s="265">
        <v>91.78852811999992</v>
      </c>
      <c r="N26" s="265"/>
      <c r="O26" s="265">
        <v>130.64966200999996</v>
      </c>
      <c r="P26" s="265">
        <v>5.979467020000001</v>
      </c>
      <c r="Q26" s="265">
        <v>702.4141143800003</v>
      </c>
      <c r="R26" s="265">
        <v>18.175411250000003</v>
      </c>
      <c r="S26" s="265">
        <v>145.5269551399999</v>
      </c>
      <c r="T26" s="265"/>
      <c r="U26" s="265">
        <v>0.37614284000000003</v>
      </c>
      <c r="V26" s="265">
        <v>0</v>
      </c>
      <c r="W26" s="265">
        <v>0</v>
      </c>
      <c r="X26"/>
      <c r="Y26" s="124">
        <f t="shared" si="1"/>
        <v>5797.149440020003</v>
      </c>
      <c r="Z26" s="102"/>
    </row>
    <row r="27" spans="2:26" s="104" customFormat="1" ht="12.75">
      <c r="B27" s="114"/>
      <c r="C27" s="121"/>
      <c r="D27" s="121" t="str">
        <f>IF(Indice_index!$Z$1=1,"abril","April")</f>
        <v>abril</v>
      </c>
      <c r="E27" s="265">
        <v>201.95894207999996</v>
      </c>
      <c r="F27" s="265">
        <v>29.247880410000022</v>
      </c>
      <c r="G27" s="265">
        <v>167.80969504000007</v>
      </c>
      <c r="H27" s="265"/>
      <c r="I27" s="265">
        <v>524.0300148199992</v>
      </c>
      <c r="J27" s="265">
        <v>2448.7513087800003</v>
      </c>
      <c r="K27" s="265">
        <v>2931.2462628699973</v>
      </c>
      <c r="L27" s="265">
        <v>32.53401915000004</v>
      </c>
      <c r="M27" s="265">
        <v>121.35884311000004</v>
      </c>
      <c r="N27" s="265"/>
      <c r="O27" s="265">
        <v>202.77403833999992</v>
      </c>
      <c r="P27" s="265">
        <v>8.245777019999997</v>
      </c>
      <c r="Q27" s="265">
        <v>731.6742229199997</v>
      </c>
      <c r="R27" s="265">
        <v>40.93500135999997</v>
      </c>
      <c r="S27" s="265">
        <v>213.65920608999988</v>
      </c>
      <c r="T27" s="265"/>
      <c r="U27" s="265">
        <v>0.43210696000000004</v>
      </c>
      <c r="V27" s="265">
        <v>0</v>
      </c>
      <c r="W27" s="265">
        <v>0</v>
      </c>
      <c r="X27"/>
      <c r="Y27" s="124">
        <f t="shared" si="1"/>
        <v>7654.657318949996</v>
      </c>
      <c r="Z27" s="102"/>
    </row>
    <row r="28" spans="2:26" s="104" customFormat="1" ht="12.75">
      <c r="B28" s="114"/>
      <c r="C28" s="121"/>
      <c r="D28" s="121" t="str">
        <f>IF(Indice_index!$Z$1=1,"maio","May")</f>
        <v>maio</v>
      </c>
      <c r="E28" s="265">
        <v>281.47005344</v>
      </c>
      <c r="F28" s="265">
        <v>35.024953159999995</v>
      </c>
      <c r="G28" s="265">
        <v>214.96777286</v>
      </c>
      <c r="H28" s="265"/>
      <c r="I28" s="265">
        <v>678.1314085999975</v>
      </c>
      <c r="J28" s="265">
        <v>3123.3697766400014</v>
      </c>
      <c r="K28" s="265">
        <v>3671.0981831399995</v>
      </c>
      <c r="L28" s="265">
        <v>42.07904187000001</v>
      </c>
      <c r="M28" s="265">
        <v>159.2473031800001</v>
      </c>
      <c r="N28" s="265"/>
      <c r="O28" s="265">
        <v>288.6465792299998</v>
      </c>
      <c r="P28" s="265">
        <v>10.397834760000002</v>
      </c>
      <c r="Q28" s="265">
        <v>1053.5569995199999</v>
      </c>
      <c r="R28" s="265">
        <v>55.890143280000004</v>
      </c>
      <c r="S28" s="265">
        <v>294.73268161000095</v>
      </c>
      <c r="T28" s="265"/>
      <c r="U28" s="265">
        <v>4.02855203</v>
      </c>
      <c r="V28" s="265">
        <v>0</v>
      </c>
      <c r="W28" s="265">
        <v>0</v>
      </c>
      <c r="X28"/>
      <c r="Y28" s="124">
        <f t="shared" si="1"/>
        <v>9912.641283320001</v>
      </c>
      <c r="Z28" s="102"/>
    </row>
    <row r="29" spans="3:26" s="120" customFormat="1" ht="12.75">
      <c r="C29" s="121"/>
      <c r="D29" s="121" t="str">
        <f>IF(Indice_index!$Z$1=1,"junho","June")</f>
        <v>junho</v>
      </c>
      <c r="E29" s="121">
        <v>348.3032800500005</v>
      </c>
      <c r="F29" s="121">
        <v>39.87591635</v>
      </c>
      <c r="G29" s="121">
        <v>264.11700534</v>
      </c>
      <c r="H29" s="121"/>
      <c r="I29" s="121">
        <v>835.9176606000019</v>
      </c>
      <c r="J29" s="121">
        <v>3808.7426631200015</v>
      </c>
      <c r="K29" s="121">
        <v>4411.836869619999</v>
      </c>
      <c r="L29" s="121">
        <v>55.28843175000006</v>
      </c>
      <c r="M29" s="121">
        <v>195.21807647999984</v>
      </c>
      <c r="N29" s="121"/>
      <c r="O29" s="121">
        <v>354.5500014700006</v>
      </c>
      <c r="P29" s="121">
        <v>12.724396770000002</v>
      </c>
      <c r="Q29" s="121">
        <v>1215.5454454900005</v>
      </c>
      <c r="R29" s="121">
        <v>75.49010318000002</v>
      </c>
      <c r="S29" s="121">
        <v>375.7898428099988</v>
      </c>
      <c r="T29" s="121"/>
      <c r="U29" s="121">
        <v>8.44065901</v>
      </c>
      <c r="V29" s="121">
        <v>0</v>
      </c>
      <c r="W29" s="121">
        <v>0</v>
      </c>
      <c r="X29" s="296"/>
      <c r="Y29" s="121">
        <f t="shared" si="1"/>
        <v>12001.840352040002</v>
      </c>
      <c r="Z29" s="281"/>
    </row>
    <row r="30" spans="3:26" s="120" customFormat="1" ht="12.75">
      <c r="C30" s="121"/>
      <c r="D30" s="121" t="str">
        <f>IF(Indice_index!$Z$1=1,"julho","July")</f>
        <v>julho</v>
      </c>
      <c r="E30" s="265">
        <v>409.4940584500002</v>
      </c>
      <c r="F30" s="265">
        <v>45.26102768999998</v>
      </c>
      <c r="G30" s="265">
        <v>320.80263654</v>
      </c>
      <c r="H30" s="265"/>
      <c r="I30" s="265">
        <v>981.508009770002</v>
      </c>
      <c r="J30" s="265">
        <v>4557.929437150003</v>
      </c>
      <c r="K30" s="265">
        <v>5327.457589000006</v>
      </c>
      <c r="L30" s="265">
        <v>64.02301153999994</v>
      </c>
      <c r="M30" s="265">
        <v>235.2138943599999</v>
      </c>
      <c r="N30" s="265"/>
      <c r="O30" s="121">
        <v>496.27768720999984</v>
      </c>
      <c r="P30" s="121">
        <v>15.008912180000001</v>
      </c>
      <c r="Q30" s="121">
        <v>1372.8221091499981</v>
      </c>
      <c r="R30" s="121">
        <v>85.95607322000001</v>
      </c>
      <c r="S30" s="121">
        <v>181.51198252000026</v>
      </c>
      <c r="T30" s="121"/>
      <c r="U30" s="121">
        <v>8.5883198</v>
      </c>
      <c r="V30" s="121">
        <v>0</v>
      </c>
      <c r="W30" s="121">
        <v>0</v>
      </c>
      <c r="X30" s="296"/>
      <c r="Y30" s="121">
        <f t="shared" si="1"/>
        <v>14101.854748580008</v>
      </c>
      <c r="Z30" s="281"/>
    </row>
    <row r="31" spans="3:26" s="120" customFormat="1" ht="12.75">
      <c r="C31" s="121"/>
      <c r="D31" s="121" t="str">
        <f>IF(Indice_index!$Z$1=1,"agosto","August")</f>
        <v>agosto</v>
      </c>
      <c r="E31" s="265">
        <v>464.8543151200004</v>
      </c>
      <c r="F31" s="265">
        <v>48.81393985000002</v>
      </c>
      <c r="G31" s="265">
        <v>381.5189190699999</v>
      </c>
      <c r="H31" s="265"/>
      <c r="I31" s="265">
        <v>1104.8589431799958</v>
      </c>
      <c r="J31" s="265">
        <v>5268.512086100003</v>
      </c>
      <c r="K31" s="265">
        <v>6071.297131790004</v>
      </c>
      <c r="L31" s="265">
        <v>75.27645359000003</v>
      </c>
      <c r="M31" s="265">
        <v>268.95123768000013</v>
      </c>
      <c r="N31" s="265"/>
      <c r="O31" s="121">
        <v>576.4517664799995</v>
      </c>
      <c r="P31" s="121">
        <v>16.770332680000006</v>
      </c>
      <c r="Q31" s="121">
        <v>1439.41061646</v>
      </c>
      <c r="R31" s="121">
        <v>94.02067163999997</v>
      </c>
      <c r="S31" s="121">
        <v>564.2784459099997</v>
      </c>
      <c r="T31" s="121"/>
      <c r="U31" s="121">
        <v>8.65887585</v>
      </c>
      <c r="V31" s="121">
        <v>0</v>
      </c>
      <c r="W31" s="121">
        <v>0</v>
      </c>
      <c r="X31" s="296"/>
      <c r="Y31" s="121">
        <f t="shared" si="1"/>
        <v>16383.673735400002</v>
      </c>
      <c r="Z31" s="281"/>
    </row>
    <row r="32" spans="3:26" s="120" customFormat="1" ht="12.75">
      <c r="C32" s="121"/>
      <c r="D32" s="121" t="str">
        <f>IF(Indice_index!$Z$1=1,"setembro","September")</f>
        <v>setembro</v>
      </c>
      <c r="E32" s="265">
        <v>558.6490860699998</v>
      </c>
      <c r="F32" s="265">
        <v>53.754183160000025</v>
      </c>
      <c r="G32" s="265">
        <v>422.07237622000014</v>
      </c>
      <c r="H32" s="265"/>
      <c r="I32" s="265">
        <v>1265.2462622500002</v>
      </c>
      <c r="J32" s="265">
        <v>6009.61402857</v>
      </c>
      <c r="K32" s="265">
        <v>6663.753874099998</v>
      </c>
      <c r="L32" s="265">
        <v>90.51579350999997</v>
      </c>
      <c r="M32" s="265">
        <v>302.39482126999985</v>
      </c>
      <c r="N32" s="265"/>
      <c r="O32" s="121">
        <v>689.8822444799998</v>
      </c>
      <c r="P32" s="121">
        <v>18.52934507000001</v>
      </c>
      <c r="Q32" s="121">
        <v>1636.5587595600002</v>
      </c>
      <c r="R32" s="121">
        <v>100.92391701999996</v>
      </c>
      <c r="S32" s="121">
        <v>649.3589857600003</v>
      </c>
      <c r="T32" s="121"/>
      <c r="U32" s="121">
        <v>9.04725158</v>
      </c>
      <c r="V32" s="121">
        <v>0</v>
      </c>
      <c r="W32" s="121">
        <v>0</v>
      </c>
      <c r="X32" s="296"/>
      <c r="Y32" s="121">
        <f t="shared" si="1"/>
        <v>18470.30092862</v>
      </c>
      <c r="Z32" s="281"/>
    </row>
    <row r="33" spans="4:26" s="121" customFormat="1" ht="12.75">
      <c r="D33" s="121" t="str">
        <f>IF(Indice_index!$Z$1=1,"outubro","October")</f>
        <v>outubro</v>
      </c>
      <c r="E33" s="265">
        <v>620.9630462700001</v>
      </c>
      <c r="F33" s="265">
        <v>59.08013236000001</v>
      </c>
      <c r="G33" s="265">
        <v>461.24183527000037</v>
      </c>
      <c r="H33" s="265"/>
      <c r="I33" s="265">
        <v>1429.9240466399979</v>
      </c>
      <c r="J33" s="265">
        <v>7013.4550259</v>
      </c>
      <c r="K33" s="265">
        <v>7534.740272630005</v>
      </c>
      <c r="L33" s="265">
        <v>98.59952449999997</v>
      </c>
      <c r="M33" s="265">
        <v>333.81892156</v>
      </c>
      <c r="N33" s="265"/>
      <c r="O33" s="121">
        <v>834.2744666599998</v>
      </c>
      <c r="P33" s="121">
        <v>21.22316635000001</v>
      </c>
      <c r="Q33" s="121">
        <v>1857.5831818700012</v>
      </c>
      <c r="R33" s="121">
        <v>109.48532305999998</v>
      </c>
      <c r="S33" s="121">
        <v>755.1035244599972</v>
      </c>
      <c r="U33" s="121">
        <v>13.991002469999998</v>
      </c>
      <c r="V33" s="121">
        <v>0</v>
      </c>
      <c r="W33" s="121">
        <v>0</v>
      </c>
      <c r="X33" s="296"/>
      <c r="Y33" s="121">
        <f t="shared" si="1"/>
        <v>21143.483470000003</v>
      </c>
      <c r="Z33" s="314"/>
    </row>
    <row r="34" spans="4:26" s="121" customFormat="1" ht="12.75">
      <c r="D34" s="121" t="str">
        <f>IF(Indice_index!$Z$1=1,"novembro","November")</f>
        <v>novembro</v>
      </c>
      <c r="E34" s="265">
        <v>698.9253128200004</v>
      </c>
      <c r="F34" s="265">
        <v>65.53351411000001</v>
      </c>
      <c r="G34" s="265">
        <v>509.3123080800007</v>
      </c>
      <c r="H34" s="265"/>
      <c r="I34" s="265">
        <v>1649.596752100002</v>
      </c>
      <c r="J34" s="265">
        <v>7917.235967090002</v>
      </c>
      <c r="K34" s="265">
        <v>8744.934869180004</v>
      </c>
      <c r="L34" s="265">
        <v>114.05455770999997</v>
      </c>
      <c r="M34" s="265">
        <v>373.0616071099996</v>
      </c>
      <c r="N34" s="265"/>
      <c r="O34" s="121">
        <v>907.8289991199991</v>
      </c>
      <c r="P34" s="121">
        <v>23.82644869000001</v>
      </c>
      <c r="Q34" s="121">
        <v>2028.2314675700006</v>
      </c>
      <c r="R34" s="121">
        <v>123.88507494</v>
      </c>
      <c r="S34" s="121">
        <v>872.5498125000005</v>
      </c>
      <c r="U34" s="121">
        <v>15.45113505</v>
      </c>
      <c r="V34" s="121">
        <v>0</v>
      </c>
      <c r="W34" s="121">
        <v>0</v>
      </c>
      <c r="X34" s="296"/>
      <c r="Y34" s="121">
        <f t="shared" si="1"/>
        <v>24044.427826070012</v>
      </c>
      <c r="Z34" s="314"/>
    </row>
    <row r="35" spans="3:26" s="121" customFormat="1" ht="12.75">
      <c r="C35" s="226"/>
      <c r="D35" s="226" t="str">
        <f>IF(Indice_index!$Z$1=1,"dezembro","December")</f>
        <v>dezembro</v>
      </c>
      <c r="E35" s="309">
        <v>847.6992751599995</v>
      </c>
      <c r="F35" s="309">
        <v>73.42840723000002</v>
      </c>
      <c r="G35" s="309">
        <v>590.2623718699997</v>
      </c>
      <c r="H35" s="309"/>
      <c r="I35" s="309">
        <v>1891.4698367899914</v>
      </c>
      <c r="J35" s="309">
        <v>8943.500703829997</v>
      </c>
      <c r="K35" s="309">
        <v>9491.241525329997</v>
      </c>
      <c r="L35" s="309">
        <v>202.5467640900001</v>
      </c>
      <c r="M35" s="309">
        <v>430.00985559000003</v>
      </c>
      <c r="N35" s="309"/>
      <c r="O35" s="226">
        <v>1116.2446052600003</v>
      </c>
      <c r="P35" s="226">
        <v>27.76860690999998</v>
      </c>
      <c r="Q35" s="226">
        <v>2326.4982134599986</v>
      </c>
      <c r="R35" s="226">
        <v>156.7091768799999</v>
      </c>
      <c r="S35" s="226">
        <v>1382.9123868200015</v>
      </c>
      <c r="T35" s="226"/>
      <c r="U35" s="226">
        <v>20.96476176</v>
      </c>
      <c r="V35" s="226">
        <v>0</v>
      </c>
      <c r="W35" s="226">
        <v>0</v>
      </c>
      <c r="X35" s="296"/>
      <c r="Y35" s="226">
        <f>SUM(E35:W35)</f>
        <v>27501.25649097998</v>
      </c>
      <c r="Z35" s="314"/>
    </row>
    <row r="36" spans="3:24" ht="12.75">
      <c r="C36" s="126" t="s">
        <v>8</v>
      </c>
      <c r="E36" s="112"/>
      <c r="F36" s="112"/>
      <c r="G36" s="112"/>
      <c r="I36" s="112"/>
      <c r="J36" s="112"/>
      <c r="K36" s="112"/>
      <c r="L36" s="112"/>
      <c r="M36" s="112"/>
      <c r="O36" s="112"/>
      <c r="P36" s="112"/>
      <c r="Q36" s="112"/>
      <c r="R36" s="112"/>
      <c r="S36" s="112"/>
      <c r="U36" s="112"/>
      <c r="V36" s="112"/>
      <c r="W36" s="112"/>
      <c r="X36" s="112"/>
    </row>
    <row r="37" spans="3:25" ht="12.75">
      <c r="C37" s="108" t="str">
        <f>IF(Indice_index!$Z$1=1,"Os valores constantes do presente quadro não excluem transferências.","Data of the present chart does not exclude transfers.")</f>
        <v>Os valores constantes do presente quadro não excluem transferências.</v>
      </c>
      <c r="Y37"/>
    </row>
    <row r="38" spans="3:25" ht="12.75">
      <c r="C38" s="108" t="str">
        <f>IF(Indice_index!$Z$1=1,"A partir de 2012, os valores de despesa passam a abranger a execução das Entidades Públicas Reclassificadas, o que afeta a comparabilidade direta com anos anteriores.","From 2012 onwards, expenditure data presented includes the implementation of reclassified State owned Enterprises, which affects direct comparison with previous years.")</f>
        <v>A partir de 2012, os valores de despesa passam a abranger a execução das Entidades Públicas Reclassificadas, o que afeta a comparabilidade direta com anos anteriores.</v>
      </c>
      <c r="V38" s="127"/>
      <c r="Y38"/>
    </row>
    <row r="39" spans="3:22" ht="12.75">
      <c r="C39" s="108" t="str">
        <f>IF(Indice_index!$Z$1=1,"Os valores de despesa correspondem aos divulgados no respetivo período tendo, em alguns casos, sido objeto de ajustamento posterior à sua divulgação.","Expenditure data presented correspond to that reported during the respective period and may, in some cases, have been subject to adjustments after publication.")</f>
        <v>Os valores de despesa correspondem aos divulgados no respetivo período tendo, em alguns casos, sido objeto de ajustamento posterior à sua divulgação.</v>
      </c>
      <c r="V39" s="127"/>
    </row>
    <row r="40" ht="6" customHeight="1">
      <c r="V40" s="127"/>
    </row>
    <row r="41" spans="3:22" ht="12.75">
      <c r="C41" s="315" t="str">
        <f>IF(Indice_index!$Z$1=1,"Organismos com execução orçamental em falta em dezembro de 2013:","Organisms that have not reported Dezember 2013 budget execution:")</f>
        <v>Organismos com execução orçamental em falta em dezembro de 2013:</v>
      </c>
      <c r="D41" s="315"/>
      <c r="E41" s="329"/>
      <c r="F41" s="315"/>
      <c r="G41" s="315"/>
      <c r="H41" s="315"/>
      <c r="I41" s="315"/>
      <c r="J41" s="315"/>
      <c r="K41" s="275"/>
      <c r="L41" s="275"/>
      <c r="M41" s="275"/>
      <c r="N41" s="275"/>
      <c r="O41" s="275"/>
      <c r="P41" s="275"/>
      <c r="Q41" s="275"/>
      <c r="V41" s="127"/>
    </row>
    <row r="42" spans="3:25" ht="14.25" customHeight="1">
      <c r="C42" s="315" t="str">
        <f>IF(Indice_index!$Z$1=1,"Santa Casa da Misericórdia de Lisboa, IP - mês agosto","SANTA CASA DA MISERICÓRDIA DE LISBOA, IP - month of August")</f>
        <v>Santa Casa da Misericórdia de Lisboa, IP - mês agosto</v>
      </c>
      <c r="D42" s="315"/>
      <c r="E42" s="315"/>
      <c r="F42" s="315"/>
      <c r="G42" s="315"/>
      <c r="H42" s="315"/>
      <c r="I42" s="315"/>
      <c r="J42" s="315"/>
      <c r="K42" s="275"/>
      <c r="L42" s="275"/>
      <c r="M42" s="275"/>
      <c r="N42" s="275"/>
      <c r="O42" s="275"/>
      <c r="P42" s="275"/>
      <c r="Q42" s="275"/>
      <c r="Y42" s="273"/>
    </row>
    <row r="43" spans="5:7" ht="12.75">
      <c r="E43" s="112"/>
      <c r="F43" s="112"/>
      <c r="G43" s="112"/>
    </row>
    <row r="44" spans="3:25" ht="12.75">
      <c r="C44" s="212" t="str">
        <f>IF(Indice_index!$Z$1=1,"Fonte: Ministério das Finanças","Source: Ministry of Finance")</f>
        <v>Fonte: Ministério das Finanças</v>
      </c>
      <c r="E44" s="231"/>
      <c r="F44" s="231"/>
      <c r="G44" s="231"/>
      <c r="I44" s="231"/>
      <c r="J44" s="231"/>
      <c r="K44" s="231"/>
      <c r="L44" s="231"/>
      <c r="M44" s="231"/>
      <c r="O44" s="231"/>
      <c r="P44" s="231"/>
      <c r="Q44" s="231"/>
      <c r="R44" s="231"/>
      <c r="S44" s="231"/>
      <c r="U44" s="231"/>
      <c r="Y44" s="274"/>
    </row>
    <row r="45" spans="5:7" ht="12.75">
      <c r="E45" s="112"/>
      <c r="F45" s="112"/>
      <c r="G45" s="112"/>
    </row>
    <row r="46" spans="5:7" ht="12.75">
      <c r="E46" s="112"/>
      <c r="F46" s="112"/>
      <c r="G46" s="112"/>
    </row>
    <row r="47" spans="5:7" ht="12.75">
      <c r="E47" s="112"/>
      <c r="F47" s="112"/>
      <c r="G47" s="112"/>
    </row>
    <row r="48" spans="5:25" ht="12.75">
      <c r="E48" s="273"/>
      <c r="F48" s="273"/>
      <c r="G48" s="273"/>
      <c r="H48" s="273"/>
      <c r="I48" s="273"/>
      <c r="J48" s="273"/>
      <c r="K48" s="273"/>
      <c r="L48" s="273"/>
      <c r="M48" s="273"/>
      <c r="N48" s="273"/>
      <c r="O48" s="273"/>
      <c r="P48" s="273"/>
      <c r="Q48" s="273"/>
      <c r="R48" s="273"/>
      <c r="S48" s="273"/>
      <c r="T48" s="273"/>
      <c r="U48" s="273"/>
      <c r="V48" s="273"/>
      <c r="W48" s="273"/>
      <c r="X48" s="273"/>
      <c r="Y48" s="273"/>
    </row>
  </sheetData>
  <sheetProtection/>
  <mergeCells count="4">
    <mergeCell ref="E5:G5"/>
    <mergeCell ref="I5:M5"/>
    <mergeCell ref="O5:S5"/>
    <mergeCell ref="U5:W5"/>
  </mergeCells>
  <printOptions horizontalCentered="1"/>
  <pageMargins left="0.7086614173228347" right="0.7086614173228347" top="0.7480314960629921" bottom="0.7480314960629921" header="0.7480314960629921" footer="0.7480314960629921"/>
  <pageSetup fitToHeight="1" fitToWidth="1" horizontalDpi="600" verticalDpi="600" orientation="landscape" paperSize="9" r:id="rId3"/>
  <headerFooter>
    <oddHeader>&amp;L&amp;G</oddHeader>
  </headerFooter>
  <ignoredErrors>
    <ignoredError sqref="C9:C23" numberStoredAsText="1"/>
  </ignoredErrors>
  <drawing r:id="rId1"/>
  <legacyDrawingHF r:id="rId2"/>
</worksheet>
</file>

<file path=xl/worksheets/sheet7.xml><?xml version="1.0" encoding="utf-8"?>
<worksheet xmlns="http://schemas.openxmlformats.org/spreadsheetml/2006/main" xmlns:r="http://schemas.openxmlformats.org/officeDocument/2006/relationships">
  <dimension ref="B1:GE79"/>
  <sheetViews>
    <sheetView showGridLines="0" showZeros="0" zoomScale="90" zoomScaleNormal="90" zoomScalePageLayoutView="0" workbookViewId="0" topLeftCell="A1">
      <pane xSplit="3" topLeftCell="D1" activePane="topRight" state="frozen"/>
      <selection pane="topLeft" activeCell="B2" sqref="B2"/>
      <selection pane="topRight" activeCell="B2" sqref="B2"/>
    </sheetView>
  </sheetViews>
  <sheetFormatPr defaultColWidth="9.140625" defaultRowHeight="12.75"/>
  <cols>
    <col min="1" max="1" width="2.57421875" style="137" customWidth="1"/>
    <col min="2" max="2" width="7.28125" style="137" customWidth="1"/>
    <col min="3" max="3" width="38.00390625" style="137" customWidth="1"/>
    <col min="4" max="17" width="13.7109375" style="137" customWidth="1"/>
    <col min="18" max="18" width="2.7109375" style="137" customWidth="1"/>
    <col min="19" max="32" width="13.7109375" style="137" customWidth="1"/>
    <col min="33" max="33" width="2.7109375" style="137" customWidth="1"/>
    <col min="34" max="47" width="13.7109375" style="137" customWidth="1"/>
    <col min="48" max="48" width="12.57421875" style="138" bestFit="1" customWidth="1"/>
    <col min="49" max="49" width="14.8515625" style="138" bestFit="1" customWidth="1"/>
    <col min="50" max="50" width="22.28125" style="138" customWidth="1"/>
    <col min="51" max="54" width="9.140625" style="152" customWidth="1"/>
    <col min="55" max="57" width="9.140625" style="153" customWidth="1"/>
    <col min="58" max="63" width="9.140625" style="152" customWidth="1"/>
    <col min="64" max="16384" width="9.140625" style="137" customWidth="1"/>
  </cols>
  <sheetData>
    <row r="1" spans="2:73" s="2" customFormat="1" ht="37.5" customHeight="1">
      <c r="B1" s="77"/>
      <c r="C1" s="77"/>
      <c r="H1" s="3"/>
      <c r="I1" s="3"/>
      <c r="AV1" s="156"/>
      <c r="AW1" s="156"/>
      <c r="AX1" s="156"/>
      <c r="AY1" s="151"/>
      <c r="AZ1" s="151"/>
      <c r="BA1" s="151"/>
      <c r="BB1" s="151"/>
      <c r="BC1" s="151"/>
      <c r="BD1" s="151"/>
      <c r="BE1" s="151"/>
      <c r="BF1" s="151"/>
      <c r="BG1" s="151"/>
      <c r="BH1" s="151"/>
      <c r="BI1" s="151"/>
      <c r="BJ1" s="151"/>
      <c r="BK1" s="151"/>
      <c r="BL1"/>
      <c r="BM1"/>
      <c r="BN1"/>
      <c r="BO1"/>
      <c r="BP1"/>
      <c r="BQ1"/>
      <c r="BR1"/>
      <c r="BS1"/>
      <c r="BT1"/>
      <c r="BU1"/>
    </row>
    <row r="2" spans="2:73" ht="22.5" customHeight="1" thickBot="1">
      <c r="B2" s="97" t="s">
        <v>9</v>
      </c>
      <c r="C2" s="364" t="str">
        <f>IF(Indice_index!$Z$1=1,"5 - Despesa do subsetor dos Serviços e Fundos Autónomos - Classificação Económica/Orgânica","5 - Autonomous Services and Funds - Economic/Organic Classification")</f>
        <v>5 - Despesa do subsetor dos Serviços e Fundos Autónomos - Classificação Económica/Orgânica</v>
      </c>
      <c r="D2" s="364"/>
      <c r="E2" s="364"/>
      <c r="F2" s="364"/>
      <c r="G2" s="364"/>
      <c r="H2" s="364"/>
      <c r="I2" s="364"/>
      <c r="J2" s="364"/>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156"/>
      <c r="AW2" s="156"/>
      <c r="AX2" s="156"/>
      <c r="AY2" s="151"/>
      <c r="AZ2" s="151"/>
      <c r="BA2" s="151"/>
      <c r="BB2" s="151"/>
      <c r="BC2" s="151"/>
      <c r="BD2" s="151"/>
      <c r="BE2" s="151"/>
      <c r="BF2" s="151"/>
      <c r="BG2" s="151"/>
      <c r="BH2" s="151"/>
      <c r="BI2" s="151"/>
      <c r="BJ2" s="151"/>
      <c r="BK2" s="151"/>
      <c r="BL2"/>
      <c r="BM2"/>
      <c r="BN2"/>
      <c r="BO2"/>
      <c r="BP2"/>
      <c r="BQ2"/>
      <c r="BR2"/>
      <c r="BS2"/>
      <c r="BT2"/>
      <c r="BU2"/>
    </row>
    <row r="3" spans="4:73" ht="12.75">
      <c r="D3" s="2"/>
      <c r="E3" s="2"/>
      <c r="F3" s="2"/>
      <c r="I3" s="139"/>
      <c r="AV3" s="156"/>
      <c r="AW3" s="156"/>
      <c r="AX3" s="156"/>
      <c r="AY3" s="151"/>
      <c r="AZ3" s="151"/>
      <c r="BA3" s="151"/>
      <c r="BB3" s="151"/>
      <c r="BC3" s="151"/>
      <c r="BD3" s="151"/>
      <c r="BE3" s="151"/>
      <c r="BF3" s="151"/>
      <c r="BG3" s="151"/>
      <c r="BH3" s="151"/>
      <c r="BI3" s="151"/>
      <c r="BJ3" s="151"/>
      <c r="BK3" s="151"/>
      <c r="BL3"/>
      <c r="BM3"/>
      <c r="BN3"/>
      <c r="BO3"/>
      <c r="BP3"/>
      <c r="BQ3"/>
      <c r="BR3"/>
      <c r="BS3"/>
      <c r="BT3"/>
      <c r="BU3"/>
    </row>
    <row r="4" spans="6:73" ht="12.75">
      <c r="F4" s="139"/>
      <c r="I4" s="139"/>
      <c r="AV4" s="156"/>
      <c r="AW4" s="156"/>
      <c r="AX4" s="156"/>
      <c r="AY4" s="151"/>
      <c r="AZ4" s="151"/>
      <c r="BA4" s="151"/>
      <c r="BB4" s="151"/>
      <c r="BC4" s="151"/>
      <c r="BD4" s="151"/>
      <c r="BE4" s="151"/>
      <c r="BF4" s="151"/>
      <c r="BG4" s="151"/>
      <c r="BH4" s="151"/>
      <c r="BI4" s="151"/>
      <c r="BJ4" s="151"/>
      <c r="BK4" s="151"/>
      <c r="BL4"/>
      <c r="BM4"/>
      <c r="BN4"/>
      <c r="BO4"/>
      <c r="BP4"/>
      <c r="BQ4"/>
      <c r="BR4"/>
      <c r="BS4"/>
      <c r="BT4"/>
      <c r="BU4"/>
    </row>
    <row r="5" spans="3:73" ht="13.5" customHeight="1">
      <c r="C5" s="312" t="str">
        <f>IF(Indice_index!$Z$1=1,"(Período: janeiro a dezembro)","(Period: January to December)")</f>
        <v>(Período: janeiro a dezembro)</v>
      </c>
      <c r="D5" s="157"/>
      <c r="E5" s="157"/>
      <c r="F5" s="157"/>
      <c r="G5" s="157"/>
      <c r="H5" s="157"/>
      <c r="I5" s="157"/>
      <c r="J5" s="157"/>
      <c r="K5" s="157"/>
      <c r="L5" s="157"/>
      <c r="M5" s="157"/>
      <c r="N5" s="157"/>
      <c r="O5" s="157"/>
      <c r="P5" s="157"/>
      <c r="Q5" s="214" t="str">
        <f>IF(Indice_index!$Z$1=1,"€ Milhões","€ Million")</f>
        <v>€ Milhões</v>
      </c>
      <c r="R5" s="157"/>
      <c r="S5" s="157"/>
      <c r="T5" s="157"/>
      <c r="U5" s="157"/>
      <c r="V5" s="157"/>
      <c r="W5" s="157"/>
      <c r="X5" s="157"/>
      <c r="Y5" s="157"/>
      <c r="Z5" s="157"/>
      <c r="AA5" s="157"/>
      <c r="AB5" s="157"/>
      <c r="AC5" s="157"/>
      <c r="AD5" s="157"/>
      <c r="AE5" s="157"/>
      <c r="AF5" s="214" t="str">
        <f>IF(Indice_index!$Z$1=1,"€ Milhões","€ Million")</f>
        <v>€ Milhões</v>
      </c>
      <c r="AG5" s="157"/>
      <c r="AH5" s="157"/>
      <c r="AI5" s="157"/>
      <c r="AJ5" s="157"/>
      <c r="AK5" s="157"/>
      <c r="AL5" s="157"/>
      <c r="AM5" s="157"/>
      <c r="AN5" s="157"/>
      <c r="AO5" s="157"/>
      <c r="AP5" s="157"/>
      <c r="AQ5" s="157"/>
      <c r="AR5" s="157"/>
      <c r="AS5" s="157"/>
      <c r="AT5" s="157"/>
      <c r="AU5" s="157"/>
      <c r="AV5" s="156"/>
      <c r="AW5" s="156"/>
      <c r="AX5" s="156"/>
      <c r="AY5" s="151"/>
      <c r="AZ5" s="151"/>
      <c r="BA5" s="151"/>
      <c r="BB5" s="151"/>
      <c r="BC5" s="151"/>
      <c r="BD5" s="151"/>
      <c r="BE5" s="151"/>
      <c r="BF5" s="151"/>
      <c r="BG5" s="151"/>
      <c r="BH5" s="151"/>
      <c r="BI5" s="151"/>
      <c r="BJ5" s="151"/>
      <c r="BK5" s="151"/>
      <c r="BL5"/>
      <c r="BM5"/>
      <c r="BN5"/>
      <c r="BO5"/>
      <c r="BP5"/>
      <c r="BQ5"/>
      <c r="BR5"/>
      <c r="BS5"/>
      <c r="BT5"/>
      <c r="BU5"/>
    </row>
    <row r="6" spans="3:73" ht="12.75">
      <c r="C6" s="158"/>
      <c r="D6" s="363" t="s">
        <v>7</v>
      </c>
      <c r="E6" s="363"/>
      <c r="F6" s="363"/>
      <c r="G6" s="363"/>
      <c r="H6" s="363"/>
      <c r="I6" s="363"/>
      <c r="J6" s="363"/>
      <c r="K6" s="363"/>
      <c r="L6" s="363"/>
      <c r="M6" s="363"/>
      <c r="N6" s="363"/>
      <c r="O6" s="363"/>
      <c r="P6" s="363"/>
      <c r="Q6" s="363"/>
      <c r="R6" s="159"/>
      <c r="S6" s="363" t="s">
        <v>5</v>
      </c>
      <c r="T6" s="363"/>
      <c r="U6" s="363"/>
      <c r="V6" s="363"/>
      <c r="W6" s="363"/>
      <c r="X6" s="363"/>
      <c r="Y6" s="363"/>
      <c r="Z6" s="363"/>
      <c r="AA6" s="363"/>
      <c r="AB6" s="363"/>
      <c r="AC6" s="363"/>
      <c r="AD6" s="363"/>
      <c r="AE6" s="363"/>
      <c r="AF6" s="363"/>
      <c r="AG6" s="159"/>
      <c r="AH6" s="362" t="str">
        <f>IF(Indice_index!$Z$1=1,"VH (%)","YOY Change Rate (%)")</f>
        <v>VH (%)</v>
      </c>
      <c r="AI6" s="362"/>
      <c r="AJ6" s="362"/>
      <c r="AK6" s="362"/>
      <c r="AL6" s="362"/>
      <c r="AM6" s="362"/>
      <c r="AN6" s="362"/>
      <c r="AO6" s="362"/>
      <c r="AP6" s="362"/>
      <c r="AQ6" s="362"/>
      <c r="AR6" s="362"/>
      <c r="AS6" s="362"/>
      <c r="AT6" s="362"/>
      <c r="AU6" s="362"/>
      <c r="AV6" s="156"/>
      <c r="AW6" s="156"/>
      <c r="AX6" s="156"/>
      <c r="AY6" s="151"/>
      <c r="AZ6" s="151"/>
      <c r="BA6" s="151"/>
      <c r="BB6" s="151"/>
      <c r="BC6" s="151"/>
      <c r="BD6" s="151"/>
      <c r="BE6" s="151"/>
      <c r="BF6" s="151"/>
      <c r="BG6" s="151"/>
      <c r="BH6" s="151"/>
      <c r="BI6" s="151"/>
      <c r="BJ6" s="151"/>
      <c r="BK6" s="151"/>
      <c r="BL6"/>
      <c r="BM6"/>
      <c r="BN6"/>
      <c r="BO6"/>
      <c r="BP6"/>
      <c r="BQ6"/>
      <c r="BR6"/>
      <c r="BS6"/>
      <c r="BT6"/>
      <c r="BU6"/>
    </row>
    <row r="7" spans="3:54" ht="78" customHeight="1">
      <c r="C7" s="160"/>
      <c r="D7" s="161" t="str">
        <f>IF(Indice_index!$Z$1=1,"Encargos
Gerais do Estado","State
General Expenditure")</f>
        <v>Encargos
Gerais do Estado</v>
      </c>
      <c r="E7" s="162" t="str">
        <f>IF(Indice_index!$Z$1=1,"Presidência do Conselho de Ministros","Ministry Council Presidency")</f>
        <v>Presidência do Conselho de Ministros</v>
      </c>
      <c r="F7" s="161" t="str">
        <f>IF(Indice_index!$Z$1=1,"Finanças","Finance")</f>
        <v>Finanças</v>
      </c>
      <c r="G7" s="161" t="str">
        <f>IF(Indice_index!$Z$1=1,"Negócios Estrangeiros","Foreign
Affairs")</f>
        <v>Negócios Estrangeiros</v>
      </c>
      <c r="H7" s="161" t="str">
        <f>IF(Indice_index!$Z$1=1,"Defesa Nacional","National Defense")</f>
        <v>Defesa Nacional</v>
      </c>
      <c r="I7" s="161" t="str">
        <f>IF(Indice_index!$Z$1=1,"Administração Interna","Home
Affairs")</f>
        <v>Administração Interna</v>
      </c>
      <c r="J7" s="161" t="str">
        <f>IF(Indice_index!$Z$1=1,"Justiça","Justice")</f>
        <v>Justiça</v>
      </c>
      <c r="K7" s="161" t="str">
        <f>IF(Indice_index!$Z$1=1,"Economia","Economy")</f>
        <v>Economia</v>
      </c>
      <c r="L7" s="316" t="str">
        <f>IF(Indice_index!$Z$1=1,"Agricultura e Mar","Agriculture and Sea")</f>
        <v>Agricultura e Mar</v>
      </c>
      <c r="M7" s="316" t="str">
        <f>IF(Indice_index!$Z$1=1,"Saúde","Health")</f>
        <v>Saúde</v>
      </c>
      <c r="N7" s="317" t="str">
        <f>IF(Indice_index!$Z$1=1,"Educação e Ciência","Education and Science")</f>
        <v>Educação e Ciência</v>
      </c>
      <c r="O7" s="316" t="str">
        <f>IF(Indice_index!$Z$1=1,"Solidariedade, Emprego e Segurança Social","Solidarity, Employment and Social Security")</f>
        <v>Solidariedade, Emprego e Segurança Social</v>
      </c>
      <c r="P7" s="316" t="str">
        <f>IF(Indice_index!$Z$1=1,"Ambiente, Ordenamento do Território e Energia","Environment and Spatial Planning and Energy")</f>
        <v>Ambiente, Ordenamento do Território e Energia</v>
      </c>
      <c r="Q7" s="161" t="s">
        <v>10</v>
      </c>
      <c r="R7" s="163"/>
      <c r="S7" s="161" t="str">
        <f>IF(Indice_index!$Z$1=1,"Encargos
Gerais do Estado","State
General Expenditure")</f>
        <v>Encargos
Gerais do Estado</v>
      </c>
      <c r="T7" s="162" t="str">
        <f>IF(Indice_index!$Z$1=1,"Presidência do Conselho de Ministros","Ministry Council Presidency")</f>
        <v>Presidência do Conselho de Ministros</v>
      </c>
      <c r="U7" s="161" t="str">
        <f>IF(Indice_index!$Z$1=1,"Finanças","Finance")</f>
        <v>Finanças</v>
      </c>
      <c r="V7" s="161" t="str">
        <f>IF(Indice_index!$Z$1=1,"Negócios Estrangeiros","Foreign
Affairs")</f>
        <v>Negócios Estrangeiros</v>
      </c>
      <c r="W7" s="161" t="str">
        <f>IF(Indice_index!$Z$1=1,"Defesa Nacional","National Defense")</f>
        <v>Defesa Nacional</v>
      </c>
      <c r="X7" s="161" t="str">
        <f>IF(Indice_index!$Z$1=1,"Administração Interna","Home
Affairs")</f>
        <v>Administração Interna</v>
      </c>
      <c r="Y7" s="161" t="str">
        <f>IF(Indice_index!$Z$1=1,"Justiça","Justice")</f>
        <v>Justiça</v>
      </c>
      <c r="Z7" s="161" t="str">
        <f>IF(Indice_index!$Z$1=1,"Economia","Economy")</f>
        <v>Economia</v>
      </c>
      <c r="AA7" s="316" t="str">
        <f>IF(Indice_index!$Z$1=1,"Agricultura e Mar","Agriculture and Sea")</f>
        <v>Agricultura e Mar</v>
      </c>
      <c r="AB7" s="316" t="str">
        <f>IF(Indice_index!$Z$1=1,"Saúde","Health")</f>
        <v>Saúde</v>
      </c>
      <c r="AC7" s="317" t="str">
        <f>IF(Indice_index!$Z$1=1,"Educação e Ciência","Education and Science")</f>
        <v>Educação e Ciência</v>
      </c>
      <c r="AD7" s="316" t="str">
        <f>IF(Indice_index!$Z$1=1,"Solidariedade, Emprego e Segurança Social","Solidarity, Employment and Social Security")</f>
        <v>Solidariedade, Emprego e Segurança Social</v>
      </c>
      <c r="AE7" s="316" t="str">
        <f>IF(Indice_index!$Z$1=1,"Ambiente, Ordenamento do Território e Energia","Environment and Spatial Planning and Energy")</f>
        <v>Ambiente, Ordenamento do Território e Energia</v>
      </c>
      <c r="AF7" s="164" t="s">
        <v>10</v>
      </c>
      <c r="AG7" s="163"/>
      <c r="AH7" s="161" t="str">
        <f>IF(Indice_index!$Z$1=1,"Encargos
Gerais do Estado","State
General Expenditure")</f>
        <v>Encargos
Gerais do Estado</v>
      </c>
      <c r="AI7" s="162" t="str">
        <f>IF(Indice_index!$Z$1=1,"Presidência do Conselho de Ministros","Ministry Council Presidency")</f>
        <v>Presidência do Conselho de Ministros</v>
      </c>
      <c r="AJ7" s="161" t="str">
        <f>IF(Indice_index!$Z$1=1,"Finanças","Finance")</f>
        <v>Finanças</v>
      </c>
      <c r="AK7" s="161" t="str">
        <f>IF(Indice_index!$Z$1=1,"Negócios Estrangeiros","Foreign
Affairs")</f>
        <v>Negócios Estrangeiros</v>
      </c>
      <c r="AL7" s="161" t="str">
        <f>IF(Indice_index!$Z$1=1,"Defesa Nacional","National Defense")</f>
        <v>Defesa Nacional</v>
      </c>
      <c r="AM7" s="161" t="str">
        <f>IF(Indice_index!$Z$1=1,"Administração Interna","Home
Affairs")</f>
        <v>Administração Interna</v>
      </c>
      <c r="AN7" s="161" t="str">
        <f>IF(Indice_index!$Z$1=1,"Justiça","Justice")</f>
        <v>Justiça</v>
      </c>
      <c r="AO7" s="161" t="str">
        <f>IF(Indice_index!$Z$1=1,"Economia","Economy")</f>
        <v>Economia</v>
      </c>
      <c r="AP7" s="316" t="str">
        <f>IF(Indice_index!$Z$1=1,"Agricultura e Mar","Agriculture and Sea")</f>
        <v>Agricultura e Mar</v>
      </c>
      <c r="AQ7" s="316" t="str">
        <f>IF(Indice_index!$Z$1=1,"Saúde","Health")</f>
        <v>Saúde</v>
      </c>
      <c r="AR7" s="317" t="str">
        <f>IF(Indice_index!$Z$1=1,"Educação e Ciência","Education and Science")</f>
        <v>Educação e Ciência</v>
      </c>
      <c r="AS7" s="316" t="str">
        <f>IF(Indice_index!$Z$1=1,"Solidariedade, Emprego e Segurança Social","Solidarity, Employment and Social Security")</f>
        <v>Solidariedade, Emprego e Segurança Social</v>
      </c>
      <c r="AT7" s="316" t="str">
        <f>IF(Indice_index!$Z$1=1,"Ambiente, Ordenamento do Território e Energia","Environment and Spatial Planning and Energy")</f>
        <v>Ambiente, Ordenamento do Território e Energia</v>
      </c>
      <c r="AU7" s="164" t="s">
        <v>10</v>
      </c>
      <c r="AV7" s="165"/>
      <c r="AW7" s="165"/>
      <c r="AX7" s="165"/>
      <c r="AY7" s="166"/>
      <c r="AZ7" s="166"/>
      <c r="BA7" s="166"/>
      <c r="BB7" s="166"/>
    </row>
    <row r="8" spans="3:54" ht="12.75">
      <c r="C8" s="167" t="str">
        <f>IF(Indice_index!$Z$1=1,"Despesa corrente","Current Expenditure")</f>
        <v>Despesa corrente</v>
      </c>
      <c r="D8" s="289">
        <f aca="true" t="shared" si="0" ref="D8:P8">+D9+D13+D16+D17+D24+D25</f>
        <v>147.5156416</v>
      </c>
      <c r="E8" s="289">
        <f t="shared" si="0"/>
        <v>522.7817246199997</v>
      </c>
      <c r="F8" s="289">
        <f t="shared" si="0"/>
        <v>9704.344001240002</v>
      </c>
      <c r="G8" s="289">
        <f t="shared" si="0"/>
        <v>84.06290567</v>
      </c>
      <c r="H8" s="289">
        <f t="shared" si="0"/>
        <v>131.12057905</v>
      </c>
      <c r="I8" s="289">
        <f t="shared" si="0"/>
        <v>174.39509725000002</v>
      </c>
      <c r="J8" s="289">
        <f>+J9+J13+J16+J17+J24+J25</f>
        <v>341.54740774000004</v>
      </c>
      <c r="K8" s="289">
        <f t="shared" si="0"/>
        <v>1589.2486145799999</v>
      </c>
      <c r="L8" s="289">
        <f t="shared" si="0"/>
        <v>749.5510512199999</v>
      </c>
      <c r="M8" s="289">
        <f>+M9+M13+M16+M17+M24+M25</f>
        <v>8916.719164</v>
      </c>
      <c r="N8" s="289">
        <f t="shared" si="0"/>
        <v>1900.029495440002</v>
      </c>
      <c r="O8" s="289">
        <f t="shared" si="0"/>
        <v>1123.45517598</v>
      </c>
      <c r="P8" s="289">
        <f t="shared" si="0"/>
        <v>163.09671873000002</v>
      </c>
      <c r="Q8" s="289">
        <f>+Q9+Q13+Q16+Q17+Q24+Q25</f>
        <v>25547.867577120003</v>
      </c>
      <c r="R8" s="168"/>
      <c r="S8" s="289">
        <f aca="true" t="shared" si="1" ref="S8:X8">+S9+S13+S16+S17+S24+S25</f>
        <v>109.65866431999996</v>
      </c>
      <c r="T8" s="289">
        <f t="shared" si="1"/>
        <v>501.02699899</v>
      </c>
      <c r="U8" s="289">
        <f t="shared" si="1"/>
        <v>8601.509972639999</v>
      </c>
      <c r="V8" s="289">
        <f t="shared" si="1"/>
        <v>66.05963039</v>
      </c>
      <c r="W8" s="289">
        <f t="shared" si="1"/>
        <v>124.10361406999999</v>
      </c>
      <c r="X8" s="289">
        <f t="shared" si="1"/>
        <v>186.38257874999994</v>
      </c>
      <c r="Y8" s="289">
        <f aca="true" t="shared" si="2" ref="Y8:AF8">+Y9+Y13+Y16+Y17+Y24+Y25</f>
        <v>412.33454958000004</v>
      </c>
      <c r="Z8" s="289">
        <f t="shared" si="2"/>
        <v>1749.2051441100002</v>
      </c>
      <c r="AA8" s="289">
        <f t="shared" si="2"/>
        <v>779.9638375500001</v>
      </c>
      <c r="AB8" s="289">
        <f t="shared" si="2"/>
        <v>10216.208559739998</v>
      </c>
      <c r="AC8" s="289">
        <f t="shared" si="2"/>
        <v>1859.6075563899992</v>
      </c>
      <c r="AD8" s="289">
        <f t="shared" si="2"/>
        <v>929.47212536</v>
      </c>
      <c r="AE8" s="289">
        <f t="shared" si="2"/>
        <v>95.08360314000005</v>
      </c>
      <c r="AF8" s="289">
        <f t="shared" si="2"/>
        <v>25630.616835029996</v>
      </c>
      <c r="AG8" s="168"/>
      <c r="AH8" s="169">
        <f aca="true" t="shared" si="3" ref="AH8:AH25">IF(S8=0,"-",IF((D8/S8)&gt;2,"-",((D8-S8)/S8)*100))</f>
        <v>34.522559174647505</v>
      </c>
      <c r="AI8" s="169">
        <f aca="true" t="shared" si="4" ref="AI8:AI25">IF(T8=0,"-",IF((E8/T8)&gt;2,"-",((E8-T8)/T8)*100))</f>
        <v>4.342026612109574</v>
      </c>
      <c r="AJ8" s="169">
        <f aca="true" t="shared" si="5" ref="AJ8:AJ25">IF(U8=0,"-",IF((F8/U8)&gt;2,"-",((F8-U8)/U8)*100))</f>
        <v>12.82140033677737</v>
      </c>
      <c r="AK8" s="169">
        <f aca="true" t="shared" si="6" ref="AK8:AK25">IF(V8=0,"-",IF((G8/V8)&gt;2,"-",((G8-V8)/V8)*100))</f>
        <v>27.253066924100317</v>
      </c>
      <c r="AL8" s="169">
        <f aca="true" t="shared" si="7" ref="AL8:AL25">IF(W8=0,"-",IF((H8/W8)&gt;2,"-",((H8-W8)/W8)*100))</f>
        <v>5.65411815971945</v>
      </c>
      <c r="AM8" s="169">
        <f aca="true" t="shared" si="8" ref="AM8:AM25">IF(X8=0,"-",IF((I8/X8)&gt;2,"-",((I8-X8)/X8)*100))</f>
        <v>-6.431653419753921</v>
      </c>
      <c r="AN8" s="169">
        <f aca="true" t="shared" si="9" ref="AN8:AN25">IF(Y8=0,"-",IF((J8/Y8)&gt;2,"-",((J8-Y8)/Y8)*100))</f>
        <v>-17.16740494147364</v>
      </c>
      <c r="AO8" s="169">
        <f aca="true" t="shared" si="10" ref="AO8:AO25">IF(Z8=0,"-",IF((K8/Z8)&gt;2,"-",((K8-Z8)/Z8)*100))</f>
        <v>-9.144526590755405</v>
      </c>
      <c r="AP8" s="169">
        <f aca="true" t="shared" si="11" ref="AP8:AQ25">IF(AA8=0,"-",IF((L8/AA8)&gt;2,"-",((L8-AA8)/AA8)*100))</f>
        <v>-3.8992559482670393</v>
      </c>
      <c r="AQ8" s="169">
        <f t="shared" si="11"/>
        <v>-12.719879279491433</v>
      </c>
      <c r="AR8" s="169">
        <f aca="true" t="shared" si="12" ref="AR8:AR25">IF(AC8=0,"-",IF((N8/AC8)&gt;2,"-",((N8-AC8)/AC8)*100))</f>
        <v>2.173681157140092</v>
      </c>
      <c r="AS8" s="169">
        <f>IF(AD8=0,"-",IF((O8/AD8)&gt;2,"-",((O8-AD8)/AD8)*100))</f>
        <v>20.870238636243894</v>
      </c>
      <c r="AT8" s="169">
        <f>IF(AE8=0,"-",IF((P8/AE8)&gt;2,"-",((P8-AE8)/AE8)*100))</f>
        <v>71.52980466028218</v>
      </c>
      <c r="AU8" s="170">
        <f>IF(AF8=0,"-",IF((Q8/AF8)&gt;2,"-",((Q8-AF8)/AF8)*100))</f>
        <v>-0.32285316597178865</v>
      </c>
      <c r="AV8" s="165"/>
      <c r="AW8" s="165"/>
      <c r="AX8" s="165"/>
      <c r="AY8" s="166"/>
      <c r="AZ8" s="166"/>
      <c r="BA8" s="166"/>
      <c r="BB8" s="166"/>
    </row>
    <row r="9" spans="3:54" ht="12.75">
      <c r="C9" s="171" t="str">
        <f>IF(Indice_index!$Z$1=1,"Despesas com o pessoal","Employees")</f>
        <v>Despesas com o pessoal</v>
      </c>
      <c r="D9" s="290">
        <f aca="true" t="shared" si="13" ref="D9:AF9">SUM(D10:D12)</f>
        <v>71.37091187</v>
      </c>
      <c r="E9" s="290">
        <f t="shared" si="13"/>
        <v>218.3490929699999</v>
      </c>
      <c r="F9" s="290">
        <f t="shared" si="13"/>
        <v>65.45083351999999</v>
      </c>
      <c r="G9" s="290">
        <f t="shared" si="13"/>
        <v>42.74932419</v>
      </c>
      <c r="H9" s="290">
        <f t="shared" si="13"/>
        <v>68.95847506999999</v>
      </c>
      <c r="I9" s="290">
        <f t="shared" si="13"/>
        <v>14.020353230000003</v>
      </c>
      <c r="J9" s="290">
        <f t="shared" si="13"/>
        <v>23.93935829</v>
      </c>
      <c r="K9" s="290">
        <f t="shared" si="13"/>
        <v>322.33355979</v>
      </c>
      <c r="L9" s="290">
        <f t="shared" si="13"/>
        <v>93.29150206999998</v>
      </c>
      <c r="M9" s="290">
        <f>SUM(M10:M12)</f>
        <v>982.82913744</v>
      </c>
      <c r="N9" s="290">
        <f t="shared" si="13"/>
        <v>1282.4378928000012</v>
      </c>
      <c r="O9" s="290">
        <f t="shared" si="13"/>
        <v>224.50954796</v>
      </c>
      <c r="P9" s="290">
        <f t="shared" si="13"/>
        <v>51.80523969</v>
      </c>
      <c r="Q9" s="290">
        <f t="shared" si="13"/>
        <v>3462.0452288900015</v>
      </c>
      <c r="R9" s="163"/>
      <c r="S9" s="290">
        <f t="shared" si="13"/>
        <v>61.870060709999976</v>
      </c>
      <c r="T9" s="290">
        <f t="shared" si="13"/>
        <v>177.24802627000003</v>
      </c>
      <c r="U9" s="290">
        <f t="shared" si="13"/>
        <v>59.10043264000001</v>
      </c>
      <c r="V9" s="290">
        <f t="shared" si="13"/>
        <v>33.38860282</v>
      </c>
      <c r="W9" s="290">
        <f t="shared" si="13"/>
        <v>60.98697575999999</v>
      </c>
      <c r="X9" s="290">
        <f t="shared" si="13"/>
        <v>13.103877489999999</v>
      </c>
      <c r="Y9" s="290">
        <f t="shared" si="13"/>
        <v>16.61708608</v>
      </c>
      <c r="Z9" s="290">
        <f t="shared" si="13"/>
        <v>283.88805642999995</v>
      </c>
      <c r="AA9" s="290">
        <f t="shared" si="13"/>
        <v>80.23650612000004</v>
      </c>
      <c r="AB9" s="290">
        <f>SUM(AB10:AB12)</f>
        <v>867.0701294000002</v>
      </c>
      <c r="AC9" s="290">
        <f t="shared" si="13"/>
        <v>1122.4230988199993</v>
      </c>
      <c r="AD9" s="290">
        <f t="shared" si="13"/>
        <v>248.50636183000003</v>
      </c>
      <c r="AE9" s="290">
        <f t="shared" si="13"/>
        <v>40.76887809000002</v>
      </c>
      <c r="AF9" s="290">
        <f t="shared" si="13"/>
        <v>3065.2080924599995</v>
      </c>
      <c r="AG9" s="163"/>
      <c r="AH9" s="172">
        <f>IF(S9=0,"-",IF((D9/S9)&gt;2,"-",((D9-S9)/S9)*100))</f>
        <v>15.35613679859282</v>
      </c>
      <c r="AI9" s="172">
        <f t="shared" si="4"/>
        <v>23.18844816776186</v>
      </c>
      <c r="AJ9" s="172">
        <f t="shared" si="5"/>
        <v>10.745100494749915</v>
      </c>
      <c r="AK9" s="172">
        <f t="shared" si="6"/>
        <v>28.035678583090828</v>
      </c>
      <c r="AL9" s="172">
        <f t="shared" si="7"/>
        <v>13.07082243489163</v>
      </c>
      <c r="AM9" s="172">
        <f t="shared" si="8"/>
        <v>6.993927871344932</v>
      </c>
      <c r="AN9" s="172">
        <f t="shared" si="9"/>
        <v>44.06471853577833</v>
      </c>
      <c r="AO9" s="172">
        <f t="shared" si="10"/>
        <v>13.542487078698143</v>
      </c>
      <c r="AP9" s="172">
        <f t="shared" si="11"/>
        <v>16.270643602645354</v>
      </c>
      <c r="AQ9" s="172">
        <f t="shared" si="11"/>
        <v>13.350593465848412</v>
      </c>
      <c r="AR9" s="172">
        <f t="shared" si="12"/>
        <v>14.256192174610904</v>
      </c>
      <c r="AS9" s="172">
        <f aca="true" t="shared" si="14" ref="AS9:AS25">IF(AD9=0,"-",IF((O9/AD9)&gt;2,"-",((O9-AD9)/AD9)*100))</f>
        <v>-9.656418328000772</v>
      </c>
      <c r="AT9" s="172">
        <f aca="true" t="shared" si="15" ref="AT9:AT25">IF(AE9=0,"-",IF((P9/AE9)&gt;2,"-",((P9-AE9)/AE9)*100))</f>
        <v>27.070555082817027</v>
      </c>
      <c r="AU9" s="173">
        <f aca="true" t="shared" si="16" ref="AU9:AU25">IF(AF9=0,"-",IF((Q9/AF9)&gt;2,"-",((Q9-AF9)/AF9)*100))</f>
        <v>12.946499045404716</v>
      </c>
      <c r="AV9" s="165"/>
      <c r="AW9" s="165"/>
      <c r="AX9" s="165"/>
      <c r="AY9" s="166"/>
      <c r="AZ9" s="166"/>
      <c r="BA9" s="166"/>
      <c r="BB9" s="166"/>
    </row>
    <row r="10" spans="3:54" ht="12.75">
      <c r="C10" s="174" t="str">
        <f>IF(Indice_index!$Z$1=1,"Remunerações Certas e Permanentes","Certain and permanent wages")</f>
        <v>Remunerações Certas e Permanentes</v>
      </c>
      <c r="D10" s="300">
        <v>54.201774660000005</v>
      </c>
      <c r="E10" s="300">
        <v>194.85683287999993</v>
      </c>
      <c r="F10" s="300">
        <v>43.88950628999999</v>
      </c>
      <c r="G10" s="300">
        <v>32.32915179</v>
      </c>
      <c r="H10" s="300">
        <v>36.29726174999999</v>
      </c>
      <c r="I10" s="300">
        <v>10.796736600000003</v>
      </c>
      <c r="J10" s="300">
        <v>19.52151516</v>
      </c>
      <c r="K10" s="300">
        <v>230.15979712</v>
      </c>
      <c r="L10" s="300">
        <v>73.11596622999997</v>
      </c>
      <c r="M10" s="300">
        <v>690.4262219899999</v>
      </c>
      <c r="N10" s="300">
        <v>1026.917703760001</v>
      </c>
      <c r="O10" s="300">
        <v>178.75795451000002</v>
      </c>
      <c r="P10" s="300">
        <v>41.65867874</v>
      </c>
      <c r="Q10" s="290">
        <f aca="true" t="shared" si="17" ref="Q10:Q37">SUM(D10:P10)</f>
        <v>2632.929101480001</v>
      </c>
      <c r="R10" s="163"/>
      <c r="S10" s="305">
        <v>46.77068462999998</v>
      </c>
      <c r="T10" s="305">
        <v>160.01948385000003</v>
      </c>
      <c r="U10" s="305">
        <v>38.69143270000002</v>
      </c>
      <c r="V10" s="305">
        <v>25.849534880000007</v>
      </c>
      <c r="W10" s="305">
        <v>35.18272166</v>
      </c>
      <c r="X10" s="305">
        <v>10.305418589999999</v>
      </c>
      <c r="Y10" s="305">
        <v>14.1056913</v>
      </c>
      <c r="Z10" s="305">
        <v>203.14932369999997</v>
      </c>
      <c r="AA10" s="305">
        <v>63.73874289000004</v>
      </c>
      <c r="AB10" s="305">
        <v>597.0170860800001</v>
      </c>
      <c r="AC10" s="305">
        <v>918.120270899999</v>
      </c>
      <c r="AD10" s="305">
        <v>175.24727325000003</v>
      </c>
      <c r="AE10" s="305">
        <v>33.49119019000002</v>
      </c>
      <c r="AF10" s="290">
        <f aca="true" t="shared" si="18" ref="AF10:AF25">SUM(S10:AE10)</f>
        <v>2321.6888546199993</v>
      </c>
      <c r="AG10" s="163"/>
      <c r="AH10" s="172">
        <f t="shared" si="3"/>
        <v>15.88834991146041</v>
      </c>
      <c r="AI10" s="172">
        <f t="shared" si="4"/>
        <v>21.770692038137014</v>
      </c>
      <c r="AJ10" s="172">
        <f t="shared" si="5"/>
        <v>13.434688837459277</v>
      </c>
      <c r="AK10" s="172">
        <f t="shared" si="6"/>
        <v>25.06666731173303</v>
      </c>
      <c r="AL10" s="172">
        <f t="shared" si="7"/>
        <v>3.1678620567525226</v>
      </c>
      <c r="AM10" s="172">
        <f t="shared" si="8"/>
        <v>4.767569659681374</v>
      </c>
      <c r="AN10" s="172">
        <f t="shared" si="9"/>
        <v>38.39460076657143</v>
      </c>
      <c r="AO10" s="172">
        <f t="shared" si="10"/>
        <v>13.295871690859112</v>
      </c>
      <c r="AP10" s="172">
        <f t="shared" si="11"/>
        <v>14.711967815529542</v>
      </c>
      <c r="AQ10" s="172">
        <f t="shared" si="11"/>
        <v>15.645973639267504</v>
      </c>
      <c r="AR10" s="172">
        <f t="shared" si="12"/>
        <v>11.850019687872901</v>
      </c>
      <c r="AS10" s="172">
        <f t="shared" si="14"/>
        <v>2.0032729724654836</v>
      </c>
      <c r="AT10" s="172">
        <f t="shared" si="15"/>
        <v>24.38697610823838</v>
      </c>
      <c r="AU10" s="173">
        <f t="shared" si="16"/>
        <v>13.405769090920828</v>
      </c>
      <c r="AV10" s="165"/>
      <c r="AW10" s="165"/>
      <c r="AX10" s="165"/>
      <c r="AY10" s="166"/>
      <c r="AZ10" s="166"/>
      <c r="BA10" s="166"/>
      <c r="BB10" s="166"/>
    </row>
    <row r="11" spans="3:54" ht="12.75">
      <c r="C11" s="174" t="str">
        <f>IF(Indice_index!$Z$1=1,"Abonos Variáveis ou Eventuais","Variable or contingent bonuses")</f>
        <v>Abonos Variáveis ou Eventuais</v>
      </c>
      <c r="D11" s="300">
        <v>6.211890970000002</v>
      </c>
      <c r="E11" s="300">
        <v>1.6845144599999993</v>
      </c>
      <c r="F11" s="300">
        <v>1.2649778999999999</v>
      </c>
      <c r="G11" s="300">
        <v>2.3405302</v>
      </c>
      <c r="H11" s="300">
        <v>1.2564606500000002</v>
      </c>
      <c r="I11" s="300">
        <v>0.49458622</v>
      </c>
      <c r="J11" s="300">
        <v>0.57398793</v>
      </c>
      <c r="K11" s="300">
        <v>23.034972269999994</v>
      </c>
      <c r="L11" s="300">
        <v>1.9295766999999997</v>
      </c>
      <c r="M11" s="300">
        <v>114.11203766000001</v>
      </c>
      <c r="N11" s="300">
        <v>24.871534910000012</v>
      </c>
      <c r="O11" s="300">
        <v>5.12461609</v>
      </c>
      <c r="P11" s="300">
        <v>0.81399276</v>
      </c>
      <c r="Q11" s="291">
        <f t="shared" si="17"/>
        <v>183.71367872</v>
      </c>
      <c r="R11" s="163"/>
      <c r="S11" s="306">
        <v>7.214061339999999</v>
      </c>
      <c r="T11" s="306">
        <v>1.8402778700000002</v>
      </c>
      <c r="U11" s="306">
        <v>1.1554664300000002</v>
      </c>
      <c r="V11" s="306">
        <v>2.3818151599999995</v>
      </c>
      <c r="W11" s="306">
        <v>1.4992447</v>
      </c>
      <c r="X11" s="306">
        <v>0.5284921400000001</v>
      </c>
      <c r="Y11" s="306">
        <v>0.20405389000000002</v>
      </c>
      <c r="Z11" s="306">
        <v>19.072499529999995</v>
      </c>
      <c r="AA11" s="306">
        <v>2.772268370000002</v>
      </c>
      <c r="AB11" s="306">
        <v>126.82623812</v>
      </c>
      <c r="AC11" s="306">
        <v>29.566370209999985</v>
      </c>
      <c r="AD11" s="306">
        <v>7.529298800000006</v>
      </c>
      <c r="AE11" s="306">
        <v>0.85798925</v>
      </c>
      <c r="AF11" s="291">
        <f t="shared" si="18"/>
        <v>201.44807580999995</v>
      </c>
      <c r="AG11" s="163"/>
      <c r="AH11" s="172">
        <f t="shared" si="3"/>
        <v>-13.89190253267236</v>
      </c>
      <c r="AI11" s="172">
        <f t="shared" si="4"/>
        <v>-8.464124496590339</v>
      </c>
      <c r="AJ11" s="172">
        <f t="shared" si="5"/>
        <v>9.477685128420365</v>
      </c>
      <c r="AK11" s="172">
        <f t="shared" si="6"/>
        <v>-1.7333402143598582</v>
      </c>
      <c r="AL11" s="172">
        <f t="shared" si="7"/>
        <v>-16.193757429991233</v>
      </c>
      <c r="AM11" s="172">
        <f t="shared" si="8"/>
        <v>-6.415595887575562</v>
      </c>
      <c r="AN11" s="172" t="str">
        <f t="shared" si="9"/>
        <v>-</v>
      </c>
      <c r="AO11" s="172">
        <f t="shared" si="10"/>
        <v>20.775843951482326</v>
      </c>
      <c r="AP11" s="172">
        <f t="shared" si="11"/>
        <v>-30.39718950442023</v>
      </c>
      <c r="AQ11" s="172">
        <f t="shared" si="11"/>
        <v>-10.024897567307885</v>
      </c>
      <c r="AR11" s="172">
        <f t="shared" si="12"/>
        <v>-15.878970826158694</v>
      </c>
      <c r="AS11" s="172">
        <f t="shared" si="14"/>
        <v>-31.937671407063878</v>
      </c>
      <c r="AT11" s="172">
        <f t="shared" si="15"/>
        <v>-5.127860284962784</v>
      </c>
      <c r="AU11" s="173">
        <f t="shared" si="16"/>
        <v>-8.803458170891904</v>
      </c>
      <c r="AV11" s="165"/>
      <c r="AW11" s="175"/>
      <c r="AX11" s="165"/>
      <c r="AY11" s="166"/>
      <c r="AZ11" s="166"/>
      <c r="BA11" s="166"/>
      <c r="BB11" s="166"/>
    </row>
    <row r="12" spans="3:54" ht="12.75">
      <c r="C12" s="174" t="str">
        <f>IF(Indice_index!$Z$1=1,"Segurança social","Social security")</f>
        <v>Segurança social</v>
      </c>
      <c r="D12" s="300">
        <v>10.957246239999998</v>
      </c>
      <c r="E12" s="300">
        <v>21.80774562999998</v>
      </c>
      <c r="F12" s="300">
        <v>20.296349329999998</v>
      </c>
      <c r="G12" s="300">
        <v>8.079642200000002</v>
      </c>
      <c r="H12" s="300">
        <v>31.404752670000004</v>
      </c>
      <c r="I12" s="300">
        <v>2.7290304099999996</v>
      </c>
      <c r="J12" s="300">
        <v>3.8438551999999993</v>
      </c>
      <c r="K12" s="300">
        <v>69.1387904</v>
      </c>
      <c r="L12" s="300">
        <v>18.245959140000004</v>
      </c>
      <c r="M12" s="300">
        <v>178.29087779</v>
      </c>
      <c r="N12" s="300">
        <v>230.6486541300002</v>
      </c>
      <c r="O12" s="300">
        <v>40.62697735999999</v>
      </c>
      <c r="P12" s="300">
        <v>9.332568190000002</v>
      </c>
      <c r="Q12" s="292">
        <f t="shared" si="17"/>
        <v>645.4024486900001</v>
      </c>
      <c r="R12" s="163"/>
      <c r="S12" s="307">
        <v>7.885314739999998</v>
      </c>
      <c r="T12" s="307">
        <v>15.388264549999999</v>
      </c>
      <c r="U12" s="307">
        <v>19.25353350999999</v>
      </c>
      <c r="V12" s="307">
        <v>5.157252779999999</v>
      </c>
      <c r="W12" s="307">
        <v>24.3050094</v>
      </c>
      <c r="X12" s="307">
        <v>2.26996676</v>
      </c>
      <c r="Y12" s="307">
        <v>2.3073408900000008</v>
      </c>
      <c r="Z12" s="307">
        <v>61.666233200000015</v>
      </c>
      <c r="AA12" s="307">
        <v>13.725494860000001</v>
      </c>
      <c r="AB12" s="307">
        <v>143.22680520000003</v>
      </c>
      <c r="AC12" s="307">
        <v>174.73645771000022</v>
      </c>
      <c r="AD12" s="307">
        <v>65.72978978</v>
      </c>
      <c r="AE12" s="307">
        <v>6.41969865</v>
      </c>
      <c r="AF12" s="292">
        <f t="shared" si="18"/>
        <v>542.0711620300002</v>
      </c>
      <c r="AG12" s="163"/>
      <c r="AH12" s="172">
        <f t="shared" si="3"/>
        <v>38.95762694692388</v>
      </c>
      <c r="AI12" s="172">
        <f t="shared" si="4"/>
        <v>41.71673198846834</v>
      </c>
      <c r="AJ12" s="172">
        <f t="shared" si="5"/>
        <v>5.416230841255118</v>
      </c>
      <c r="AK12" s="172">
        <f t="shared" si="6"/>
        <v>56.66562304902191</v>
      </c>
      <c r="AL12" s="172">
        <f t="shared" si="7"/>
        <v>29.21102869435634</v>
      </c>
      <c r="AM12" s="172">
        <f t="shared" si="8"/>
        <v>20.223364416137954</v>
      </c>
      <c r="AN12" s="172">
        <f t="shared" si="9"/>
        <v>66.59242752812298</v>
      </c>
      <c r="AO12" s="172">
        <f t="shared" si="10"/>
        <v>12.117745502249987</v>
      </c>
      <c r="AP12" s="172">
        <f t="shared" si="11"/>
        <v>32.93479999161212</v>
      </c>
      <c r="AQ12" s="172">
        <f t="shared" si="11"/>
        <v>24.481501588363265</v>
      </c>
      <c r="AR12" s="172">
        <f t="shared" si="12"/>
        <v>31.998014125245778</v>
      </c>
      <c r="AS12" s="172">
        <f t="shared" si="14"/>
        <v>-38.19092150457203</v>
      </c>
      <c r="AT12" s="172">
        <f t="shared" si="15"/>
        <v>45.37392950680017</v>
      </c>
      <c r="AU12" s="173">
        <f t="shared" si="16"/>
        <v>19.062310245952762</v>
      </c>
      <c r="AV12" s="165"/>
      <c r="AW12" s="176"/>
      <c r="AX12" s="165"/>
      <c r="AY12" s="166"/>
      <c r="AZ12" s="166"/>
      <c r="BA12" s="166"/>
      <c r="BB12" s="166"/>
    </row>
    <row r="13" spans="3:54" ht="11.25" customHeight="1">
      <c r="C13" s="171" t="str">
        <f>IF(Indice_index!$Z$1=1,"Aquisição de bens e serviços correntes","Purchase of current goods and services")</f>
        <v>Aquisição de bens e serviços correntes</v>
      </c>
      <c r="D13" s="301">
        <f aca="true" t="shared" si="19" ref="D13:AF13">SUM(D14:D15)</f>
        <v>22.381514780000003</v>
      </c>
      <c r="E13" s="301">
        <f t="shared" si="19"/>
        <v>194.8171745299999</v>
      </c>
      <c r="F13" s="301">
        <f t="shared" si="19"/>
        <v>81.13288780000003</v>
      </c>
      <c r="G13" s="301">
        <f t="shared" si="19"/>
        <v>8.374182600000001</v>
      </c>
      <c r="H13" s="301">
        <f t="shared" si="19"/>
        <v>55.584918580000014</v>
      </c>
      <c r="I13" s="301">
        <f t="shared" si="19"/>
        <v>73.63896051</v>
      </c>
      <c r="J13" s="301">
        <f t="shared" si="19"/>
        <v>102.55326206000001</v>
      </c>
      <c r="K13" s="301">
        <f t="shared" si="19"/>
        <v>401.55380085999997</v>
      </c>
      <c r="L13" s="301">
        <f t="shared" si="19"/>
        <v>39.84295976999998</v>
      </c>
      <c r="M13" s="301">
        <f>SUM(M14:M15)</f>
        <v>7669.137176169999</v>
      </c>
      <c r="N13" s="301">
        <f t="shared" si="19"/>
        <v>302.5398653000006</v>
      </c>
      <c r="O13" s="301">
        <f t="shared" si="19"/>
        <v>198.72420218</v>
      </c>
      <c r="P13" s="301">
        <f t="shared" si="19"/>
        <v>30.74643856</v>
      </c>
      <c r="Q13" s="288">
        <f t="shared" si="19"/>
        <v>9181.027343700001</v>
      </c>
      <c r="R13" s="163"/>
      <c r="S13" s="301">
        <f t="shared" si="19"/>
        <v>22.426079939999983</v>
      </c>
      <c r="T13" s="301">
        <f t="shared" si="19"/>
        <v>204.02317409999995</v>
      </c>
      <c r="U13" s="301">
        <f t="shared" si="19"/>
        <v>128.90612065000002</v>
      </c>
      <c r="V13" s="301">
        <f t="shared" si="19"/>
        <v>6.87548724</v>
      </c>
      <c r="W13" s="301">
        <f t="shared" si="19"/>
        <v>57.100021449999986</v>
      </c>
      <c r="X13" s="301">
        <f t="shared" si="19"/>
        <v>99.15044822999994</v>
      </c>
      <c r="Y13" s="301">
        <f t="shared" si="19"/>
        <v>105.51547569999998</v>
      </c>
      <c r="Z13" s="301">
        <f t="shared" si="19"/>
        <v>394.1607368700003</v>
      </c>
      <c r="AA13" s="301">
        <f t="shared" si="19"/>
        <v>53.833070750000026</v>
      </c>
      <c r="AB13" s="301">
        <f>SUM(AB14:AB15)</f>
        <v>8729.278135179997</v>
      </c>
      <c r="AC13" s="301">
        <f t="shared" si="19"/>
        <v>330.08212545000026</v>
      </c>
      <c r="AD13" s="301">
        <f t="shared" si="19"/>
        <v>204.0967406999997</v>
      </c>
      <c r="AE13" s="301">
        <f t="shared" si="19"/>
        <v>29.386001570000023</v>
      </c>
      <c r="AF13" s="288">
        <f t="shared" si="19"/>
        <v>10364.833617829998</v>
      </c>
      <c r="AG13" s="163"/>
      <c r="AH13" s="172">
        <f t="shared" si="3"/>
        <v>-0.19872024053785628</v>
      </c>
      <c r="AI13" s="172">
        <f t="shared" si="4"/>
        <v>-4.512232304300793</v>
      </c>
      <c r="AJ13" s="172">
        <f t="shared" si="5"/>
        <v>-37.060484489880565</v>
      </c>
      <c r="AK13" s="172">
        <f t="shared" si="6"/>
        <v>21.79766040842803</v>
      </c>
      <c r="AL13" s="172">
        <f t="shared" si="7"/>
        <v>-2.6534190907908526</v>
      </c>
      <c r="AM13" s="172">
        <f t="shared" si="8"/>
        <v>-25.73007805352606</v>
      </c>
      <c r="AN13" s="172">
        <f t="shared" si="9"/>
        <v>-2.807373629648503</v>
      </c>
      <c r="AO13" s="172">
        <f t="shared" si="10"/>
        <v>1.8756469882585045</v>
      </c>
      <c r="AP13" s="172">
        <f t="shared" si="11"/>
        <v>-25.987949015522283</v>
      </c>
      <c r="AQ13" s="172">
        <f t="shared" si="11"/>
        <v>-12.144657812396964</v>
      </c>
      <c r="AR13" s="172">
        <f t="shared" si="12"/>
        <v>-8.34406289418167</v>
      </c>
      <c r="AS13" s="172">
        <f t="shared" si="14"/>
        <v>-2.632349003503577</v>
      </c>
      <c r="AT13" s="172">
        <f t="shared" si="15"/>
        <v>4.629540996788212</v>
      </c>
      <c r="AU13" s="173">
        <f t="shared" si="16"/>
        <v>-11.421372670117597</v>
      </c>
      <c r="AV13" s="165"/>
      <c r="AW13" s="176"/>
      <c r="AX13" s="165"/>
      <c r="AY13" s="166"/>
      <c r="AZ13" s="166"/>
      <c r="BA13" s="166"/>
      <c r="BB13" s="166"/>
    </row>
    <row r="14" spans="3:54" ht="13.5" customHeight="1">
      <c r="C14" s="177" t="str">
        <f>IF(Indice_index!$Z$1=1,"Aquisição de bens","Purchase of goods")</f>
        <v>Aquisição de bens</v>
      </c>
      <c r="D14" s="300">
        <v>2.6775977300000005</v>
      </c>
      <c r="E14" s="300">
        <v>104.2180817799999</v>
      </c>
      <c r="F14" s="300">
        <v>10.911696910000002</v>
      </c>
      <c r="G14" s="300">
        <v>1.0641948399999996</v>
      </c>
      <c r="H14" s="300">
        <v>43.98636351000002</v>
      </c>
      <c r="I14" s="300">
        <v>6.068872039999999</v>
      </c>
      <c r="J14" s="300">
        <v>1.94078577</v>
      </c>
      <c r="K14" s="300">
        <v>17.269780309999994</v>
      </c>
      <c r="L14" s="300">
        <v>6.725058139999998</v>
      </c>
      <c r="M14" s="300">
        <v>1362.82505453</v>
      </c>
      <c r="N14" s="300">
        <v>61.07303124</v>
      </c>
      <c r="O14" s="300">
        <v>38.08802817000001</v>
      </c>
      <c r="P14" s="300">
        <v>1.52391099</v>
      </c>
      <c r="Q14" s="288">
        <f t="shared" si="17"/>
        <v>1658.37245596</v>
      </c>
      <c r="R14" s="163"/>
      <c r="S14" s="301">
        <v>2.6089913200000012</v>
      </c>
      <c r="T14" s="301">
        <v>116.02171303000003</v>
      </c>
      <c r="U14" s="301">
        <v>63.22915917000001</v>
      </c>
      <c r="V14" s="301">
        <v>0.6739727799999999</v>
      </c>
      <c r="W14" s="301">
        <v>44.00786983999998</v>
      </c>
      <c r="X14" s="301">
        <v>5.384003529999998</v>
      </c>
      <c r="Y14" s="301">
        <v>1.8843830200000002</v>
      </c>
      <c r="Z14" s="301">
        <v>20.09076534</v>
      </c>
      <c r="AA14" s="301">
        <v>5.428083439999999</v>
      </c>
      <c r="AB14" s="301">
        <v>1500.09078168</v>
      </c>
      <c r="AC14" s="301">
        <v>65.31678415999994</v>
      </c>
      <c r="AD14" s="301">
        <v>40.42698952</v>
      </c>
      <c r="AE14" s="301">
        <v>1.56436268</v>
      </c>
      <c r="AF14" s="288">
        <f t="shared" si="18"/>
        <v>1866.72785951</v>
      </c>
      <c r="AG14" s="163"/>
      <c r="AH14" s="172">
        <f t="shared" si="3"/>
        <v>2.6296143445965625</v>
      </c>
      <c r="AI14" s="172">
        <f t="shared" si="4"/>
        <v>-10.173639865968905</v>
      </c>
      <c r="AJ14" s="172">
        <f t="shared" si="5"/>
        <v>-82.74261898586623</v>
      </c>
      <c r="AK14" s="172">
        <f t="shared" si="6"/>
        <v>57.898786357514275</v>
      </c>
      <c r="AL14" s="172">
        <f t="shared" si="7"/>
        <v>-0.04886928196740573</v>
      </c>
      <c r="AM14" s="172">
        <f t="shared" si="8"/>
        <v>12.720432038795495</v>
      </c>
      <c r="AN14" s="172">
        <f t="shared" si="9"/>
        <v>2.993168023770439</v>
      </c>
      <c r="AO14" s="172">
        <f t="shared" si="10"/>
        <v>-14.04120242439707</v>
      </c>
      <c r="AP14" s="172">
        <f t="shared" si="11"/>
        <v>23.89378708592584</v>
      </c>
      <c r="AQ14" s="172">
        <f t="shared" si="11"/>
        <v>-9.15049467848017</v>
      </c>
      <c r="AR14" s="172">
        <f t="shared" si="12"/>
        <v>-6.497185944740402</v>
      </c>
      <c r="AS14" s="172">
        <f t="shared" si="14"/>
        <v>-5.785643150209991</v>
      </c>
      <c r="AT14" s="172">
        <f t="shared" si="15"/>
        <v>-2.5858255580476914</v>
      </c>
      <c r="AU14" s="173">
        <f t="shared" si="16"/>
        <v>-11.161530722785237</v>
      </c>
      <c r="AV14" s="165"/>
      <c r="AW14" s="165"/>
      <c r="AX14" s="165"/>
      <c r="AY14" s="166"/>
      <c r="AZ14" s="166"/>
      <c r="BA14" s="166"/>
      <c r="BB14" s="166"/>
    </row>
    <row r="15" spans="3:54" ht="13.5" customHeight="1">
      <c r="C15" s="177" t="str">
        <f>IF(Indice_index!$Z$1=1,"Aquisição de serviços","Purchase of services")</f>
        <v>Aquisição de serviços</v>
      </c>
      <c r="D15" s="300">
        <v>19.703917050000005</v>
      </c>
      <c r="E15" s="300">
        <v>90.59909275</v>
      </c>
      <c r="F15" s="300">
        <v>70.22119089000003</v>
      </c>
      <c r="G15" s="300">
        <v>7.309987760000002</v>
      </c>
      <c r="H15" s="300">
        <v>11.598555069999998</v>
      </c>
      <c r="I15" s="300">
        <v>67.57008847</v>
      </c>
      <c r="J15" s="300">
        <v>100.61247629</v>
      </c>
      <c r="K15" s="300">
        <v>384.28402055</v>
      </c>
      <c r="L15" s="300">
        <v>33.117901629999984</v>
      </c>
      <c r="M15" s="300">
        <v>6306.3121216399995</v>
      </c>
      <c r="N15" s="300">
        <v>241.4668340600006</v>
      </c>
      <c r="O15" s="300">
        <v>160.63617401</v>
      </c>
      <c r="P15" s="300">
        <v>29.22252757</v>
      </c>
      <c r="Q15" s="288">
        <f t="shared" si="17"/>
        <v>7522.654887740001</v>
      </c>
      <c r="R15" s="163"/>
      <c r="S15" s="301">
        <v>19.817088619999982</v>
      </c>
      <c r="T15" s="301">
        <v>88.00146106999992</v>
      </c>
      <c r="U15" s="301">
        <v>65.67696148</v>
      </c>
      <c r="V15" s="301">
        <v>6.20151446</v>
      </c>
      <c r="W15" s="301">
        <v>13.092151610000005</v>
      </c>
      <c r="X15" s="301">
        <v>93.76644469999994</v>
      </c>
      <c r="Y15" s="301">
        <v>103.63109267999998</v>
      </c>
      <c r="Z15" s="301">
        <v>374.06997153000026</v>
      </c>
      <c r="AA15" s="301">
        <v>48.404987310000024</v>
      </c>
      <c r="AB15" s="301">
        <v>7229.187353499998</v>
      </c>
      <c r="AC15" s="301">
        <v>264.7653412900003</v>
      </c>
      <c r="AD15" s="301">
        <v>163.6697511799997</v>
      </c>
      <c r="AE15" s="301">
        <v>27.821638890000024</v>
      </c>
      <c r="AF15" s="288">
        <f t="shared" si="18"/>
        <v>8498.105758319998</v>
      </c>
      <c r="AG15" s="163"/>
      <c r="AH15" s="172">
        <f t="shared" si="3"/>
        <v>-0.5710807080196498</v>
      </c>
      <c r="AI15" s="172">
        <f t="shared" si="4"/>
        <v>2.951805172795729</v>
      </c>
      <c r="AJ15" s="172">
        <f t="shared" si="5"/>
        <v>6.9190615820188945</v>
      </c>
      <c r="AK15" s="172">
        <f t="shared" si="6"/>
        <v>17.874235513755483</v>
      </c>
      <c r="AL15" s="172">
        <f t="shared" si="7"/>
        <v>-11.408335195715068</v>
      </c>
      <c r="AM15" s="172">
        <f t="shared" si="8"/>
        <v>-27.9378793915175</v>
      </c>
      <c r="AN15" s="172">
        <f t="shared" si="9"/>
        <v>-2.9128481732032796</v>
      </c>
      <c r="AO15" s="172">
        <f t="shared" si="10"/>
        <v>2.730518298013279</v>
      </c>
      <c r="AP15" s="172">
        <f t="shared" si="11"/>
        <v>-31.581633483543687</v>
      </c>
      <c r="AQ15" s="172">
        <f t="shared" si="11"/>
        <v>-12.765960912787659</v>
      </c>
      <c r="AR15" s="172">
        <f t="shared" si="12"/>
        <v>-8.799681679061091</v>
      </c>
      <c r="AS15" s="172">
        <f t="shared" si="14"/>
        <v>-1.8534745413423814</v>
      </c>
      <c r="AT15" s="172">
        <f t="shared" si="15"/>
        <v>5.035248590274458</v>
      </c>
      <c r="AU15" s="173">
        <f t="shared" si="16"/>
        <v>-11.478450590297612</v>
      </c>
      <c r="AV15" s="165"/>
      <c r="AW15" s="165"/>
      <c r="AX15" s="165"/>
      <c r="AY15" s="166"/>
      <c r="AZ15" s="166"/>
      <c r="BA15" s="166"/>
      <c r="BB15" s="166"/>
    </row>
    <row r="16" spans="3:54" ht="12.75">
      <c r="C16" s="171" t="str">
        <f>IF(Indice_index!$Z$1=1,"Juros e outros encargos","Interests and other charges")</f>
        <v>Juros e outros encargos</v>
      </c>
      <c r="D16" s="300">
        <v>0.00428395</v>
      </c>
      <c r="E16" s="300">
        <v>3.75073378</v>
      </c>
      <c r="F16" s="300">
        <v>164.47845609</v>
      </c>
      <c r="G16" s="300">
        <v>0.00101819</v>
      </c>
      <c r="H16" s="300">
        <v>1.1777543199999998</v>
      </c>
      <c r="I16" s="300">
        <v>0</v>
      </c>
      <c r="J16" s="300">
        <v>0.92635446</v>
      </c>
      <c r="K16" s="300">
        <v>637.74803364</v>
      </c>
      <c r="L16" s="300">
        <v>5.032613609999999</v>
      </c>
      <c r="M16" s="300">
        <v>7.00173843</v>
      </c>
      <c r="N16" s="300">
        <v>29.06253792</v>
      </c>
      <c r="O16" s="300">
        <v>0.31610018</v>
      </c>
      <c r="P16" s="300">
        <v>4.60335142</v>
      </c>
      <c r="Q16" s="288">
        <f t="shared" si="17"/>
        <v>854.10297599</v>
      </c>
      <c r="R16" s="163"/>
      <c r="S16" s="301">
        <v>0.00261894</v>
      </c>
      <c r="T16" s="301">
        <v>10.624432700000002</v>
      </c>
      <c r="U16" s="301">
        <v>271.09420972</v>
      </c>
      <c r="V16" s="301">
        <v>0.00135343</v>
      </c>
      <c r="W16" s="301">
        <v>1.5699353800000002</v>
      </c>
      <c r="X16" s="301">
        <v>0</v>
      </c>
      <c r="Y16" s="301">
        <v>5.55E-05</v>
      </c>
      <c r="Z16" s="301">
        <v>713.08481859</v>
      </c>
      <c r="AA16" s="301">
        <v>11.720042119999999</v>
      </c>
      <c r="AB16" s="301">
        <v>6.5368791</v>
      </c>
      <c r="AC16" s="301">
        <v>32.966430519999996</v>
      </c>
      <c r="AD16" s="301">
        <v>0.37822424000000004</v>
      </c>
      <c r="AE16" s="301">
        <v>5.72837021</v>
      </c>
      <c r="AF16" s="288">
        <f t="shared" si="18"/>
        <v>1053.70737045</v>
      </c>
      <c r="AG16" s="163"/>
      <c r="AH16" s="172">
        <f t="shared" si="3"/>
        <v>63.5757214751006</v>
      </c>
      <c r="AI16" s="172">
        <f t="shared" si="4"/>
        <v>-64.6970912621057</v>
      </c>
      <c r="AJ16" s="172">
        <f t="shared" si="5"/>
        <v>-39.32793464682193</v>
      </c>
      <c r="AK16" s="172">
        <f t="shared" si="6"/>
        <v>-24.76965931004929</v>
      </c>
      <c r="AL16" s="172">
        <f t="shared" si="7"/>
        <v>-24.980713537394156</v>
      </c>
      <c r="AM16" s="172" t="str">
        <f t="shared" si="8"/>
        <v>-</v>
      </c>
      <c r="AN16" s="172" t="str">
        <f t="shared" si="9"/>
        <v>-</v>
      </c>
      <c r="AO16" s="172">
        <f t="shared" si="10"/>
        <v>-10.564912193610473</v>
      </c>
      <c r="AP16" s="172">
        <f t="shared" si="11"/>
        <v>-57.05976515722624</v>
      </c>
      <c r="AQ16" s="172">
        <f t="shared" si="11"/>
        <v>7.1113343674965535</v>
      </c>
      <c r="AR16" s="172">
        <f t="shared" si="12"/>
        <v>-11.842023957163306</v>
      </c>
      <c r="AS16" s="172">
        <f t="shared" si="14"/>
        <v>-16.425192631757294</v>
      </c>
      <c r="AT16" s="172">
        <f t="shared" si="15"/>
        <v>-19.63942183827535</v>
      </c>
      <c r="AU16" s="173">
        <f t="shared" si="16"/>
        <v>-18.943057632287065</v>
      </c>
      <c r="AV16" s="165"/>
      <c r="AW16" s="165"/>
      <c r="AX16" s="165"/>
      <c r="AY16" s="166"/>
      <c r="AZ16" s="166"/>
      <c r="BA16" s="166"/>
      <c r="BB16" s="166"/>
    </row>
    <row r="17" spans="3:54" ht="12.75">
      <c r="C17" s="171" t="str">
        <f>IF(Indice_index!$Z$1=1,"Transferências correntes","Current transfers")</f>
        <v>Transferências correntes</v>
      </c>
      <c r="D17" s="301">
        <f aca="true" t="shared" si="20" ref="D17:AF17">+D18+D23</f>
        <v>9.624995230000001</v>
      </c>
      <c r="E17" s="301">
        <f t="shared" si="20"/>
        <v>78.98142238999999</v>
      </c>
      <c r="F17" s="301">
        <f t="shared" si="20"/>
        <v>9369.764455270002</v>
      </c>
      <c r="G17" s="301">
        <f t="shared" si="20"/>
        <v>30.340567949999997</v>
      </c>
      <c r="H17" s="301">
        <f t="shared" si="20"/>
        <v>1.4883612100000003</v>
      </c>
      <c r="I17" s="301">
        <f t="shared" si="20"/>
        <v>83.86286909</v>
      </c>
      <c r="J17" s="301">
        <f t="shared" si="20"/>
        <v>206.03848566000005</v>
      </c>
      <c r="K17" s="301">
        <f t="shared" si="20"/>
        <v>161.83163706999997</v>
      </c>
      <c r="L17" s="301">
        <f t="shared" si="20"/>
        <v>472.37379258999994</v>
      </c>
      <c r="M17" s="301">
        <f>+M18+M23</f>
        <v>241.84938651999997</v>
      </c>
      <c r="N17" s="301">
        <f t="shared" si="20"/>
        <v>265.74171250000006</v>
      </c>
      <c r="O17" s="301">
        <f t="shared" si="20"/>
        <v>226.81669857000003</v>
      </c>
      <c r="P17" s="301">
        <f t="shared" si="20"/>
        <v>71.42165742</v>
      </c>
      <c r="Q17" s="288">
        <f t="shared" si="20"/>
        <v>11220.136041470005</v>
      </c>
      <c r="R17" s="163"/>
      <c r="S17" s="301">
        <f t="shared" si="20"/>
        <v>8.61827104</v>
      </c>
      <c r="T17" s="301">
        <f t="shared" si="20"/>
        <v>89.72034765000001</v>
      </c>
      <c r="U17" s="301">
        <f t="shared" si="20"/>
        <v>8126.7750325</v>
      </c>
      <c r="V17" s="301">
        <f t="shared" si="20"/>
        <v>23.70394932</v>
      </c>
      <c r="W17" s="301">
        <f t="shared" si="20"/>
        <v>1.5485248300000003</v>
      </c>
      <c r="X17" s="301">
        <f t="shared" si="20"/>
        <v>71.48676944</v>
      </c>
      <c r="Y17" s="301">
        <f t="shared" si="20"/>
        <v>287.49607978000006</v>
      </c>
      <c r="Z17" s="301">
        <f t="shared" si="20"/>
        <v>118.75737619</v>
      </c>
      <c r="AA17" s="301">
        <f t="shared" si="20"/>
        <v>473.39546085</v>
      </c>
      <c r="AB17" s="301">
        <f>+AB18+AB23</f>
        <v>605.54342355</v>
      </c>
      <c r="AC17" s="301">
        <f t="shared" si="20"/>
        <v>355.81271675</v>
      </c>
      <c r="AD17" s="301">
        <f t="shared" si="20"/>
        <v>146.12204501000002</v>
      </c>
      <c r="AE17" s="301">
        <f t="shared" si="20"/>
        <v>16.69755878</v>
      </c>
      <c r="AF17" s="288">
        <f t="shared" si="20"/>
        <v>10325.67755569</v>
      </c>
      <c r="AG17" s="163"/>
      <c r="AH17" s="172">
        <f t="shared" si="3"/>
        <v>11.681277895850462</v>
      </c>
      <c r="AI17" s="172">
        <f t="shared" si="4"/>
        <v>-11.96933086114721</v>
      </c>
      <c r="AJ17" s="172">
        <f t="shared" si="5"/>
        <v>15.294989928958666</v>
      </c>
      <c r="AK17" s="172">
        <f t="shared" si="6"/>
        <v>27.99794473235904</v>
      </c>
      <c r="AL17" s="172">
        <f t="shared" si="7"/>
        <v>-3.885221524022961</v>
      </c>
      <c r="AM17" s="172">
        <f t="shared" si="8"/>
        <v>17.31243382090089</v>
      </c>
      <c r="AN17" s="172">
        <f t="shared" si="9"/>
        <v>-28.333462557935956</v>
      </c>
      <c r="AO17" s="172">
        <f t="shared" si="10"/>
        <v>36.270808822085655</v>
      </c>
      <c r="AP17" s="172">
        <f t="shared" si="11"/>
        <v>-0.2158170799030528</v>
      </c>
      <c r="AQ17" s="172">
        <f t="shared" si="11"/>
        <v>-60.06076903582617</v>
      </c>
      <c r="AR17" s="172">
        <f t="shared" si="12"/>
        <v>-25.31416107684688</v>
      </c>
      <c r="AS17" s="172">
        <f t="shared" si="14"/>
        <v>55.22414742722604</v>
      </c>
      <c r="AT17" s="172" t="str">
        <f t="shared" si="15"/>
        <v>-</v>
      </c>
      <c r="AU17" s="173">
        <f t="shared" si="16"/>
        <v>8.662467726266652</v>
      </c>
      <c r="AV17" s="165"/>
      <c r="AW17" s="165"/>
      <c r="AX17" s="165"/>
      <c r="AY17" s="166"/>
      <c r="AZ17" s="166"/>
      <c r="BA17" s="166"/>
      <c r="BB17" s="166"/>
    </row>
    <row r="18" spans="3:54" ht="12.75">
      <c r="C18" s="174" t="str">
        <f>IF(Indice_index!$Z$1=1,"Administrações Públicas","General Government")</f>
        <v>Administrações Públicas</v>
      </c>
      <c r="D18" s="301">
        <f aca="true" t="shared" si="21" ref="D18:AF18">SUM(D19:D22)</f>
        <v>9.5742325</v>
      </c>
      <c r="E18" s="301">
        <f t="shared" si="21"/>
        <v>10.430397950000003</v>
      </c>
      <c r="F18" s="301">
        <f t="shared" si="21"/>
        <v>100.33068429</v>
      </c>
      <c r="G18" s="301">
        <f t="shared" si="21"/>
        <v>4.749254329999999</v>
      </c>
      <c r="H18" s="301">
        <f t="shared" si="21"/>
        <v>0.00019399</v>
      </c>
      <c r="I18" s="301">
        <f t="shared" si="21"/>
        <v>2.3650436699999995</v>
      </c>
      <c r="J18" s="301">
        <f t="shared" si="21"/>
        <v>191.80443343000005</v>
      </c>
      <c r="K18" s="301">
        <f t="shared" si="21"/>
        <v>65.3565728</v>
      </c>
      <c r="L18" s="301">
        <f t="shared" si="21"/>
        <v>24.00753655</v>
      </c>
      <c r="M18" s="301">
        <f>SUM(M19:M22)</f>
        <v>207.11000226999997</v>
      </c>
      <c r="N18" s="301">
        <f t="shared" si="21"/>
        <v>37.05880261000001</v>
      </c>
      <c r="O18" s="301">
        <f t="shared" si="21"/>
        <v>222.39859309000002</v>
      </c>
      <c r="P18" s="301">
        <f t="shared" si="21"/>
        <v>9.41835128</v>
      </c>
      <c r="Q18" s="288">
        <f t="shared" si="21"/>
        <v>884.60409876</v>
      </c>
      <c r="R18" s="163"/>
      <c r="S18" s="301">
        <f t="shared" si="21"/>
        <v>8.51876834</v>
      </c>
      <c r="T18" s="301">
        <f t="shared" si="21"/>
        <v>12.855867629999999</v>
      </c>
      <c r="U18" s="301">
        <f t="shared" si="21"/>
        <v>84.12107394999998</v>
      </c>
      <c r="V18" s="301">
        <f t="shared" si="21"/>
        <v>4.824021780000001</v>
      </c>
      <c r="W18" s="301">
        <f t="shared" si="21"/>
        <v>0.00511149</v>
      </c>
      <c r="X18" s="301">
        <f t="shared" si="21"/>
        <v>1.19023737</v>
      </c>
      <c r="Y18" s="301">
        <f t="shared" si="21"/>
        <v>267.27556321000003</v>
      </c>
      <c r="Z18" s="301">
        <f t="shared" si="21"/>
        <v>53.003804689999996</v>
      </c>
      <c r="AA18" s="301">
        <f t="shared" si="21"/>
        <v>24.92080903999999</v>
      </c>
      <c r="AB18" s="301">
        <f>SUM(AB19:AB22)</f>
        <v>566.0557661</v>
      </c>
      <c r="AC18" s="301">
        <f t="shared" si="21"/>
        <v>103.72363639999998</v>
      </c>
      <c r="AD18" s="301">
        <f t="shared" si="21"/>
        <v>139.28566029</v>
      </c>
      <c r="AE18" s="301">
        <f t="shared" si="21"/>
        <v>13.54255827</v>
      </c>
      <c r="AF18" s="288">
        <f t="shared" si="21"/>
        <v>1279.32287856</v>
      </c>
      <c r="AG18" s="163"/>
      <c r="AH18" s="172">
        <f t="shared" si="3"/>
        <v>12.389868087432948</v>
      </c>
      <c r="AI18" s="172">
        <f t="shared" si="4"/>
        <v>-18.86663545243734</v>
      </c>
      <c r="AJ18" s="172">
        <f t="shared" si="5"/>
        <v>19.269381118023652</v>
      </c>
      <c r="AK18" s="172">
        <f t="shared" si="6"/>
        <v>-1.5498986822568053</v>
      </c>
      <c r="AL18" s="172">
        <f t="shared" si="7"/>
        <v>-96.20482481624732</v>
      </c>
      <c r="AM18" s="172">
        <f t="shared" si="8"/>
        <v>98.7035300361977</v>
      </c>
      <c r="AN18" s="172">
        <f t="shared" si="9"/>
        <v>-28.23719792172016</v>
      </c>
      <c r="AO18" s="172">
        <f t="shared" si="10"/>
        <v>23.305436623364784</v>
      </c>
      <c r="AP18" s="172">
        <f t="shared" si="11"/>
        <v>-3.6646983993742372</v>
      </c>
      <c r="AQ18" s="172">
        <f t="shared" si="11"/>
        <v>-63.41173172796341</v>
      </c>
      <c r="AR18" s="172">
        <f t="shared" si="12"/>
        <v>-64.27159334533317</v>
      </c>
      <c r="AS18" s="172">
        <f t="shared" si="14"/>
        <v>59.67084668081017</v>
      </c>
      <c r="AT18" s="172">
        <f t="shared" si="15"/>
        <v>-30.453677272602945</v>
      </c>
      <c r="AU18" s="173">
        <f t="shared" si="16"/>
        <v>-30.853726327812847</v>
      </c>
      <c r="AV18" s="165"/>
      <c r="AW18" s="165"/>
      <c r="AX18" s="165"/>
      <c r="AY18" s="166"/>
      <c r="AZ18" s="166"/>
      <c r="BA18" s="166"/>
      <c r="BB18" s="166"/>
    </row>
    <row r="19" spans="3:54" ht="12.75">
      <c r="C19" s="178" t="str">
        <f>IF(Indice_index!$Z$1=1,"Administração Central","Central Government")</f>
        <v>Administração Central</v>
      </c>
      <c r="D19" s="300">
        <v>9.5742325</v>
      </c>
      <c r="E19" s="300">
        <v>8.666604080000003</v>
      </c>
      <c r="F19" s="300">
        <v>84.13996605</v>
      </c>
      <c r="G19" s="300">
        <v>4.749254329999999</v>
      </c>
      <c r="H19" s="300">
        <v>0.00019399</v>
      </c>
      <c r="I19" s="300">
        <v>1.15835838</v>
      </c>
      <c r="J19" s="300">
        <v>191.75143343000005</v>
      </c>
      <c r="K19" s="300">
        <v>39.21653079</v>
      </c>
      <c r="L19" s="300">
        <v>14.86065023</v>
      </c>
      <c r="M19" s="300">
        <v>204.85615825</v>
      </c>
      <c r="N19" s="300">
        <v>36.896748050000014</v>
      </c>
      <c r="O19" s="300">
        <v>75.16488325</v>
      </c>
      <c r="P19" s="300">
        <v>8.938450259999998</v>
      </c>
      <c r="Q19" s="288">
        <f t="shared" si="17"/>
        <v>679.97346359</v>
      </c>
      <c r="R19" s="163"/>
      <c r="S19" s="301">
        <v>8.51876834</v>
      </c>
      <c r="T19" s="301">
        <v>9.851514839999998</v>
      </c>
      <c r="U19" s="301">
        <v>84.12107394999998</v>
      </c>
      <c r="V19" s="301">
        <v>4.824021780000001</v>
      </c>
      <c r="W19" s="301">
        <v>0.00511149</v>
      </c>
      <c r="X19" s="301">
        <v>0.21516852</v>
      </c>
      <c r="Y19" s="301">
        <v>267.27556321000003</v>
      </c>
      <c r="Z19" s="301">
        <v>30.879252169999997</v>
      </c>
      <c r="AA19" s="301">
        <v>16.55386205999999</v>
      </c>
      <c r="AB19" s="301">
        <v>565.0669199299999</v>
      </c>
      <c r="AC19" s="301">
        <v>40.33314847999999</v>
      </c>
      <c r="AD19" s="301">
        <v>86.69278817000001</v>
      </c>
      <c r="AE19" s="301">
        <v>13.48722545</v>
      </c>
      <c r="AF19" s="288">
        <f t="shared" si="18"/>
        <v>1127.8244183900001</v>
      </c>
      <c r="AG19" s="163"/>
      <c r="AH19" s="172">
        <f t="shared" si="3"/>
        <v>12.389868087432948</v>
      </c>
      <c r="AI19" s="172">
        <f t="shared" si="4"/>
        <v>-12.027701112410808</v>
      </c>
      <c r="AJ19" s="172">
        <f t="shared" si="5"/>
        <v>0.022458224928566074</v>
      </c>
      <c r="AK19" s="172">
        <f t="shared" si="6"/>
        <v>-1.5498986822568053</v>
      </c>
      <c r="AL19" s="172">
        <f t="shared" si="7"/>
        <v>-96.20482481624732</v>
      </c>
      <c r="AM19" s="172" t="str">
        <f t="shared" si="8"/>
        <v>-</v>
      </c>
      <c r="AN19" s="172">
        <f t="shared" si="9"/>
        <v>-28.25702764328672</v>
      </c>
      <c r="AO19" s="172">
        <f t="shared" si="10"/>
        <v>26.999613119192983</v>
      </c>
      <c r="AP19" s="172">
        <f t="shared" si="11"/>
        <v>-10.228500297168667</v>
      </c>
      <c r="AQ19" s="172">
        <f t="shared" si="11"/>
        <v>-63.74656681807219</v>
      </c>
      <c r="AR19" s="172">
        <f t="shared" si="12"/>
        <v>-8.520040114656526</v>
      </c>
      <c r="AS19" s="172">
        <f t="shared" si="14"/>
        <v>-13.297420885107991</v>
      </c>
      <c r="AT19" s="172">
        <f t="shared" si="15"/>
        <v>-33.72654521764521</v>
      </c>
      <c r="AU19" s="173">
        <f t="shared" si="16"/>
        <v>-39.709279875259256</v>
      </c>
      <c r="AV19" s="165"/>
      <c r="AW19" s="165"/>
      <c r="AX19" s="165"/>
      <c r="AY19" s="166"/>
      <c r="AZ19" s="166"/>
      <c r="BA19" s="166"/>
      <c r="BB19" s="166"/>
    </row>
    <row r="20" spans="3:54" ht="12.75">
      <c r="C20" s="178" t="str">
        <f>IF(Indice_index!$Z$1=1,"Administração Regional","Regional Government")</f>
        <v>Administração Regional</v>
      </c>
      <c r="D20" s="300">
        <v>0</v>
      </c>
      <c r="E20" s="300">
        <v>0</v>
      </c>
      <c r="F20" s="300">
        <v>0</v>
      </c>
      <c r="G20" s="300">
        <v>0</v>
      </c>
      <c r="H20" s="300">
        <v>0</v>
      </c>
      <c r="I20" s="300">
        <v>0</v>
      </c>
      <c r="J20" s="300">
        <v>0</v>
      </c>
      <c r="K20" s="300">
        <v>0.09396739</v>
      </c>
      <c r="L20" s="300">
        <v>0.09007726</v>
      </c>
      <c r="M20" s="300">
        <v>0.015483</v>
      </c>
      <c r="N20" s="300">
        <v>0.000245</v>
      </c>
      <c r="O20" s="300">
        <v>0</v>
      </c>
      <c r="P20" s="300">
        <v>0</v>
      </c>
      <c r="Q20" s="288">
        <f t="shared" si="17"/>
        <v>0.19977265</v>
      </c>
      <c r="R20" s="163"/>
      <c r="S20" s="301">
        <v>0</v>
      </c>
      <c r="T20" s="301">
        <v>0</v>
      </c>
      <c r="U20" s="301">
        <v>0</v>
      </c>
      <c r="V20" s="301">
        <v>0</v>
      </c>
      <c r="W20" s="301">
        <v>0</v>
      </c>
      <c r="X20" s="301">
        <v>0</v>
      </c>
      <c r="Y20" s="301">
        <v>0</v>
      </c>
      <c r="Z20" s="301">
        <v>0.04517014</v>
      </c>
      <c r="AA20" s="301">
        <v>0.3842848200000001</v>
      </c>
      <c r="AB20" s="301">
        <v>0.032851</v>
      </c>
      <c r="AC20" s="301">
        <v>0.00225</v>
      </c>
      <c r="AD20" s="301">
        <v>0.024447490000000002</v>
      </c>
      <c r="AE20" s="301">
        <v>0</v>
      </c>
      <c r="AF20" s="288">
        <f t="shared" si="18"/>
        <v>0.48900345000000006</v>
      </c>
      <c r="AG20" s="163"/>
      <c r="AH20" s="172" t="str">
        <f t="shared" si="3"/>
        <v>-</v>
      </c>
      <c r="AI20" s="172" t="str">
        <f t="shared" si="4"/>
        <v>-</v>
      </c>
      <c r="AJ20" s="172" t="str">
        <f t="shared" si="5"/>
        <v>-</v>
      </c>
      <c r="AK20" s="172" t="str">
        <f t="shared" si="6"/>
        <v>-</v>
      </c>
      <c r="AL20" s="172" t="str">
        <f t="shared" si="7"/>
        <v>-</v>
      </c>
      <c r="AM20" s="172" t="str">
        <f t="shared" si="8"/>
        <v>-</v>
      </c>
      <c r="AN20" s="172" t="str">
        <f t="shared" si="9"/>
        <v>-</v>
      </c>
      <c r="AO20" s="172" t="str">
        <f t="shared" si="10"/>
        <v>-</v>
      </c>
      <c r="AP20" s="172">
        <f t="shared" si="11"/>
        <v>-76.55976626919586</v>
      </c>
      <c r="AQ20" s="172">
        <f t="shared" si="11"/>
        <v>-52.86901464186783</v>
      </c>
      <c r="AR20" s="172">
        <f t="shared" si="12"/>
        <v>-89.11111111111111</v>
      </c>
      <c r="AS20" s="172">
        <f t="shared" si="14"/>
        <v>-100</v>
      </c>
      <c r="AT20" s="172" t="str">
        <f t="shared" si="15"/>
        <v>-</v>
      </c>
      <c r="AU20" s="173">
        <f t="shared" si="16"/>
        <v>-59.146985568302235</v>
      </c>
      <c r="AV20" s="165"/>
      <c r="AW20" s="165"/>
      <c r="AX20" s="165"/>
      <c r="AY20" s="166"/>
      <c r="AZ20" s="166"/>
      <c r="BA20" s="166"/>
      <c r="BB20" s="166"/>
    </row>
    <row r="21" spans="3:57" ht="12.75">
      <c r="C21" s="178" t="str">
        <f>IF(Indice_index!$Z$1=1,"Administração Local","Local Government")</f>
        <v>Administração Local</v>
      </c>
      <c r="D21" s="300">
        <v>0</v>
      </c>
      <c r="E21" s="300">
        <v>0.94247765</v>
      </c>
      <c r="F21" s="300">
        <v>0</v>
      </c>
      <c r="G21" s="300">
        <v>0</v>
      </c>
      <c r="H21" s="300">
        <v>0</v>
      </c>
      <c r="I21" s="300">
        <v>1.2066852899999998</v>
      </c>
      <c r="J21" s="300">
        <v>0.053</v>
      </c>
      <c r="K21" s="300">
        <v>26.041163089999998</v>
      </c>
      <c r="L21" s="300">
        <v>9.05663038</v>
      </c>
      <c r="M21" s="300">
        <v>1.30439102</v>
      </c>
      <c r="N21" s="300">
        <v>0.018966849999999997</v>
      </c>
      <c r="O21" s="300">
        <v>0</v>
      </c>
      <c r="P21" s="300">
        <v>0.47596378</v>
      </c>
      <c r="Q21" s="288">
        <f t="shared" si="17"/>
        <v>39.099278059999996</v>
      </c>
      <c r="R21" s="163"/>
      <c r="S21" s="301">
        <v>0</v>
      </c>
      <c r="T21" s="301">
        <v>0.01114134</v>
      </c>
      <c r="U21" s="301">
        <v>0</v>
      </c>
      <c r="V21" s="301">
        <v>0</v>
      </c>
      <c r="W21" s="301">
        <v>0</v>
      </c>
      <c r="X21" s="301">
        <v>0.9750688499999999</v>
      </c>
      <c r="Y21" s="301">
        <v>0</v>
      </c>
      <c r="Z21" s="301">
        <v>21.783830379999998</v>
      </c>
      <c r="AA21" s="301">
        <v>7.982662159999999</v>
      </c>
      <c r="AB21" s="301">
        <v>0.95599517</v>
      </c>
      <c r="AC21" s="301">
        <v>0.01591375</v>
      </c>
      <c r="AD21" s="301">
        <v>0</v>
      </c>
      <c r="AE21" s="301">
        <v>0.05533282</v>
      </c>
      <c r="AF21" s="288">
        <f t="shared" si="18"/>
        <v>31.77994447</v>
      </c>
      <c r="AG21" s="163"/>
      <c r="AH21" s="172" t="str">
        <f t="shared" si="3"/>
        <v>-</v>
      </c>
      <c r="AI21" s="172" t="str">
        <f t="shared" si="4"/>
        <v>-</v>
      </c>
      <c r="AJ21" s="172" t="str">
        <f t="shared" si="5"/>
        <v>-</v>
      </c>
      <c r="AK21" s="172" t="str">
        <f t="shared" si="6"/>
        <v>-</v>
      </c>
      <c r="AL21" s="172" t="str">
        <f t="shared" si="7"/>
        <v>-</v>
      </c>
      <c r="AM21" s="172">
        <f t="shared" si="8"/>
        <v>23.753854920091023</v>
      </c>
      <c r="AN21" s="172" t="str">
        <f t="shared" si="9"/>
        <v>-</v>
      </c>
      <c r="AO21" s="172">
        <f t="shared" si="10"/>
        <v>19.54354507786064</v>
      </c>
      <c r="AP21" s="172">
        <f t="shared" si="11"/>
        <v>13.453760142593838</v>
      </c>
      <c r="AQ21" s="172">
        <f t="shared" si="11"/>
        <v>36.44326466628487</v>
      </c>
      <c r="AR21" s="172">
        <f t="shared" si="12"/>
        <v>19.18529573482049</v>
      </c>
      <c r="AS21" s="172" t="str">
        <f t="shared" si="14"/>
        <v>-</v>
      </c>
      <c r="AT21" s="172" t="str">
        <f t="shared" si="15"/>
        <v>-</v>
      </c>
      <c r="AU21" s="173">
        <f t="shared" si="16"/>
        <v>23.03129760629187</v>
      </c>
      <c r="AV21" s="165"/>
      <c r="AW21" s="165"/>
      <c r="AX21" s="165"/>
      <c r="AY21" s="166"/>
      <c r="AZ21" s="166"/>
      <c r="BA21" s="166"/>
      <c r="BB21" s="166"/>
      <c r="BC21" s="154"/>
      <c r="BD21" s="154"/>
      <c r="BE21" s="154"/>
    </row>
    <row r="22" spans="3:54" ht="12.75">
      <c r="C22" s="178" t="str">
        <f>IF(Indice_index!$Z$1=1,"Segurança Social","Social Security")</f>
        <v>Segurança Social</v>
      </c>
      <c r="D22" s="300">
        <v>0</v>
      </c>
      <c r="E22" s="300">
        <v>0.8213162199999999</v>
      </c>
      <c r="F22" s="300">
        <v>16.19071824</v>
      </c>
      <c r="G22" s="300">
        <v>0</v>
      </c>
      <c r="H22" s="300">
        <v>0</v>
      </c>
      <c r="I22" s="300">
        <v>0</v>
      </c>
      <c r="J22" s="300">
        <v>0</v>
      </c>
      <c r="K22" s="300">
        <v>0.00491153</v>
      </c>
      <c r="L22" s="300">
        <v>0.00017868000000000002</v>
      </c>
      <c r="M22" s="300">
        <v>0.93397</v>
      </c>
      <c r="N22" s="300">
        <v>0.14284271</v>
      </c>
      <c r="O22" s="300">
        <v>147.23370984000002</v>
      </c>
      <c r="P22" s="300">
        <v>0.00393724</v>
      </c>
      <c r="Q22" s="288">
        <f t="shared" si="17"/>
        <v>165.33158446000002</v>
      </c>
      <c r="R22" s="163"/>
      <c r="S22" s="301">
        <v>0</v>
      </c>
      <c r="T22" s="301">
        <v>2.99321145</v>
      </c>
      <c r="U22" s="301">
        <v>0</v>
      </c>
      <c r="V22" s="301">
        <v>0</v>
      </c>
      <c r="W22" s="301">
        <v>0</v>
      </c>
      <c r="X22" s="301">
        <v>0</v>
      </c>
      <c r="Y22" s="301">
        <v>0</v>
      </c>
      <c r="Z22" s="301">
        <v>0.295552</v>
      </c>
      <c r="AA22" s="301">
        <v>0</v>
      </c>
      <c r="AB22" s="301">
        <v>0</v>
      </c>
      <c r="AC22" s="301">
        <v>63.37232416999999</v>
      </c>
      <c r="AD22" s="301">
        <v>52.56842463000001</v>
      </c>
      <c r="AE22" s="301">
        <v>0</v>
      </c>
      <c r="AF22" s="288">
        <f t="shared" si="18"/>
        <v>119.22951225</v>
      </c>
      <c r="AG22" s="163"/>
      <c r="AH22" s="172" t="str">
        <f t="shared" si="3"/>
        <v>-</v>
      </c>
      <c r="AI22" s="172">
        <f t="shared" si="4"/>
        <v>-72.56070165039627</v>
      </c>
      <c r="AJ22" s="172" t="str">
        <f t="shared" si="5"/>
        <v>-</v>
      </c>
      <c r="AK22" s="172" t="str">
        <f t="shared" si="6"/>
        <v>-</v>
      </c>
      <c r="AL22" s="172" t="str">
        <f t="shared" si="7"/>
        <v>-</v>
      </c>
      <c r="AM22" s="172" t="str">
        <f t="shared" si="8"/>
        <v>-</v>
      </c>
      <c r="AN22" s="172" t="str">
        <f t="shared" si="9"/>
        <v>-</v>
      </c>
      <c r="AO22" s="172">
        <f t="shared" si="10"/>
        <v>-98.33818414356864</v>
      </c>
      <c r="AP22" s="172" t="str">
        <f t="shared" si="11"/>
        <v>-</v>
      </c>
      <c r="AQ22" s="172" t="str">
        <f t="shared" si="11"/>
        <v>-</v>
      </c>
      <c r="AR22" s="172">
        <f t="shared" si="12"/>
        <v>-99.7745976467317</v>
      </c>
      <c r="AS22" s="172" t="str">
        <f t="shared" si="14"/>
        <v>-</v>
      </c>
      <c r="AT22" s="172" t="str">
        <f t="shared" si="15"/>
        <v>-</v>
      </c>
      <c r="AU22" s="173">
        <f t="shared" si="16"/>
        <v>38.666661751776154</v>
      </c>
      <c r="AV22" s="165"/>
      <c r="AW22" s="165"/>
      <c r="AX22" s="165"/>
      <c r="AY22" s="166"/>
      <c r="AZ22" s="166"/>
      <c r="BA22" s="166"/>
      <c r="BB22" s="166"/>
    </row>
    <row r="23" spans="3:54" ht="12.75">
      <c r="C23" s="174" t="str">
        <f>IF(Indice_index!$Z$1=1,"Outras transferências correntes","Other current transfers")</f>
        <v>Outras transferências correntes</v>
      </c>
      <c r="D23" s="300">
        <v>0.05076273</v>
      </c>
      <c r="E23" s="300">
        <v>68.55102443999999</v>
      </c>
      <c r="F23" s="300">
        <v>9269.433770980002</v>
      </c>
      <c r="G23" s="300">
        <v>25.591313619999998</v>
      </c>
      <c r="H23" s="300">
        <v>1.4881672200000002</v>
      </c>
      <c r="I23" s="300">
        <v>81.49782542</v>
      </c>
      <c r="J23" s="300">
        <v>14.234052229999998</v>
      </c>
      <c r="K23" s="300">
        <v>96.47506426999998</v>
      </c>
      <c r="L23" s="300">
        <v>448.36625603999994</v>
      </c>
      <c r="M23" s="300">
        <v>34.73938425</v>
      </c>
      <c r="N23" s="300">
        <v>228.68290989000008</v>
      </c>
      <c r="O23" s="300">
        <v>4.4181054799999995</v>
      </c>
      <c r="P23" s="300">
        <v>62.00330614000001</v>
      </c>
      <c r="Q23" s="288">
        <f t="shared" si="17"/>
        <v>10335.531942710004</v>
      </c>
      <c r="R23" s="163"/>
      <c r="S23" s="301">
        <v>0.0995027</v>
      </c>
      <c r="T23" s="301">
        <v>76.86448002000002</v>
      </c>
      <c r="U23" s="301">
        <v>8042.6539585499995</v>
      </c>
      <c r="V23" s="301">
        <v>18.87992754</v>
      </c>
      <c r="W23" s="301">
        <v>1.5434133400000003</v>
      </c>
      <c r="X23" s="301">
        <v>70.29653207</v>
      </c>
      <c r="Y23" s="301">
        <v>20.22051657</v>
      </c>
      <c r="Z23" s="301">
        <v>65.7535715</v>
      </c>
      <c r="AA23" s="301">
        <v>448.47465181</v>
      </c>
      <c r="AB23" s="301">
        <v>39.48765745</v>
      </c>
      <c r="AC23" s="301">
        <v>252.08908035000002</v>
      </c>
      <c r="AD23" s="301">
        <v>6.836384720000001</v>
      </c>
      <c r="AE23" s="301">
        <v>3.1550005100000003</v>
      </c>
      <c r="AF23" s="288">
        <f t="shared" si="18"/>
        <v>9046.354677129999</v>
      </c>
      <c r="AG23" s="163"/>
      <c r="AH23" s="172">
        <f t="shared" si="3"/>
        <v>-48.98356527008815</v>
      </c>
      <c r="AI23" s="172">
        <f t="shared" si="4"/>
        <v>-10.815731242619316</v>
      </c>
      <c r="AJ23" s="172">
        <f t="shared" si="5"/>
        <v>15.253420310665424</v>
      </c>
      <c r="AK23" s="172">
        <f t="shared" si="6"/>
        <v>35.54773219219673</v>
      </c>
      <c r="AL23" s="172">
        <f t="shared" si="7"/>
        <v>-3.5794766423361386</v>
      </c>
      <c r="AM23" s="172">
        <f t="shared" si="8"/>
        <v>15.934347001422427</v>
      </c>
      <c r="AN23" s="172">
        <f t="shared" si="9"/>
        <v>-29.605892209904127</v>
      </c>
      <c r="AO23" s="172">
        <f t="shared" si="10"/>
        <v>46.7221659130713</v>
      </c>
      <c r="AP23" s="172">
        <f t="shared" si="11"/>
        <v>-0.02416987661679375</v>
      </c>
      <c r="AQ23" s="172">
        <f t="shared" si="11"/>
        <v>-12.024702164245502</v>
      </c>
      <c r="AR23" s="172">
        <f t="shared" si="12"/>
        <v>-9.2848807364059</v>
      </c>
      <c r="AS23" s="172">
        <f t="shared" si="14"/>
        <v>-35.37365638486187</v>
      </c>
      <c r="AT23" s="172" t="str">
        <f t="shared" si="15"/>
        <v>-</v>
      </c>
      <c r="AU23" s="173">
        <f t="shared" si="16"/>
        <v>14.250792850728718</v>
      </c>
      <c r="AV23" s="165"/>
      <c r="AW23" s="165"/>
      <c r="AX23" s="165"/>
      <c r="AY23" s="166"/>
      <c r="AZ23" s="166"/>
      <c r="BA23" s="166"/>
      <c r="BB23" s="166"/>
    </row>
    <row r="24" spans="3:54" ht="12.75">
      <c r="C24" s="171" t="str">
        <f>IF(Indice_index!$Z$1=1,"Subsídios","Subsidies")</f>
        <v>Subsídios</v>
      </c>
      <c r="D24" s="300">
        <v>43.811701510000006</v>
      </c>
      <c r="E24" s="300">
        <v>6.678447049999999</v>
      </c>
      <c r="F24" s="300">
        <v>0</v>
      </c>
      <c r="G24" s="300">
        <v>0</v>
      </c>
      <c r="H24" s="300">
        <v>0</v>
      </c>
      <c r="I24" s="300">
        <v>0</v>
      </c>
      <c r="J24" s="300">
        <v>0</v>
      </c>
      <c r="K24" s="300">
        <v>0.44603924000000006</v>
      </c>
      <c r="L24" s="300">
        <v>137.23358260999998</v>
      </c>
      <c r="M24" s="300">
        <v>0</v>
      </c>
      <c r="N24" s="300">
        <v>0</v>
      </c>
      <c r="O24" s="300">
        <v>462.46891184000003</v>
      </c>
      <c r="P24" s="300">
        <v>0.02</v>
      </c>
      <c r="Q24" s="288">
        <f t="shared" si="17"/>
        <v>650.65868225</v>
      </c>
      <c r="R24" s="163"/>
      <c r="S24" s="301">
        <v>16.43769186</v>
      </c>
      <c r="T24" s="301">
        <v>7.64378578</v>
      </c>
      <c r="U24" s="301">
        <v>0</v>
      </c>
      <c r="V24" s="301">
        <v>0</v>
      </c>
      <c r="W24" s="301">
        <v>0</v>
      </c>
      <c r="X24" s="301">
        <v>0</v>
      </c>
      <c r="Y24" s="301">
        <v>0.03684588</v>
      </c>
      <c r="Z24" s="301">
        <v>0.4121661200000001</v>
      </c>
      <c r="AA24" s="301">
        <v>156.18472934</v>
      </c>
      <c r="AB24" s="301">
        <v>0</v>
      </c>
      <c r="AC24" s="301">
        <v>0</v>
      </c>
      <c r="AD24" s="301">
        <v>317.53555771000003</v>
      </c>
      <c r="AE24" s="301">
        <v>0.08760577</v>
      </c>
      <c r="AF24" s="288">
        <f t="shared" si="18"/>
        <v>498.33838246000005</v>
      </c>
      <c r="AG24" s="163"/>
      <c r="AH24" s="172" t="str">
        <f t="shared" si="3"/>
        <v>-</v>
      </c>
      <c r="AI24" s="172">
        <f t="shared" si="4"/>
        <v>-12.629065724549923</v>
      </c>
      <c r="AJ24" s="172" t="str">
        <f t="shared" si="5"/>
        <v>-</v>
      </c>
      <c r="AK24" s="172" t="str">
        <f t="shared" si="6"/>
        <v>-</v>
      </c>
      <c r="AL24" s="172" t="str">
        <f t="shared" si="7"/>
        <v>-</v>
      </c>
      <c r="AM24" s="172" t="str">
        <f t="shared" si="8"/>
        <v>-</v>
      </c>
      <c r="AN24" s="172">
        <f t="shared" si="9"/>
        <v>-100</v>
      </c>
      <c r="AO24" s="172">
        <f t="shared" si="10"/>
        <v>8.218317410465463</v>
      </c>
      <c r="AP24" s="172">
        <f t="shared" si="11"/>
        <v>-12.133802587540474</v>
      </c>
      <c r="AQ24" s="172" t="str">
        <f t="shared" si="11"/>
        <v>-</v>
      </c>
      <c r="AR24" s="172" t="str">
        <f t="shared" si="12"/>
        <v>-</v>
      </c>
      <c r="AS24" s="172">
        <f t="shared" si="14"/>
        <v>45.643188805445604</v>
      </c>
      <c r="AT24" s="172">
        <f t="shared" si="15"/>
        <v>-77.17045349866794</v>
      </c>
      <c r="AU24" s="173">
        <f t="shared" si="16"/>
        <v>30.56563675430442</v>
      </c>
      <c r="AV24" s="165"/>
      <c r="AW24" s="165"/>
      <c r="AX24" s="165"/>
      <c r="AY24" s="166"/>
      <c r="AZ24" s="166"/>
      <c r="BA24" s="166"/>
      <c r="BB24" s="166"/>
    </row>
    <row r="25" spans="3:54" ht="12.75">
      <c r="C25" s="171" t="str">
        <f>IF(Indice_index!$Z$1=1,"Outras despesas correntes","Other current expenditure")</f>
        <v>Outras despesas correntes</v>
      </c>
      <c r="D25" s="300">
        <v>0.32223425999999994</v>
      </c>
      <c r="E25" s="300">
        <v>20.204853900000003</v>
      </c>
      <c r="F25" s="300">
        <v>23.51736856</v>
      </c>
      <c r="G25" s="300">
        <v>2.59781274</v>
      </c>
      <c r="H25" s="300">
        <v>3.9110698699999995</v>
      </c>
      <c r="I25" s="300">
        <v>2.87291442</v>
      </c>
      <c r="J25" s="300">
        <v>8.089947269999998</v>
      </c>
      <c r="K25" s="300">
        <v>65.33554398</v>
      </c>
      <c r="L25" s="300">
        <v>1.77660057</v>
      </c>
      <c r="M25" s="300">
        <v>15.90172544</v>
      </c>
      <c r="N25" s="300">
        <v>20.247486920000014</v>
      </c>
      <c r="O25" s="300">
        <v>10.619715250000002</v>
      </c>
      <c r="P25" s="300">
        <v>4.50003164</v>
      </c>
      <c r="Q25" s="288">
        <f t="shared" si="17"/>
        <v>179.89730482000002</v>
      </c>
      <c r="R25" s="163"/>
      <c r="S25" s="301">
        <v>0.30394183</v>
      </c>
      <c r="T25" s="301">
        <v>11.767232490000001</v>
      </c>
      <c r="U25" s="301">
        <v>15.634177129999996</v>
      </c>
      <c r="V25" s="301">
        <v>2.09023758</v>
      </c>
      <c r="W25" s="301">
        <v>2.898156649999999</v>
      </c>
      <c r="X25" s="301">
        <v>2.64148359</v>
      </c>
      <c r="Y25" s="301">
        <v>2.66900664</v>
      </c>
      <c r="Z25" s="301">
        <v>238.90198990999994</v>
      </c>
      <c r="AA25" s="301">
        <v>4.594028369999999</v>
      </c>
      <c r="AB25" s="301">
        <v>7.77999251</v>
      </c>
      <c r="AC25" s="301">
        <v>18.323184849999997</v>
      </c>
      <c r="AD25" s="301">
        <v>12.833195869999999</v>
      </c>
      <c r="AE25" s="301">
        <v>2.41518872</v>
      </c>
      <c r="AF25" s="288">
        <f t="shared" si="18"/>
        <v>322.8518161399999</v>
      </c>
      <c r="AG25" s="163"/>
      <c r="AH25" s="172">
        <f t="shared" si="3"/>
        <v>6.018398323126473</v>
      </c>
      <c r="AI25" s="172">
        <f t="shared" si="4"/>
        <v>71.7043826334734</v>
      </c>
      <c r="AJ25" s="172">
        <f t="shared" si="5"/>
        <v>50.42281000432804</v>
      </c>
      <c r="AK25" s="172">
        <f t="shared" si="6"/>
        <v>24.28313244659968</v>
      </c>
      <c r="AL25" s="172">
        <f t="shared" si="7"/>
        <v>34.950257778509005</v>
      </c>
      <c r="AM25" s="172">
        <f t="shared" si="8"/>
        <v>8.761395712475347</v>
      </c>
      <c r="AN25" s="172" t="str">
        <f t="shared" si="9"/>
        <v>-</v>
      </c>
      <c r="AO25" s="172">
        <f t="shared" si="10"/>
        <v>-72.6517372230288</v>
      </c>
      <c r="AP25" s="172">
        <f t="shared" si="11"/>
        <v>-61.32804530329881</v>
      </c>
      <c r="AQ25" s="172" t="str">
        <f t="shared" si="11"/>
        <v>-</v>
      </c>
      <c r="AR25" s="172">
        <f t="shared" si="12"/>
        <v>10.502006532996461</v>
      </c>
      <c r="AS25" s="172">
        <f t="shared" si="14"/>
        <v>-17.248085686702737</v>
      </c>
      <c r="AT25" s="172">
        <f t="shared" si="15"/>
        <v>86.32215374043317</v>
      </c>
      <c r="AU25" s="173">
        <f t="shared" si="16"/>
        <v>-44.27867652384826</v>
      </c>
      <c r="AV25" s="165"/>
      <c r="AW25" s="165"/>
      <c r="AX25" s="165"/>
      <c r="AY25" s="166"/>
      <c r="AZ25" s="166"/>
      <c r="BA25" s="166"/>
      <c r="BB25" s="166"/>
    </row>
    <row r="26" spans="3:54" ht="12.75">
      <c r="C26" s="179"/>
      <c r="D26" s="300"/>
      <c r="E26" s="300"/>
      <c r="F26" s="300"/>
      <c r="G26" s="300"/>
      <c r="H26" s="300"/>
      <c r="I26" s="300"/>
      <c r="J26" s="300"/>
      <c r="K26" s="300"/>
      <c r="L26" s="300"/>
      <c r="M26" s="300"/>
      <c r="N26" s="300"/>
      <c r="O26" s="300"/>
      <c r="P26" s="300"/>
      <c r="Q26" s="288"/>
      <c r="R26" s="163"/>
      <c r="S26" s="301"/>
      <c r="T26" s="301"/>
      <c r="U26" s="301"/>
      <c r="V26" s="301"/>
      <c r="W26" s="301"/>
      <c r="X26" s="301"/>
      <c r="Y26" s="301"/>
      <c r="Z26" s="301"/>
      <c r="AA26" s="301"/>
      <c r="AB26" s="301"/>
      <c r="AC26" s="301"/>
      <c r="AD26" s="301"/>
      <c r="AE26" s="301"/>
      <c r="AF26" s="288"/>
      <c r="AG26" s="163"/>
      <c r="AH26" s="172"/>
      <c r="AI26" s="172"/>
      <c r="AJ26" s="172"/>
      <c r="AK26" s="172"/>
      <c r="AL26" s="172"/>
      <c r="AM26" s="172"/>
      <c r="AN26" s="172"/>
      <c r="AO26" s="172"/>
      <c r="AP26" s="172"/>
      <c r="AQ26" s="172"/>
      <c r="AR26" s="172"/>
      <c r="AS26" s="172"/>
      <c r="AT26" s="172"/>
      <c r="AU26" s="173"/>
      <c r="AV26" s="165"/>
      <c r="AW26" s="165"/>
      <c r="AX26" s="165"/>
      <c r="AY26" s="166"/>
      <c r="AZ26" s="166"/>
      <c r="BA26" s="166"/>
      <c r="BB26" s="166"/>
    </row>
    <row r="27" spans="3:54" ht="12.75">
      <c r="C27" s="180" t="str">
        <f>IF(Indice_index!$Z$1=1,"Despesa de capital","Capital expenditure")</f>
        <v>Despesa de capital</v>
      </c>
      <c r="D27" s="302">
        <f aca="true" t="shared" si="22" ref="D27:I27">+D28+D29+D36</f>
        <v>3.131773</v>
      </c>
      <c r="E27" s="302">
        <f t="shared" si="22"/>
        <v>15.626741829999999</v>
      </c>
      <c r="F27" s="302">
        <f t="shared" si="22"/>
        <v>22.869482839999996</v>
      </c>
      <c r="G27" s="302">
        <f t="shared" si="22"/>
        <v>9.932078310000001</v>
      </c>
      <c r="H27" s="302">
        <f t="shared" si="22"/>
        <v>4.2149459</v>
      </c>
      <c r="I27" s="302">
        <f t="shared" si="22"/>
        <v>4.953190350000001</v>
      </c>
      <c r="J27" s="302">
        <f aca="true" t="shared" si="23" ref="J27:P27">+J28+J29+J36</f>
        <v>68.56588495</v>
      </c>
      <c r="K27" s="302">
        <f t="shared" si="23"/>
        <v>966.4483450700008</v>
      </c>
      <c r="L27" s="302">
        <f t="shared" si="23"/>
        <v>396.10635216</v>
      </c>
      <c r="M27" s="302">
        <f t="shared" si="23"/>
        <v>26.781539830000003</v>
      </c>
      <c r="N27" s="302">
        <f t="shared" si="23"/>
        <v>383.0751134500001</v>
      </c>
      <c r="O27" s="302">
        <f t="shared" si="23"/>
        <v>15.614673590000004</v>
      </c>
      <c r="P27" s="302">
        <f t="shared" si="23"/>
        <v>36.06879258</v>
      </c>
      <c r="Q27" s="293">
        <f t="shared" si="17"/>
        <v>1953.3889138600007</v>
      </c>
      <c r="R27" s="181"/>
      <c r="S27" s="302">
        <f aca="true" t="shared" si="24" ref="S27:X27">+S28+S29+S36</f>
        <v>6.18726391</v>
      </c>
      <c r="T27" s="302">
        <f t="shared" si="24"/>
        <v>17.92504379000001</v>
      </c>
      <c r="U27" s="302">
        <f t="shared" si="24"/>
        <v>54.78027137</v>
      </c>
      <c r="V27" s="302">
        <f t="shared" si="24"/>
        <v>12.307354450000002</v>
      </c>
      <c r="W27" s="302">
        <f t="shared" si="24"/>
        <v>3.3408517499999997</v>
      </c>
      <c r="X27" s="302">
        <f t="shared" si="24"/>
        <v>2.9824918999999994</v>
      </c>
      <c r="Y27" s="302">
        <f aca="true" t="shared" si="25" ref="Y27:AE27">+Y28+Y29+Y36</f>
        <v>59.17707824999999</v>
      </c>
      <c r="Z27" s="302">
        <f t="shared" si="25"/>
        <v>1041.4864444199998</v>
      </c>
      <c r="AA27" s="302">
        <f t="shared" si="25"/>
        <v>378.73776728999997</v>
      </c>
      <c r="AB27" s="302">
        <f t="shared" si="25"/>
        <v>96.45009251000002</v>
      </c>
      <c r="AC27" s="302">
        <f t="shared" si="25"/>
        <v>731.7525438600002</v>
      </c>
      <c r="AD27" s="302">
        <f t="shared" si="25"/>
        <v>28.76844758999999</v>
      </c>
      <c r="AE27" s="302">
        <f t="shared" si="25"/>
        <v>34.01356322999999</v>
      </c>
      <c r="AF27" s="293">
        <f aca="true" t="shared" si="26" ref="AF27:AF37">SUM(S27:AE27)</f>
        <v>2467.90921432</v>
      </c>
      <c r="AG27" s="181"/>
      <c r="AH27" s="182">
        <f aca="true" t="shared" si="27" ref="AH27:AH36">IF(S27=0,"-",IF((D27/S27)&gt;2,"-",((D27-S27)/S27)*100))</f>
        <v>-49.38355554967754</v>
      </c>
      <c r="AI27" s="182">
        <f aca="true" t="shared" si="28" ref="AI27:AI36">IF(T27=0,"-",IF((E27/T27)&gt;2,"-",((E27-T27)/T27)*100))</f>
        <v>-12.821736933675915</v>
      </c>
      <c r="AJ27" s="182">
        <f aca="true" t="shared" si="29" ref="AJ27:AJ36">IF(U27=0,"-",IF((F27/U27)&gt;2,"-",((F27-U27)/U27)*100))</f>
        <v>-58.252337441825276</v>
      </c>
      <c r="AK27" s="182">
        <f aca="true" t="shared" si="30" ref="AK27:AK36">IF(V27=0,"-",IF((G27/V27)&gt;2,"-",((G27-V27)/V27)*100))</f>
        <v>-19.299648430942852</v>
      </c>
      <c r="AL27" s="182">
        <f aca="true" t="shared" si="31" ref="AL27:AL36">IF(W27=0,"-",IF((H27/W27)&gt;2,"-",((H27-W27)/W27)*100))</f>
        <v>26.163811369361134</v>
      </c>
      <c r="AM27" s="182">
        <f aca="true" t="shared" si="32" ref="AM27:AM36">IF(X27=0,"-",IF((I27/X27)&gt;2,"-",((I27-X27)/X27)*100))</f>
        <v>66.0755675480628</v>
      </c>
      <c r="AN27" s="182">
        <f aca="true" t="shared" si="33" ref="AN27:AN36">IF(Y27=0,"-",IF((J27/Y27)&gt;2,"-",((J27-Y27)/Y27)*100))</f>
        <v>15.865613811374699</v>
      </c>
      <c r="AO27" s="182">
        <f aca="true" t="shared" si="34" ref="AO27:AO36">IF(Z27=0,"-",IF((K27/Z27)&gt;2,"-",((K27-Z27)/Z27)*100))</f>
        <v>-7.204904082240597</v>
      </c>
      <c r="AP27" s="182">
        <f aca="true" t="shared" si="35" ref="AP27:AQ36">IF(AA27=0,"-",IF((L27/AA27)&gt;2,"-",((L27-AA27)/AA27)*100))</f>
        <v>4.5859130960923835</v>
      </c>
      <c r="AQ27" s="182">
        <f t="shared" si="35"/>
        <v>-72.23274842662978</v>
      </c>
      <c r="AR27" s="182">
        <f aca="true" t="shared" si="36" ref="AR27:AR36">IF(AC27=0,"-",IF((N27/AC27)&gt;2,"-",((N27-AC27)/AC27)*100))</f>
        <v>-47.64963693473807</v>
      </c>
      <c r="AS27" s="182">
        <f aca="true" t="shared" si="37" ref="AS27:AS36">IF(AD27=0,"-",IF((O27/AD27)&gt;2,"-",((O27-AD27)/AD27)*100))</f>
        <v>-45.722919037773465</v>
      </c>
      <c r="AT27" s="182">
        <f aca="true" t="shared" si="38" ref="AT27:AT36">IF(AE27=0,"-",IF((P27/AE27)&gt;2,"-",((P27-AE27)/AE27)*100))</f>
        <v>6.042381787825446</v>
      </c>
      <c r="AU27" s="183">
        <f aca="true" t="shared" si="39" ref="AU27:AU36">IF(AF27=0,"-",IF((Q27/AF27)&gt;2,"-",((Q27-AF27)/AF27)*100))</f>
        <v>-20.84842900518805</v>
      </c>
      <c r="AV27" s="184"/>
      <c r="AW27" s="165"/>
      <c r="AX27" s="165"/>
      <c r="AY27" s="166"/>
      <c r="AZ27" s="166"/>
      <c r="BA27" s="166"/>
      <c r="BB27" s="166"/>
    </row>
    <row r="28" spans="3:54" ht="12.75">
      <c r="C28" s="171" t="str">
        <f>IF(Indice_index!$Z$1=1,"Investimento","Investment")</f>
        <v>Investimento</v>
      </c>
      <c r="D28" s="300">
        <v>2.98765626</v>
      </c>
      <c r="E28" s="300">
        <v>14.632610829999999</v>
      </c>
      <c r="F28" s="300">
        <v>6.801295139999999</v>
      </c>
      <c r="G28" s="300">
        <v>4.219105310000001</v>
      </c>
      <c r="H28" s="300">
        <v>4.2149459</v>
      </c>
      <c r="I28" s="300">
        <v>4.186442350000001</v>
      </c>
      <c r="J28" s="300">
        <v>64.64525674</v>
      </c>
      <c r="K28" s="300">
        <v>911.5763686800008</v>
      </c>
      <c r="L28" s="300">
        <v>7.374382689999998</v>
      </c>
      <c r="M28" s="300">
        <v>21.483556510000003</v>
      </c>
      <c r="N28" s="300">
        <v>173.74504733000012</v>
      </c>
      <c r="O28" s="300">
        <v>14.271348510000005</v>
      </c>
      <c r="P28" s="300">
        <v>22.47002329</v>
      </c>
      <c r="Q28" s="288">
        <f t="shared" si="17"/>
        <v>1252.6080395400008</v>
      </c>
      <c r="R28" s="163"/>
      <c r="S28" s="301">
        <v>3.1076184000000002</v>
      </c>
      <c r="T28" s="301">
        <v>16.189422100000012</v>
      </c>
      <c r="U28" s="301">
        <v>10.778253559999998</v>
      </c>
      <c r="V28" s="301">
        <v>5.920962250000001</v>
      </c>
      <c r="W28" s="301">
        <v>3.3408517499999997</v>
      </c>
      <c r="X28" s="301">
        <v>2.6219927999999997</v>
      </c>
      <c r="Y28" s="301">
        <v>56.97097724999999</v>
      </c>
      <c r="Z28" s="301">
        <v>978.7708278699997</v>
      </c>
      <c r="AA28" s="301">
        <v>14.16920149</v>
      </c>
      <c r="AB28" s="301">
        <v>77.19682894000002</v>
      </c>
      <c r="AC28" s="301">
        <v>534.3226825300002</v>
      </c>
      <c r="AD28" s="301">
        <v>24.55276401999999</v>
      </c>
      <c r="AE28" s="301">
        <v>26.07455437999999</v>
      </c>
      <c r="AF28" s="288">
        <f t="shared" si="26"/>
        <v>1754.0169373399997</v>
      </c>
      <c r="AG28" s="163"/>
      <c r="AH28" s="172">
        <f t="shared" si="27"/>
        <v>-3.860259676670731</v>
      </c>
      <c r="AI28" s="172">
        <f t="shared" si="28"/>
        <v>-9.616225090579436</v>
      </c>
      <c r="AJ28" s="172">
        <f t="shared" si="29"/>
        <v>-36.8979853541319</v>
      </c>
      <c r="AK28" s="172">
        <f t="shared" si="30"/>
        <v>-28.742911509020352</v>
      </c>
      <c r="AL28" s="172">
        <f t="shared" si="31"/>
        <v>26.163811369361134</v>
      </c>
      <c r="AM28" s="172">
        <f t="shared" si="32"/>
        <v>59.66643195969118</v>
      </c>
      <c r="AN28" s="172">
        <f t="shared" si="33"/>
        <v>13.470507020309197</v>
      </c>
      <c r="AO28" s="172">
        <f t="shared" si="34"/>
        <v>-6.8651881805904935</v>
      </c>
      <c r="AP28" s="172">
        <f t="shared" si="35"/>
        <v>-47.954846324935716</v>
      </c>
      <c r="AQ28" s="172">
        <f t="shared" si="35"/>
        <v>-72.17041579946536</v>
      </c>
      <c r="AR28" s="172">
        <f t="shared" si="36"/>
        <v>-67.48312339889388</v>
      </c>
      <c r="AS28" s="172">
        <f t="shared" si="37"/>
        <v>-41.8747783411474</v>
      </c>
      <c r="AT28" s="172">
        <f t="shared" si="38"/>
        <v>-13.823941293373668</v>
      </c>
      <c r="AU28" s="173">
        <f t="shared" si="39"/>
        <v>-28.58632018459269</v>
      </c>
      <c r="AV28" s="184"/>
      <c r="AW28" s="165"/>
      <c r="AX28" s="165"/>
      <c r="AY28" s="166"/>
      <c r="AZ28" s="166"/>
      <c r="BA28" s="166"/>
      <c r="BB28" s="166"/>
    </row>
    <row r="29" spans="3:54" ht="12.75">
      <c r="C29" s="171" t="str">
        <f>IF(Indice_index!$Z$1=1,"Transferências de capital","Capital transfers")</f>
        <v>Transferências de capital</v>
      </c>
      <c r="D29" s="301">
        <f aca="true" t="shared" si="40" ref="D29:AF29">+D30+D35</f>
        <v>0.14367574</v>
      </c>
      <c r="E29" s="301">
        <f t="shared" si="40"/>
        <v>0.9941310000000001</v>
      </c>
      <c r="F29" s="301">
        <f t="shared" si="40"/>
        <v>16.068187699999996</v>
      </c>
      <c r="G29" s="301">
        <f t="shared" si="40"/>
        <v>5.712973</v>
      </c>
      <c r="H29" s="301">
        <f t="shared" si="40"/>
        <v>0</v>
      </c>
      <c r="I29" s="301">
        <f t="shared" si="40"/>
        <v>0.766748</v>
      </c>
      <c r="J29" s="301">
        <f t="shared" si="40"/>
        <v>3.92062821</v>
      </c>
      <c r="K29" s="301">
        <f t="shared" si="40"/>
        <v>54.871976390000015</v>
      </c>
      <c r="L29" s="301">
        <f t="shared" si="40"/>
        <v>387.75142457</v>
      </c>
      <c r="M29" s="301">
        <f>+M30+M35</f>
        <v>5.29798332</v>
      </c>
      <c r="N29" s="301">
        <f t="shared" si="40"/>
        <v>209.06069064000002</v>
      </c>
      <c r="O29" s="301">
        <f t="shared" si="40"/>
        <v>1.3426231599999998</v>
      </c>
      <c r="P29" s="301">
        <f t="shared" si="40"/>
        <v>13.426520680000001</v>
      </c>
      <c r="Q29" s="288">
        <f t="shared" si="40"/>
        <v>699.35756241</v>
      </c>
      <c r="R29" s="163"/>
      <c r="S29" s="301">
        <f t="shared" si="40"/>
        <v>0.20257505</v>
      </c>
      <c r="T29" s="301">
        <f t="shared" si="40"/>
        <v>1.7356216899999999</v>
      </c>
      <c r="U29" s="301">
        <f t="shared" si="40"/>
        <v>44.002017810000005</v>
      </c>
      <c r="V29" s="301">
        <f t="shared" si="40"/>
        <v>6.38609572</v>
      </c>
      <c r="W29" s="301">
        <f t="shared" si="40"/>
        <v>0</v>
      </c>
      <c r="X29" s="301">
        <f t="shared" si="40"/>
        <v>0.36049909999999996</v>
      </c>
      <c r="Y29" s="301">
        <f t="shared" si="40"/>
        <v>2.206101</v>
      </c>
      <c r="Z29" s="301">
        <f t="shared" si="40"/>
        <v>62.71561655</v>
      </c>
      <c r="AA29" s="301">
        <f t="shared" si="40"/>
        <v>364.5685658</v>
      </c>
      <c r="AB29" s="301">
        <f>+AB30+AB35</f>
        <v>19.25326357</v>
      </c>
      <c r="AC29" s="301">
        <f t="shared" si="40"/>
        <v>197.20726543000004</v>
      </c>
      <c r="AD29" s="301">
        <f t="shared" si="40"/>
        <v>4.212060599999999</v>
      </c>
      <c r="AE29" s="301">
        <f t="shared" si="40"/>
        <v>7.9390088500000005</v>
      </c>
      <c r="AF29" s="288">
        <f t="shared" si="40"/>
        <v>710.78869117</v>
      </c>
      <c r="AG29" s="163"/>
      <c r="AH29" s="172">
        <f t="shared" si="27"/>
        <v>-29.075303202442754</v>
      </c>
      <c r="AI29" s="172">
        <f t="shared" si="28"/>
        <v>-42.721907329932016</v>
      </c>
      <c r="AJ29" s="172">
        <f t="shared" si="29"/>
        <v>-63.483066232593764</v>
      </c>
      <c r="AK29" s="172">
        <f t="shared" si="30"/>
        <v>-10.540442071544776</v>
      </c>
      <c r="AL29" s="172" t="str">
        <f t="shared" si="31"/>
        <v>-</v>
      </c>
      <c r="AM29" s="172" t="str">
        <f t="shared" si="32"/>
        <v>-</v>
      </c>
      <c r="AN29" s="172">
        <f t="shared" si="33"/>
        <v>77.7175301584107</v>
      </c>
      <c r="AO29" s="172">
        <f t="shared" si="34"/>
        <v>-12.506677908119817</v>
      </c>
      <c r="AP29" s="172">
        <f t="shared" si="35"/>
        <v>6.358984549073264</v>
      </c>
      <c r="AQ29" s="172">
        <f t="shared" si="35"/>
        <v>-72.48267390752808</v>
      </c>
      <c r="AR29" s="172">
        <f t="shared" si="36"/>
        <v>6.010643261116275</v>
      </c>
      <c r="AS29" s="172">
        <f t="shared" si="37"/>
        <v>-68.12431521046967</v>
      </c>
      <c r="AT29" s="172">
        <f t="shared" si="38"/>
        <v>69.12086802875905</v>
      </c>
      <c r="AU29" s="173">
        <f t="shared" si="39"/>
        <v>-1.6082316590017305</v>
      </c>
      <c r="AV29" s="184"/>
      <c r="AW29" s="165"/>
      <c r="AX29" s="165"/>
      <c r="AY29" s="166"/>
      <c r="AZ29" s="166"/>
      <c r="BA29" s="166"/>
      <c r="BB29" s="166"/>
    </row>
    <row r="30" spans="3:54" ht="12.75">
      <c r="C30" s="174" t="str">
        <f>IF(Indice_index!$Z$1=1,"Administrações Públicas","General Government")</f>
        <v>Administrações Públicas</v>
      </c>
      <c r="D30" s="301">
        <f aca="true" t="shared" si="41" ref="D30:AF30">SUM(D31:D34)</f>
        <v>0.14367574</v>
      </c>
      <c r="E30" s="301">
        <f t="shared" si="41"/>
        <v>0.131631</v>
      </c>
      <c r="F30" s="301">
        <f t="shared" si="41"/>
        <v>16.068187699999996</v>
      </c>
      <c r="G30" s="301">
        <f t="shared" si="41"/>
        <v>4.562973</v>
      </c>
      <c r="H30" s="301">
        <f t="shared" si="41"/>
        <v>0</v>
      </c>
      <c r="I30" s="301">
        <f t="shared" si="41"/>
        <v>0.05065</v>
      </c>
      <c r="J30" s="301">
        <f t="shared" si="41"/>
        <v>3.92062821</v>
      </c>
      <c r="K30" s="301">
        <f t="shared" si="41"/>
        <v>19.39687092</v>
      </c>
      <c r="L30" s="301">
        <f t="shared" si="41"/>
        <v>5.4311928499999995</v>
      </c>
      <c r="M30" s="301">
        <f>SUM(M31:M34)</f>
        <v>0.436376</v>
      </c>
      <c r="N30" s="301">
        <f t="shared" si="41"/>
        <v>79.47122722</v>
      </c>
      <c r="O30" s="301">
        <f t="shared" si="41"/>
        <v>1.3426231599999998</v>
      </c>
      <c r="P30" s="301">
        <f t="shared" si="41"/>
        <v>3.2059184500000004</v>
      </c>
      <c r="Q30" s="288">
        <f t="shared" si="41"/>
        <v>134.16195425</v>
      </c>
      <c r="R30" s="163"/>
      <c r="S30" s="301">
        <f t="shared" si="41"/>
        <v>0.1862</v>
      </c>
      <c r="T30" s="301">
        <f t="shared" si="41"/>
        <v>0.734047</v>
      </c>
      <c r="U30" s="301">
        <f t="shared" si="41"/>
        <v>44.002017810000005</v>
      </c>
      <c r="V30" s="301">
        <f t="shared" si="41"/>
        <v>6.11609572</v>
      </c>
      <c r="W30" s="301">
        <f t="shared" si="41"/>
        <v>0</v>
      </c>
      <c r="X30" s="301">
        <f t="shared" si="41"/>
        <v>0</v>
      </c>
      <c r="Y30" s="301">
        <f t="shared" si="41"/>
        <v>2.206101</v>
      </c>
      <c r="Z30" s="301">
        <f t="shared" si="41"/>
        <v>27.58005937</v>
      </c>
      <c r="AA30" s="301">
        <f t="shared" si="41"/>
        <v>8.4917977</v>
      </c>
      <c r="AB30" s="301">
        <f>SUM(AB31:AB34)</f>
        <v>5.55341475</v>
      </c>
      <c r="AC30" s="301">
        <f t="shared" si="41"/>
        <v>84.51199229000004</v>
      </c>
      <c r="AD30" s="301">
        <f t="shared" si="41"/>
        <v>4.210774519999999</v>
      </c>
      <c r="AE30" s="301">
        <f t="shared" si="41"/>
        <v>3.5551314400000003</v>
      </c>
      <c r="AF30" s="288">
        <f t="shared" si="41"/>
        <v>187.14763160000007</v>
      </c>
      <c r="AG30" s="163"/>
      <c r="AH30" s="172">
        <f t="shared" si="27"/>
        <v>-22.837948442534913</v>
      </c>
      <c r="AI30" s="172">
        <f t="shared" si="28"/>
        <v>-82.0677695024978</v>
      </c>
      <c r="AJ30" s="172">
        <f t="shared" si="29"/>
        <v>-63.483066232593764</v>
      </c>
      <c r="AK30" s="172">
        <f t="shared" si="30"/>
        <v>-25.394022446725202</v>
      </c>
      <c r="AL30" s="172" t="str">
        <f t="shared" si="31"/>
        <v>-</v>
      </c>
      <c r="AM30" s="172" t="str">
        <f t="shared" si="32"/>
        <v>-</v>
      </c>
      <c r="AN30" s="172">
        <f t="shared" si="33"/>
        <v>77.7175301584107</v>
      </c>
      <c r="AO30" s="172">
        <f t="shared" si="34"/>
        <v>-29.670670175935882</v>
      </c>
      <c r="AP30" s="172">
        <f t="shared" si="35"/>
        <v>-36.04189546343055</v>
      </c>
      <c r="AQ30" s="172">
        <f t="shared" si="35"/>
        <v>-92.14220403761487</v>
      </c>
      <c r="AR30" s="172">
        <f t="shared" si="36"/>
        <v>-5.964555956393526</v>
      </c>
      <c r="AS30" s="172">
        <f t="shared" si="37"/>
        <v>-68.11457954770754</v>
      </c>
      <c r="AT30" s="172">
        <f t="shared" si="38"/>
        <v>-9.822787030343942</v>
      </c>
      <c r="AU30" s="173">
        <f t="shared" si="39"/>
        <v>-28.312235050480883</v>
      </c>
      <c r="AV30" s="184"/>
      <c r="AW30" s="165"/>
      <c r="AX30" s="165"/>
      <c r="AY30" s="166"/>
      <c r="AZ30" s="166"/>
      <c r="BA30" s="166"/>
      <c r="BB30" s="166"/>
    </row>
    <row r="31" spans="3:54" ht="12.75">
      <c r="C31" s="178" t="str">
        <f>IF(Indice_index!$Z$1=1,"Administração Central","Central Government")</f>
        <v>Administração Central</v>
      </c>
      <c r="D31" s="300">
        <v>0.14367574</v>
      </c>
      <c r="E31" s="300">
        <v>0.131631</v>
      </c>
      <c r="F31" s="300">
        <v>16.068187699999996</v>
      </c>
      <c r="G31" s="300">
        <v>4.562973</v>
      </c>
      <c r="H31" s="300">
        <v>0</v>
      </c>
      <c r="I31" s="300">
        <v>0</v>
      </c>
      <c r="J31" s="300">
        <v>3.92062821</v>
      </c>
      <c r="K31" s="300">
        <v>3.3729332800000003</v>
      </c>
      <c r="L31" s="300">
        <v>5.39683843</v>
      </c>
      <c r="M31" s="300">
        <v>0.003121</v>
      </c>
      <c r="N31" s="300">
        <v>79.46379933</v>
      </c>
      <c r="O31" s="300">
        <v>1.3426231599999998</v>
      </c>
      <c r="P31" s="300">
        <v>0.10234009</v>
      </c>
      <c r="Q31" s="288">
        <f t="shared" si="17"/>
        <v>114.50875094</v>
      </c>
      <c r="R31" s="163"/>
      <c r="S31" s="301">
        <v>0.1862</v>
      </c>
      <c r="T31" s="301">
        <v>0.734047</v>
      </c>
      <c r="U31" s="301">
        <v>44.002017810000005</v>
      </c>
      <c r="V31" s="301">
        <v>6.11609572</v>
      </c>
      <c r="W31" s="301">
        <v>0</v>
      </c>
      <c r="X31" s="301">
        <v>0</v>
      </c>
      <c r="Y31" s="301">
        <v>2.206101</v>
      </c>
      <c r="Z31" s="301">
        <v>12.44805716</v>
      </c>
      <c r="AA31" s="301">
        <v>8.12361391</v>
      </c>
      <c r="AB31" s="301">
        <v>4.72170075</v>
      </c>
      <c r="AC31" s="301">
        <v>84.51199229000004</v>
      </c>
      <c r="AD31" s="301">
        <v>4.210774519999999</v>
      </c>
      <c r="AE31" s="301">
        <v>0</v>
      </c>
      <c r="AF31" s="288">
        <f t="shared" si="26"/>
        <v>167.26060016000005</v>
      </c>
      <c r="AG31" s="163"/>
      <c r="AH31" s="172">
        <f t="shared" si="27"/>
        <v>-22.837948442534913</v>
      </c>
      <c r="AI31" s="172">
        <f t="shared" si="28"/>
        <v>-82.0677695024978</v>
      </c>
      <c r="AJ31" s="172">
        <f t="shared" si="29"/>
        <v>-63.483066232593764</v>
      </c>
      <c r="AK31" s="172">
        <f t="shared" si="30"/>
        <v>-25.394022446725202</v>
      </c>
      <c r="AL31" s="172" t="str">
        <f t="shared" si="31"/>
        <v>-</v>
      </c>
      <c r="AM31" s="172" t="str">
        <f t="shared" si="32"/>
        <v>-</v>
      </c>
      <c r="AN31" s="172">
        <f t="shared" si="33"/>
        <v>77.7175301584107</v>
      </c>
      <c r="AO31" s="172">
        <f t="shared" si="34"/>
        <v>-72.90393804714823</v>
      </c>
      <c r="AP31" s="172">
        <f t="shared" si="35"/>
        <v>-33.566039821801425</v>
      </c>
      <c r="AQ31" s="172">
        <f t="shared" si="35"/>
        <v>-99.93390093601336</v>
      </c>
      <c r="AR31" s="172">
        <f t="shared" si="36"/>
        <v>-5.973345111398314</v>
      </c>
      <c r="AS31" s="172">
        <f t="shared" si="37"/>
        <v>-68.11457954770754</v>
      </c>
      <c r="AT31" s="172" t="str">
        <f t="shared" si="38"/>
        <v>-</v>
      </c>
      <c r="AU31" s="173">
        <f t="shared" si="39"/>
        <v>-31.538718125809716</v>
      </c>
      <c r="AV31" s="184"/>
      <c r="AW31" s="165"/>
      <c r="AX31" s="165"/>
      <c r="AY31" s="166"/>
      <c r="AZ31" s="166"/>
      <c r="BA31" s="166"/>
      <c r="BB31" s="166"/>
    </row>
    <row r="32" spans="3:54" ht="12.75">
      <c r="C32" s="178" t="str">
        <f>IF(Indice_index!$Z$1=1,"Administração Regional","Regional Government")</f>
        <v>Administração Regional</v>
      </c>
      <c r="D32" s="300">
        <v>0</v>
      </c>
      <c r="E32" s="300">
        <v>0</v>
      </c>
      <c r="F32" s="300">
        <v>0</v>
      </c>
      <c r="G32" s="300">
        <v>0</v>
      </c>
      <c r="H32" s="300">
        <v>0</v>
      </c>
      <c r="I32" s="300">
        <v>0</v>
      </c>
      <c r="J32" s="300">
        <v>0</v>
      </c>
      <c r="K32" s="300">
        <v>0.206774</v>
      </c>
      <c r="L32" s="300">
        <v>0</v>
      </c>
      <c r="M32" s="300">
        <v>0</v>
      </c>
      <c r="N32" s="300">
        <v>0.00742789</v>
      </c>
      <c r="O32" s="300">
        <v>0</v>
      </c>
      <c r="P32" s="300">
        <v>0.22056180000000003</v>
      </c>
      <c r="Q32" s="288">
        <f t="shared" si="17"/>
        <v>0.43476369000000004</v>
      </c>
      <c r="R32" s="163"/>
      <c r="S32" s="301">
        <v>0</v>
      </c>
      <c r="T32" s="301">
        <v>0</v>
      </c>
      <c r="U32" s="301">
        <v>0</v>
      </c>
      <c r="V32" s="301">
        <v>0</v>
      </c>
      <c r="W32" s="301">
        <v>0</v>
      </c>
      <c r="X32" s="301">
        <v>0</v>
      </c>
      <c r="Y32" s="301">
        <v>0</v>
      </c>
      <c r="Z32" s="301">
        <v>0.06233689</v>
      </c>
      <c r="AA32" s="301">
        <v>0.008914739999999999</v>
      </c>
      <c r="AB32" s="301">
        <v>0</v>
      </c>
      <c r="AC32" s="301">
        <v>0</v>
      </c>
      <c r="AD32" s="301">
        <v>0</v>
      </c>
      <c r="AE32" s="301">
        <v>0</v>
      </c>
      <c r="AF32" s="288">
        <f t="shared" si="26"/>
        <v>0.07125163</v>
      </c>
      <c r="AG32" s="163"/>
      <c r="AH32" s="172" t="str">
        <f t="shared" si="27"/>
        <v>-</v>
      </c>
      <c r="AI32" s="172" t="str">
        <f t="shared" si="28"/>
        <v>-</v>
      </c>
      <c r="AJ32" s="172" t="str">
        <f t="shared" si="29"/>
        <v>-</v>
      </c>
      <c r="AK32" s="172" t="str">
        <f t="shared" si="30"/>
        <v>-</v>
      </c>
      <c r="AL32" s="172" t="str">
        <f t="shared" si="31"/>
        <v>-</v>
      </c>
      <c r="AM32" s="172" t="str">
        <f t="shared" si="32"/>
        <v>-</v>
      </c>
      <c r="AN32" s="172" t="str">
        <f t="shared" si="33"/>
        <v>-</v>
      </c>
      <c r="AO32" s="172" t="str">
        <f t="shared" si="34"/>
        <v>-</v>
      </c>
      <c r="AP32" s="172">
        <f t="shared" si="35"/>
        <v>-100</v>
      </c>
      <c r="AQ32" s="172" t="str">
        <f t="shared" si="35"/>
        <v>-</v>
      </c>
      <c r="AR32" s="172" t="str">
        <f t="shared" si="36"/>
        <v>-</v>
      </c>
      <c r="AS32" s="172" t="str">
        <f t="shared" si="37"/>
        <v>-</v>
      </c>
      <c r="AT32" s="172" t="str">
        <f t="shared" si="38"/>
        <v>-</v>
      </c>
      <c r="AU32" s="173" t="str">
        <f t="shared" si="39"/>
        <v>-</v>
      </c>
      <c r="AV32" s="184"/>
      <c r="AW32" s="165"/>
      <c r="AX32" s="165"/>
      <c r="AY32" s="166"/>
      <c r="AZ32" s="166"/>
      <c r="BA32" s="166"/>
      <c r="BB32" s="166"/>
    </row>
    <row r="33" spans="3:54" ht="12.75">
      <c r="C33" s="178" t="str">
        <f>IF(Indice_index!$Z$1=1,"Administração Local","Local Government")</f>
        <v>Administração Local</v>
      </c>
      <c r="D33" s="300">
        <v>0</v>
      </c>
      <c r="E33" s="300">
        <v>0</v>
      </c>
      <c r="F33" s="300">
        <v>0</v>
      </c>
      <c r="G33" s="300">
        <v>0</v>
      </c>
      <c r="H33" s="300">
        <v>0</v>
      </c>
      <c r="I33" s="300">
        <v>0.05065</v>
      </c>
      <c r="J33" s="300">
        <v>0</v>
      </c>
      <c r="K33" s="300">
        <v>15.81716364</v>
      </c>
      <c r="L33" s="300">
        <v>0.03435442</v>
      </c>
      <c r="M33" s="300">
        <v>0.433255</v>
      </c>
      <c r="N33" s="300">
        <v>0</v>
      </c>
      <c r="O33" s="300">
        <v>0</v>
      </c>
      <c r="P33" s="300">
        <v>2.88301656</v>
      </c>
      <c r="Q33" s="288">
        <f t="shared" si="17"/>
        <v>19.21843962</v>
      </c>
      <c r="R33" s="163"/>
      <c r="S33" s="301">
        <v>0</v>
      </c>
      <c r="T33" s="301">
        <v>0</v>
      </c>
      <c r="U33" s="301">
        <v>0</v>
      </c>
      <c r="V33" s="301">
        <v>0</v>
      </c>
      <c r="W33" s="301">
        <v>0</v>
      </c>
      <c r="X33" s="301">
        <v>0</v>
      </c>
      <c r="Y33" s="301">
        <v>0</v>
      </c>
      <c r="Z33" s="301">
        <v>15.06966532</v>
      </c>
      <c r="AA33" s="301">
        <v>0.35926905000000003</v>
      </c>
      <c r="AB33" s="301">
        <v>0.831714</v>
      </c>
      <c r="AC33" s="301">
        <v>0</v>
      </c>
      <c r="AD33" s="301">
        <v>0</v>
      </c>
      <c r="AE33" s="301">
        <v>3.5551314400000003</v>
      </c>
      <c r="AF33" s="288">
        <f t="shared" si="26"/>
        <v>19.815779810000002</v>
      </c>
      <c r="AG33" s="163"/>
      <c r="AH33" s="172" t="str">
        <f t="shared" si="27"/>
        <v>-</v>
      </c>
      <c r="AI33" s="172" t="str">
        <f t="shared" si="28"/>
        <v>-</v>
      </c>
      <c r="AJ33" s="172" t="str">
        <f t="shared" si="29"/>
        <v>-</v>
      </c>
      <c r="AK33" s="172" t="str">
        <f t="shared" si="30"/>
        <v>-</v>
      </c>
      <c r="AL33" s="172" t="str">
        <f t="shared" si="31"/>
        <v>-</v>
      </c>
      <c r="AM33" s="172" t="str">
        <f t="shared" si="32"/>
        <v>-</v>
      </c>
      <c r="AN33" s="172" t="str">
        <f t="shared" si="33"/>
        <v>-</v>
      </c>
      <c r="AO33" s="172">
        <f t="shared" si="34"/>
        <v>4.960284811421413</v>
      </c>
      <c r="AP33" s="172">
        <f t="shared" si="35"/>
        <v>-90.43769008212648</v>
      </c>
      <c r="AQ33" s="172">
        <f t="shared" si="35"/>
        <v>-47.908175165982534</v>
      </c>
      <c r="AR33" s="172" t="str">
        <f t="shared" si="36"/>
        <v>-</v>
      </c>
      <c r="AS33" s="172" t="str">
        <f t="shared" si="37"/>
        <v>-</v>
      </c>
      <c r="AT33" s="172">
        <f t="shared" si="38"/>
        <v>-18.905486093644967</v>
      </c>
      <c r="AU33" s="173">
        <f t="shared" si="39"/>
        <v>-3.014467236351475</v>
      </c>
      <c r="AV33" s="184"/>
      <c r="AW33" s="165"/>
      <c r="AX33" s="165"/>
      <c r="AY33" s="166"/>
      <c r="AZ33" s="166"/>
      <c r="BA33" s="166"/>
      <c r="BB33" s="166"/>
    </row>
    <row r="34" spans="3:54" ht="12.75">
      <c r="C34" s="178" t="str">
        <f>IF(Indice_index!$Z$1=1,"Segurança Social","Social Security")</f>
        <v>Segurança Social</v>
      </c>
      <c r="D34" s="300">
        <v>0</v>
      </c>
      <c r="E34" s="300">
        <v>0</v>
      </c>
      <c r="F34" s="300">
        <v>0</v>
      </c>
      <c r="G34" s="300">
        <v>0</v>
      </c>
      <c r="H34" s="300">
        <v>0</v>
      </c>
      <c r="I34" s="300">
        <v>0</v>
      </c>
      <c r="J34" s="300">
        <v>0</v>
      </c>
      <c r="K34" s="300">
        <v>0</v>
      </c>
      <c r="L34" s="300">
        <v>0</v>
      </c>
      <c r="M34" s="300">
        <v>0</v>
      </c>
      <c r="N34" s="300">
        <v>0</v>
      </c>
      <c r="O34" s="300">
        <v>0</v>
      </c>
      <c r="P34" s="300">
        <v>0</v>
      </c>
      <c r="Q34" s="288">
        <f t="shared" si="17"/>
        <v>0</v>
      </c>
      <c r="R34" s="163"/>
      <c r="S34" s="301">
        <v>0</v>
      </c>
      <c r="T34" s="301">
        <v>0</v>
      </c>
      <c r="U34" s="301">
        <v>0</v>
      </c>
      <c r="V34" s="301">
        <v>0</v>
      </c>
      <c r="W34" s="301">
        <v>0</v>
      </c>
      <c r="X34" s="301">
        <v>0</v>
      </c>
      <c r="Y34" s="301">
        <v>0</v>
      </c>
      <c r="Z34" s="301">
        <v>0</v>
      </c>
      <c r="AA34" s="301">
        <v>0</v>
      </c>
      <c r="AB34" s="301">
        <v>0</v>
      </c>
      <c r="AC34" s="301">
        <v>0</v>
      </c>
      <c r="AD34" s="301">
        <v>0</v>
      </c>
      <c r="AE34" s="301">
        <v>0</v>
      </c>
      <c r="AF34" s="288">
        <f t="shared" si="26"/>
        <v>0</v>
      </c>
      <c r="AG34" s="163"/>
      <c r="AH34" s="172" t="str">
        <f t="shared" si="27"/>
        <v>-</v>
      </c>
      <c r="AI34" s="172" t="str">
        <f t="shared" si="28"/>
        <v>-</v>
      </c>
      <c r="AJ34" s="172" t="str">
        <f t="shared" si="29"/>
        <v>-</v>
      </c>
      <c r="AK34" s="172" t="str">
        <f t="shared" si="30"/>
        <v>-</v>
      </c>
      <c r="AL34" s="172" t="str">
        <f t="shared" si="31"/>
        <v>-</v>
      </c>
      <c r="AM34" s="172" t="str">
        <f t="shared" si="32"/>
        <v>-</v>
      </c>
      <c r="AN34" s="172" t="str">
        <f t="shared" si="33"/>
        <v>-</v>
      </c>
      <c r="AO34" s="172" t="str">
        <f t="shared" si="34"/>
        <v>-</v>
      </c>
      <c r="AP34" s="172" t="str">
        <f t="shared" si="35"/>
        <v>-</v>
      </c>
      <c r="AQ34" s="172" t="str">
        <f t="shared" si="35"/>
        <v>-</v>
      </c>
      <c r="AR34" s="172" t="str">
        <f t="shared" si="36"/>
        <v>-</v>
      </c>
      <c r="AS34" s="172" t="str">
        <f t="shared" si="37"/>
        <v>-</v>
      </c>
      <c r="AT34" s="172" t="str">
        <f t="shared" si="38"/>
        <v>-</v>
      </c>
      <c r="AU34" s="173" t="str">
        <f t="shared" si="39"/>
        <v>-</v>
      </c>
      <c r="AV34" s="184"/>
      <c r="AW34" s="165"/>
      <c r="AX34" s="165"/>
      <c r="AY34" s="166"/>
      <c r="AZ34" s="166"/>
      <c r="BA34" s="166"/>
      <c r="BB34" s="166"/>
    </row>
    <row r="35" spans="3:54" ht="12.75">
      <c r="C35" s="185" t="str">
        <f>IF(Indice_index!$Z$1=1,"Outras transferências de capital","Other capital transfers")</f>
        <v>Outras transferências de capital</v>
      </c>
      <c r="D35" s="300">
        <v>0</v>
      </c>
      <c r="E35" s="300">
        <v>0.8625</v>
      </c>
      <c r="F35" s="300">
        <v>0</v>
      </c>
      <c r="G35" s="300">
        <v>1.15</v>
      </c>
      <c r="H35" s="300">
        <v>0</v>
      </c>
      <c r="I35" s="300">
        <v>0.716098</v>
      </c>
      <c r="J35" s="300">
        <v>0</v>
      </c>
      <c r="K35" s="300">
        <v>35.47510547000001</v>
      </c>
      <c r="L35" s="300">
        <v>382.32023172</v>
      </c>
      <c r="M35" s="300">
        <v>4.86160732</v>
      </c>
      <c r="N35" s="300">
        <v>129.58946342000002</v>
      </c>
      <c r="O35" s="300">
        <v>0</v>
      </c>
      <c r="P35" s="300">
        <v>10.22060223</v>
      </c>
      <c r="Q35" s="288">
        <f t="shared" si="17"/>
        <v>565.19560816</v>
      </c>
      <c r="R35" s="163"/>
      <c r="S35" s="301">
        <v>0.016375050000000002</v>
      </c>
      <c r="T35" s="301">
        <v>1.00157469</v>
      </c>
      <c r="U35" s="301">
        <v>0</v>
      </c>
      <c r="V35" s="301">
        <v>0.27</v>
      </c>
      <c r="W35" s="301">
        <v>0</v>
      </c>
      <c r="X35" s="301">
        <v>0.36049909999999996</v>
      </c>
      <c r="Y35" s="301">
        <v>0</v>
      </c>
      <c r="Z35" s="301">
        <v>35.13555718</v>
      </c>
      <c r="AA35" s="301">
        <v>356.0767681</v>
      </c>
      <c r="AB35" s="301">
        <v>13.69984882</v>
      </c>
      <c r="AC35" s="301">
        <v>112.69527314</v>
      </c>
      <c r="AD35" s="301">
        <v>0.00128608</v>
      </c>
      <c r="AE35" s="301">
        <v>4.38387741</v>
      </c>
      <c r="AF35" s="288">
        <f t="shared" si="26"/>
        <v>523.6410595699999</v>
      </c>
      <c r="AG35" s="163"/>
      <c r="AH35" s="172">
        <f t="shared" si="27"/>
        <v>-100</v>
      </c>
      <c r="AI35" s="172">
        <f t="shared" si="28"/>
        <v>-13.885603479057556</v>
      </c>
      <c r="AJ35" s="172" t="str">
        <f t="shared" si="29"/>
        <v>-</v>
      </c>
      <c r="AK35" s="172" t="str">
        <f t="shared" si="30"/>
        <v>-</v>
      </c>
      <c r="AL35" s="172" t="str">
        <f t="shared" si="31"/>
        <v>-</v>
      </c>
      <c r="AM35" s="172">
        <f t="shared" si="32"/>
        <v>98.64071782703482</v>
      </c>
      <c r="AN35" s="172" t="str">
        <f t="shared" si="33"/>
        <v>-</v>
      </c>
      <c r="AO35" s="172">
        <f t="shared" si="34"/>
        <v>0.9663950631563898</v>
      </c>
      <c r="AP35" s="172">
        <f t="shared" si="35"/>
        <v>7.370170134949616</v>
      </c>
      <c r="AQ35" s="172">
        <f t="shared" si="35"/>
        <v>-64.5134235868159</v>
      </c>
      <c r="AR35" s="172">
        <f t="shared" si="36"/>
        <v>14.991037165341057</v>
      </c>
      <c r="AS35" s="172">
        <f t="shared" si="37"/>
        <v>-100</v>
      </c>
      <c r="AT35" s="172" t="str">
        <f t="shared" si="38"/>
        <v>-</v>
      </c>
      <c r="AU35" s="173">
        <f t="shared" si="39"/>
        <v>7.935693320940793</v>
      </c>
      <c r="AV35" s="184"/>
      <c r="AW35" s="165"/>
      <c r="AX35" s="165"/>
      <c r="AY35" s="166"/>
      <c r="AZ35" s="166"/>
      <c r="BA35" s="166"/>
      <c r="BB35" s="166"/>
    </row>
    <row r="36" spans="3:54" ht="12.75">
      <c r="C36" s="186" t="str">
        <f>IF(Indice_index!$Z$1=1,"Outras despesas de capital","Other capital expenditure")</f>
        <v>Outras despesas de capital</v>
      </c>
      <c r="D36" s="300">
        <v>0.000441</v>
      </c>
      <c r="E36" s="300">
        <v>0</v>
      </c>
      <c r="F36" s="300">
        <v>0</v>
      </c>
      <c r="G36" s="300">
        <v>0</v>
      </c>
      <c r="H36" s="300">
        <v>0</v>
      </c>
      <c r="I36" s="300">
        <v>0</v>
      </c>
      <c r="J36" s="300">
        <v>0</v>
      </c>
      <c r="K36" s="300">
        <v>0</v>
      </c>
      <c r="L36" s="300">
        <v>0.9805449</v>
      </c>
      <c r="M36" s="300">
        <v>0</v>
      </c>
      <c r="N36" s="300">
        <v>0.26937548</v>
      </c>
      <c r="O36" s="300">
        <v>0.00070192</v>
      </c>
      <c r="P36" s="300">
        <v>0.17224861000000002</v>
      </c>
      <c r="Q36" s="288">
        <f t="shared" si="17"/>
        <v>1.4233119100000002</v>
      </c>
      <c r="R36" s="163"/>
      <c r="S36" s="301">
        <v>2.87707046</v>
      </c>
      <c r="T36" s="301">
        <v>0</v>
      </c>
      <c r="U36" s="301">
        <v>0</v>
      </c>
      <c r="V36" s="301">
        <v>0.00029648</v>
      </c>
      <c r="W36" s="301">
        <v>0</v>
      </c>
      <c r="X36" s="301">
        <v>0</v>
      </c>
      <c r="Y36" s="301">
        <v>0</v>
      </c>
      <c r="Z36" s="301">
        <v>0</v>
      </c>
      <c r="AA36" s="301">
        <v>0</v>
      </c>
      <c r="AB36" s="301">
        <v>0</v>
      </c>
      <c r="AC36" s="301">
        <v>0.22259589999999999</v>
      </c>
      <c r="AD36" s="301">
        <v>0.00362297</v>
      </c>
      <c r="AE36" s="301">
        <v>0</v>
      </c>
      <c r="AF36" s="288">
        <f t="shared" si="26"/>
        <v>3.10358581</v>
      </c>
      <c r="AG36" s="163"/>
      <c r="AH36" s="172">
        <f t="shared" si="27"/>
        <v>-99.98467190824378</v>
      </c>
      <c r="AI36" s="172" t="str">
        <f t="shared" si="28"/>
        <v>-</v>
      </c>
      <c r="AJ36" s="172" t="str">
        <f t="shared" si="29"/>
        <v>-</v>
      </c>
      <c r="AK36" s="172">
        <f t="shared" si="30"/>
        <v>-100</v>
      </c>
      <c r="AL36" s="172" t="str">
        <f t="shared" si="31"/>
        <v>-</v>
      </c>
      <c r="AM36" s="172" t="str">
        <f t="shared" si="32"/>
        <v>-</v>
      </c>
      <c r="AN36" s="172" t="str">
        <f t="shared" si="33"/>
        <v>-</v>
      </c>
      <c r="AO36" s="172" t="str">
        <f t="shared" si="34"/>
        <v>-</v>
      </c>
      <c r="AP36" s="172" t="str">
        <f t="shared" si="35"/>
        <v>-</v>
      </c>
      <c r="AQ36" s="172" t="str">
        <f t="shared" si="35"/>
        <v>-</v>
      </c>
      <c r="AR36" s="172">
        <f t="shared" si="36"/>
        <v>21.01547243233142</v>
      </c>
      <c r="AS36" s="172">
        <f t="shared" si="37"/>
        <v>-80.62584012564278</v>
      </c>
      <c r="AT36" s="172" t="str">
        <f t="shared" si="38"/>
        <v>-</v>
      </c>
      <c r="AU36" s="173">
        <f t="shared" si="39"/>
        <v>-54.139759712330935</v>
      </c>
      <c r="AV36" s="184"/>
      <c r="AW36" s="165"/>
      <c r="AX36" s="165"/>
      <c r="AY36" s="166"/>
      <c r="AZ36" s="166"/>
      <c r="BA36" s="166"/>
      <c r="BB36" s="166"/>
    </row>
    <row r="37" spans="3:54" ht="12.75">
      <c r="C37" s="186"/>
      <c r="D37" s="301"/>
      <c r="E37" s="301"/>
      <c r="F37" s="301"/>
      <c r="G37" s="301"/>
      <c r="H37" s="301"/>
      <c r="I37" s="301"/>
      <c r="J37" s="301"/>
      <c r="K37" s="301"/>
      <c r="L37" s="301"/>
      <c r="M37" s="301"/>
      <c r="N37" s="301"/>
      <c r="O37" s="301"/>
      <c r="P37" s="301"/>
      <c r="Q37" s="288">
        <f t="shared" si="17"/>
        <v>0</v>
      </c>
      <c r="R37" s="163"/>
      <c r="S37" s="301"/>
      <c r="T37" s="301"/>
      <c r="U37" s="301"/>
      <c r="V37" s="301"/>
      <c r="W37" s="301"/>
      <c r="X37" s="301"/>
      <c r="Y37" s="301"/>
      <c r="Z37" s="301"/>
      <c r="AA37" s="301"/>
      <c r="AB37" s="301"/>
      <c r="AC37" s="301"/>
      <c r="AD37" s="301"/>
      <c r="AE37" s="301"/>
      <c r="AF37" s="288">
        <f t="shared" si="26"/>
        <v>0</v>
      </c>
      <c r="AG37" s="163"/>
      <c r="AH37" s="172"/>
      <c r="AI37" s="172"/>
      <c r="AJ37" s="172"/>
      <c r="AK37" s="172"/>
      <c r="AL37" s="172"/>
      <c r="AM37" s="172"/>
      <c r="AN37" s="172"/>
      <c r="AO37" s="172"/>
      <c r="AP37" s="172"/>
      <c r="AQ37" s="172"/>
      <c r="AR37" s="172"/>
      <c r="AS37" s="172"/>
      <c r="AT37" s="172"/>
      <c r="AU37" s="173"/>
      <c r="AV37" s="184"/>
      <c r="AW37" s="165"/>
      <c r="AX37" s="165"/>
      <c r="AY37" s="166"/>
      <c r="AZ37" s="166"/>
      <c r="BA37" s="166"/>
      <c r="BB37" s="166"/>
    </row>
    <row r="38" spans="3:187" s="139" customFormat="1" ht="17.25" customHeight="1">
      <c r="C38" s="187" t="str">
        <f>IF(Indice_index!$Z$1=1,"Despesa efetiva","Effective Expenditure")</f>
        <v>Despesa efetiva</v>
      </c>
      <c r="D38" s="303">
        <f>+D27+D8</f>
        <v>150.64741460000002</v>
      </c>
      <c r="E38" s="303">
        <f>+E27+E8</f>
        <v>538.4084664499998</v>
      </c>
      <c r="F38" s="303">
        <f aca="true" t="shared" si="42" ref="F38:Q38">+F8+F27</f>
        <v>9727.213484080003</v>
      </c>
      <c r="G38" s="303">
        <f t="shared" si="42"/>
        <v>93.99498398</v>
      </c>
      <c r="H38" s="303">
        <f t="shared" si="42"/>
        <v>135.33552495</v>
      </c>
      <c r="I38" s="303">
        <f t="shared" si="42"/>
        <v>179.34828760000002</v>
      </c>
      <c r="J38" s="303">
        <f t="shared" si="42"/>
        <v>410.11329269000004</v>
      </c>
      <c r="K38" s="303">
        <f t="shared" si="42"/>
        <v>2555.6969596500007</v>
      </c>
      <c r="L38" s="303">
        <f t="shared" si="42"/>
        <v>1145.6574033799998</v>
      </c>
      <c r="M38" s="303">
        <f>+M8+M27</f>
        <v>8943.500703830001</v>
      </c>
      <c r="N38" s="303">
        <f t="shared" si="42"/>
        <v>2283.104608890002</v>
      </c>
      <c r="O38" s="303">
        <f t="shared" si="42"/>
        <v>1139.0698495699999</v>
      </c>
      <c r="P38" s="303">
        <f t="shared" si="42"/>
        <v>199.16551131000003</v>
      </c>
      <c r="Q38" s="294">
        <f t="shared" si="42"/>
        <v>27501.256490980006</v>
      </c>
      <c r="R38" s="188"/>
      <c r="S38" s="303">
        <f>+S27+S8</f>
        <v>115.84592822999996</v>
      </c>
      <c r="T38" s="303">
        <f>+T27+T8</f>
        <v>518.9520427799999</v>
      </c>
      <c r="U38" s="303">
        <f aca="true" t="shared" si="43" ref="U38:AF38">+U8+U27</f>
        <v>8656.290244009999</v>
      </c>
      <c r="V38" s="303">
        <f t="shared" si="43"/>
        <v>78.36698484</v>
      </c>
      <c r="W38" s="303">
        <f t="shared" si="43"/>
        <v>127.44446581999999</v>
      </c>
      <c r="X38" s="303">
        <f t="shared" si="43"/>
        <v>189.36507064999995</v>
      </c>
      <c r="Y38" s="303">
        <f t="shared" si="43"/>
        <v>471.51162783</v>
      </c>
      <c r="Z38" s="303">
        <f t="shared" si="43"/>
        <v>2790.69158853</v>
      </c>
      <c r="AA38" s="303">
        <f t="shared" si="43"/>
        <v>1158.70160484</v>
      </c>
      <c r="AB38" s="303">
        <f>+AB8+AB27</f>
        <v>10312.658652249998</v>
      </c>
      <c r="AC38" s="303">
        <f t="shared" si="43"/>
        <v>2591.3601002499995</v>
      </c>
      <c r="AD38" s="303">
        <f t="shared" si="43"/>
        <v>958.2405729499999</v>
      </c>
      <c r="AE38" s="303">
        <f t="shared" si="43"/>
        <v>129.09716637000002</v>
      </c>
      <c r="AF38" s="294">
        <f t="shared" si="43"/>
        <v>28098.526049349995</v>
      </c>
      <c r="AG38" s="188"/>
      <c r="AH38" s="189">
        <f aca="true" t="shared" si="44" ref="AH38:AU38">IF(S38=0,"-",IF((D38/S38)&gt;2,"-",((D38-S38)/S38)*100))</f>
        <v>30.041182199261556</v>
      </c>
      <c r="AI38" s="189">
        <f t="shared" si="44"/>
        <v>3.7491756590402345</v>
      </c>
      <c r="AJ38" s="189">
        <f t="shared" si="44"/>
        <v>12.371618902347505</v>
      </c>
      <c r="AK38" s="189">
        <f t="shared" si="44"/>
        <v>19.94207021222944</v>
      </c>
      <c r="AL38" s="189">
        <f t="shared" si="44"/>
        <v>6.191762882152286</v>
      </c>
      <c r="AM38" s="189">
        <f t="shared" si="44"/>
        <v>-5.2896677384150586</v>
      </c>
      <c r="AN38" s="189">
        <f t="shared" si="44"/>
        <v>-13.021595124295999</v>
      </c>
      <c r="AO38" s="189">
        <f t="shared" si="44"/>
        <v>-8.420659231777845</v>
      </c>
      <c r="AP38" s="189">
        <f t="shared" si="44"/>
        <v>-1.1257601961983568</v>
      </c>
      <c r="AQ38" s="189">
        <f t="shared" si="44"/>
        <v>-13.276478884727528</v>
      </c>
      <c r="AR38" s="189">
        <f t="shared" si="44"/>
        <v>-11.895509671938637</v>
      </c>
      <c r="AS38" s="189">
        <f t="shared" si="44"/>
        <v>18.870968494196237</v>
      </c>
      <c r="AT38" s="189">
        <f t="shared" si="44"/>
        <v>54.2756645325429</v>
      </c>
      <c r="AU38" s="190">
        <f t="shared" si="44"/>
        <v>-2.1256259396702637</v>
      </c>
      <c r="AV38" s="184"/>
      <c r="AW38" s="165"/>
      <c r="AX38" s="165"/>
      <c r="AY38" s="166"/>
      <c r="AZ38" s="166"/>
      <c r="BA38" s="166"/>
      <c r="BB38" s="166"/>
      <c r="BC38" s="153"/>
      <c r="BD38" s="153"/>
      <c r="BE38" s="153"/>
      <c r="BF38" s="152"/>
      <c r="BG38" s="152"/>
      <c r="BH38" s="152"/>
      <c r="BI38" s="152"/>
      <c r="BJ38" s="152"/>
      <c r="BK38" s="152"/>
      <c r="BL38" s="137"/>
      <c r="BM38" s="137"/>
      <c r="BN38" s="137"/>
      <c r="BO38" s="137"/>
      <c r="BP38" s="137"/>
      <c r="BQ38" s="137"/>
      <c r="BR38" s="137"/>
      <c r="BS38" s="137"/>
      <c r="BT38" s="137"/>
      <c r="BU38" s="137"/>
      <c r="BV38" s="137"/>
      <c r="BW38" s="137"/>
      <c r="BX38" s="137"/>
      <c r="BY38" s="137"/>
      <c r="BZ38" s="137"/>
      <c r="CA38" s="137"/>
      <c r="CB38" s="137"/>
      <c r="CC38" s="137"/>
      <c r="CD38" s="137"/>
      <c r="CE38" s="137"/>
      <c r="CF38" s="137"/>
      <c r="CG38" s="137"/>
      <c r="CH38" s="137"/>
      <c r="CI38" s="137"/>
      <c r="CJ38" s="137"/>
      <c r="CK38" s="137"/>
      <c r="CL38" s="137"/>
      <c r="CM38" s="137"/>
      <c r="CN38" s="137"/>
      <c r="CO38" s="137"/>
      <c r="CP38" s="137"/>
      <c r="CQ38" s="137"/>
      <c r="CR38" s="137"/>
      <c r="CS38" s="137"/>
      <c r="CT38" s="137"/>
      <c r="CU38" s="137"/>
      <c r="CV38" s="137"/>
      <c r="CW38" s="137"/>
      <c r="CX38" s="137"/>
      <c r="CY38" s="137"/>
      <c r="CZ38" s="137"/>
      <c r="DA38" s="137"/>
      <c r="DB38" s="137"/>
      <c r="DC38" s="137"/>
      <c r="DD38" s="137"/>
      <c r="DE38" s="137"/>
      <c r="DF38" s="137"/>
      <c r="DG38" s="137"/>
      <c r="DH38" s="137"/>
      <c r="DI38" s="137"/>
      <c r="DJ38" s="137"/>
      <c r="DK38" s="137"/>
      <c r="DL38" s="137"/>
      <c r="DM38" s="137"/>
      <c r="DN38" s="137"/>
      <c r="DO38" s="137"/>
      <c r="DP38" s="137"/>
      <c r="DQ38" s="137"/>
      <c r="DR38" s="137"/>
      <c r="DS38" s="137"/>
      <c r="DT38" s="137"/>
      <c r="DU38" s="137"/>
      <c r="DV38" s="137"/>
      <c r="DW38" s="137"/>
      <c r="DX38" s="137"/>
      <c r="DY38" s="137"/>
      <c r="DZ38" s="137"/>
      <c r="EA38" s="137"/>
      <c r="EB38" s="137"/>
      <c r="EC38" s="137"/>
      <c r="ED38" s="137"/>
      <c r="EE38" s="137"/>
      <c r="EF38" s="137"/>
      <c r="EG38" s="137"/>
      <c r="EH38" s="137"/>
      <c r="EI38" s="137"/>
      <c r="EJ38" s="137"/>
      <c r="EK38" s="137"/>
      <c r="EL38" s="137"/>
      <c r="EM38" s="137"/>
      <c r="EN38" s="137"/>
      <c r="EO38" s="137"/>
      <c r="EP38" s="137"/>
      <c r="EQ38" s="137"/>
      <c r="ER38" s="137"/>
      <c r="ES38" s="137"/>
      <c r="ET38" s="137"/>
      <c r="EU38" s="137"/>
      <c r="EV38" s="137"/>
      <c r="EW38" s="137"/>
      <c r="EX38" s="137"/>
      <c r="EY38" s="137"/>
      <c r="EZ38" s="137"/>
      <c r="FA38" s="137"/>
      <c r="FB38" s="137"/>
      <c r="FC38" s="137"/>
      <c r="FD38" s="137"/>
      <c r="FE38" s="137"/>
      <c r="FF38" s="137"/>
      <c r="FG38" s="137"/>
      <c r="FH38" s="137"/>
      <c r="FI38" s="137"/>
      <c r="FJ38" s="137"/>
      <c r="FK38" s="137"/>
      <c r="FL38" s="137"/>
      <c r="FM38" s="137"/>
      <c r="FN38" s="137"/>
      <c r="FO38" s="137"/>
      <c r="FP38" s="137"/>
      <c r="FQ38" s="137"/>
      <c r="FR38" s="137"/>
      <c r="FS38" s="137"/>
      <c r="FT38" s="137"/>
      <c r="FU38" s="137"/>
      <c r="FV38" s="137"/>
      <c r="FW38" s="137"/>
      <c r="FX38" s="137"/>
      <c r="FY38" s="137"/>
      <c r="FZ38" s="137"/>
      <c r="GA38" s="137"/>
      <c r="GB38" s="137"/>
      <c r="GC38" s="137"/>
      <c r="GD38" s="137"/>
      <c r="GE38" s="137"/>
    </row>
    <row r="39" spans="3:54" ht="12.75">
      <c r="C39" s="191" t="str">
        <f>IF(Indice_index!$Z$1=1,"   Por memória:","   Memo item:")</f>
        <v>   Por memória:</v>
      </c>
      <c r="D39" s="301"/>
      <c r="E39" s="301"/>
      <c r="F39" s="301"/>
      <c r="G39" s="301"/>
      <c r="H39" s="301"/>
      <c r="I39" s="301"/>
      <c r="J39" s="301"/>
      <c r="K39" s="301"/>
      <c r="L39" s="301"/>
      <c r="M39" s="301"/>
      <c r="N39" s="301"/>
      <c r="O39" s="301"/>
      <c r="P39" s="301"/>
      <c r="Q39" s="288"/>
      <c r="R39" s="163"/>
      <c r="S39" s="301"/>
      <c r="T39" s="301"/>
      <c r="U39" s="301"/>
      <c r="V39" s="301"/>
      <c r="W39" s="301"/>
      <c r="X39" s="301"/>
      <c r="Y39" s="301"/>
      <c r="Z39" s="301"/>
      <c r="AA39" s="301"/>
      <c r="AB39" s="301"/>
      <c r="AC39" s="301"/>
      <c r="AD39" s="301"/>
      <c r="AE39" s="301"/>
      <c r="AF39" s="288"/>
      <c r="AG39" s="163"/>
      <c r="AH39" s="172"/>
      <c r="AI39" s="172"/>
      <c r="AJ39" s="172"/>
      <c r="AK39" s="172"/>
      <c r="AL39" s="172"/>
      <c r="AM39" s="172"/>
      <c r="AN39" s="172"/>
      <c r="AO39" s="172"/>
      <c r="AP39" s="172"/>
      <c r="AQ39" s="172"/>
      <c r="AR39" s="172"/>
      <c r="AS39" s="172"/>
      <c r="AT39" s="172"/>
      <c r="AU39" s="192"/>
      <c r="AV39" s="184"/>
      <c r="AW39" s="165"/>
      <c r="AX39" s="165"/>
      <c r="AY39" s="166"/>
      <c r="AZ39" s="166"/>
      <c r="BA39" s="166"/>
      <c r="BB39" s="166"/>
    </row>
    <row r="40" spans="3:54" ht="12.75">
      <c r="C40" s="193" t="str">
        <f>IF(Indice_index!$Z$1=1,"Ativos financeiros","Financial assets")</f>
        <v>Ativos financeiros</v>
      </c>
      <c r="D40" s="300"/>
      <c r="E40" s="300">
        <v>0</v>
      </c>
      <c r="F40" s="300">
        <v>1132.31590386</v>
      </c>
      <c r="G40" s="300"/>
      <c r="H40" s="300">
        <v>2.04999034</v>
      </c>
      <c r="I40" s="300">
        <v>10.42796749</v>
      </c>
      <c r="J40" s="300"/>
      <c r="K40" s="300">
        <v>540.55519203</v>
      </c>
      <c r="L40" s="300">
        <v>0.00055121</v>
      </c>
      <c r="M40" s="300">
        <v>24</v>
      </c>
      <c r="N40" s="300">
        <v>0.5304964</v>
      </c>
      <c r="O40" s="300">
        <v>0.01666292</v>
      </c>
      <c r="P40" s="300">
        <v>31.13553776</v>
      </c>
      <c r="Q40" s="288">
        <f>SUM(D40:P40)</f>
        <v>1741.0323020099997</v>
      </c>
      <c r="R40" s="194"/>
      <c r="S40" s="301"/>
      <c r="T40" s="301">
        <v>0.0005</v>
      </c>
      <c r="U40" s="301">
        <v>3282.6944666500003</v>
      </c>
      <c r="V40" s="301"/>
      <c r="W40" s="301">
        <v>1.77151395</v>
      </c>
      <c r="X40" s="301">
        <v>11.66173065</v>
      </c>
      <c r="Y40" s="301"/>
      <c r="Z40" s="301">
        <v>446.50051999</v>
      </c>
      <c r="AA40" s="301">
        <v>0.00134748</v>
      </c>
      <c r="AB40" s="301"/>
      <c r="AC40" s="301">
        <v>0.74872999</v>
      </c>
      <c r="AD40" s="301">
        <v>1.60735893</v>
      </c>
      <c r="AE40" s="301">
        <v>21.905266340000004</v>
      </c>
      <c r="AF40" s="288">
        <f>SUM(S40:AE40)</f>
        <v>3766.8914339800003</v>
      </c>
      <c r="AG40" s="194"/>
      <c r="AH40" s="172"/>
      <c r="AI40" s="172"/>
      <c r="AJ40" s="172"/>
      <c r="AK40" s="172"/>
      <c r="AL40" s="172"/>
      <c r="AM40" s="172"/>
      <c r="AN40" s="172"/>
      <c r="AO40" s="172"/>
      <c r="AP40" s="172"/>
      <c r="AQ40" s="172"/>
      <c r="AR40" s="172"/>
      <c r="AS40" s="172"/>
      <c r="AT40" s="172"/>
      <c r="AU40" s="192"/>
      <c r="AV40" s="184"/>
      <c r="AW40" s="165"/>
      <c r="AX40" s="165"/>
      <c r="AY40" s="166"/>
      <c r="AZ40" s="166"/>
      <c r="BA40" s="166"/>
      <c r="BB40" s="166"/>
    </row>
    <row r="41" spans="3:54" ht="12.75">
      <c r="C41" s="177" t="s">
        <v>17</v>
      </c>
      <c r="D41" s="300"/>
      <c r="E41" s="300"/>
      <c r="F41" s="300"/>
      <c r="G41" s="300"/>
      <c r="H41" s="300"/>
      <c r="I41" s="300"/>
      <c r="J41" s="300"/>
      <c r="K41" s="300"/>
      <c r="L41" s="300"/>
      <c r="M41" s="300"/>
      <c r="N41" s="300"/>
      <c r="O41" s="300"/>
      <c r="P41" s="300"/>
      <c r="Q41" s="288"/>
      <c r="R41" s="194"/>
      <c r="S41" s="301"/>
      <c r="T41" s="301"/>
      <c r="U41" s="301"/>
      <c r="V41" s="301"/>
      <c r="W41" s="301"/>
      <c r="X41" s="301"/>
      <c r="Y41" s="301"/>
      <c r="Z41" s="301"/>
      <c r="AA41" s="301"/>
      <c r="AB41" s="301"/>
      <c r="AC41" s="301"/>
      <c r="AD41" s="301"/>
      <c r="AE41" s="301"/>
      <c r="AF41" s="288"/>
      <c r="AG41" s="194"/>
      <c r="AH41" s="172"/>
      <c r="AI41" s="172"/>
      <c r="AJ41" s="172"/>
      <c r="AK41" s="172"/>
      <c r="AL41" s="172"/>
      <c r="AM41" s="172"/>
      <c r="AN41" s="172"/>
      <c r="AO41" s="172"/>
      <c r="AP41" s="172"/>
      <c r="AQ41" s="172"/>
      <c r="AR41" s="172"/>
      <c r="AS41" s="172"/>
      <c r="AT41" s="172"/>
      <c r="AU41" s="192"/>
      <c r="AV41" s="184"/>
      <c r="AW41" s="165"/>
      <c r="AX41" s="165"/>
      <c r="AY41" s="166"/>
      <c r="AZ41" s="166"/>
      <c r="BA41" s="166"/>
      <c r="BB41" s="166"/>
    </row>
    <row r="42" spans="3:54" ht="17.25" customHeight="1">
      <c r="C42" s="245" t="str">
        <f>IF(Indice_index!$Z$1=1,"Fundo de Regularização da Dívida Pública","Public Debt Settlement Fund transfers")</f>
        <v>Fundo de Regularização da Dívida Pública</v>
      </c>
      <c r="D42" s="305"/>
      <c r="E42" s="305"/>
      <c r="F42" s="305">
        <v>293.69217396</v>
      </c>
      <c r="G42" s="305"/>
      <c r="H42" s="305"/>
      <c r="I42" s="305"/>
      <c r="J42" s="305"/>
      <c r="K42" s="305"/>
      <c r="L42" s="305"/>
      <c r="M42" s="305"/>
      <c r="N42" s="305"/>
      <c r="O42" s="305"/>
      <c r="P42" s="305"/>
      <c r="Q42" s="290">
        <f>SUM(D42:P42)</f>
        <v>293.69217396</v>
      </c>
      <c r="R42" s="194"/>
      <c r="S42" s="305"/>
      <c r="T42" s="305"/>
      <c r="U42" s="305">
        <v>1969.8837271500001</v>
      </c>
      <c r="V42" s="305"/>
      <c r="W42" s="305"/>
      <c r="X42" s="305"/>
      <c r="Y42" s="305"/>
      <c r="Z42" s="305"/>
      <c r="AA42" s="305"/>
      <c r="AB42" s="305"/>
      <c r="AC42" s="305"/>
      <c r="AD42" s="305"/>
      <c r="AE42" s="305"/>
      <c r="AF42" s="290">
        <f>SUM(S42:AE42)</f>
        <v>1969.8837271500001</v>
      </c>
      <c r="AG42" s="194"/>
      <c r="AH42" s="243"/>
      <c r="AI42" s="243"/>
      <c r="AJ42" s="243"/>
      <c r="AK42" s="243"/>
      <c r="AL42" s="243"/>
      <c r="AM42" s="243"/>
      <c r="AN42" s="243"/>
      <c r="AO42" s="243"/>
      <c r="AP42" s="243"/>
      <c r="AQ42" s="243"/>
      <c r="AR42" s="243"/>
      <c r="AS42" s="243"/>
      <c r="AT42" s="243"/>
      <c r="AU42" s="244"/>
      <c r="AV42" s="184"/>
      <c r="AW42" s="165"/>
      <c r="AX42" s="165"/>
      <c r="AY42" s="166"/>
      <c r="AZ42" s="166"/>
      <c r="BA42" s="166"/>
      <c r="BB42" s="166"/>
    </row>
    <row r="43" spans="3:54" ht="12.75">
      <c r="C43" s="193" t="str">
        <f>IF(Indice_index!$Z$1=1,"Passivos financeiros","Financial liabilities")</f>
        <v>Passivos financeiros</v>
      </c>
      <c r="D43" s="300"/>
      <c r="E43" s="300">
        <v>0</v>
      </c>
      <c r="F43" s="300">
        <v>1773.61726023</v>
      </c>
      <c r="G43" s="300"/>
      <c r="H43" s="300">
        <v>1.0522164299999999</v>
      </c>
      <c r="I43" s="300">
        <v>8.00249996</v>
      </c>
      <c r="J43" s="300"/>
      <c r="K43" s="300">
        <v>2491.5584834199994</v>
      </c>
      <c r="L43" s="300">
        <v>0.6</v>
      </c>
      <c r="M43" s="300">
        <v>0</v>
      </c>
      <c r="N43" s="300">
        <v>12.208165</v>
      </c>
      <c r="O43" s="300">
        <v>0.15446219</v>
      </c>
      <c r="P43" s="300">
        <v>11.028051199999998</v>
      </c>
      <c r="Q43" s="288">
        <f>SUM(D43:P43)</f>
        <v>4298.22113843</v>
      </c>
      <c r="R43" s="194"/>
      <c r="S43" s="301"/>
      <c r="T43" s="301">
        <v>356.91043399</v>
      </c>
      <c r="U43" s="301">
        <v>3306.10469898</v>
      </c>
      <c r="V43" s="301"/>
      <c r="W43" s="301">
        <v>0.94830954</v>
      </c>
      <c r="X43" s="301">
        <v>14.002499689999999</v>
      </c>
      <c r="Y43" s="301"/>
      <c r="Z43" s="301">
        <v>1606.73570434</v>
      </c>
      <c r="AA43" s="301">
        <v>1.011376</v>
      </c>
      <c r="AB43" s="301"/>
      <c r="AC43" s="301">
        <v>90.15</v>
      </c>
      <c r="AD43" s="301">
        <v>0.15513639</v>
      </c>
      <c r="AE43" s="301">
        <v>29.6680352</v>
      </c>
      <c r="AF43" s="288">
        <f>SUM(S43:AE43)</f>
        <v>5405.68619413</v>
      </c>
      <c r="AG43" s="194"/>
      <c r="AH43" s="172"/>
      <c r="AI43" s="172"/>
      <c r="AJ43" s="172"/>
      <c r="AK43" s="172"/>
      <c r="AL43" s="172"/>
      <c r="AM43" s="172"/>
      <c r="AN43" s="172"/>
      <c r="AO43" s="172"/>
      <c r="AP43" s="172"/>
      <c r="AQ43" s="172"/>
      <c r="AR43" s="172"/>
      <c r="AS43" s="172"/>
      <c r="AT43" s="172"/>
      <c r="AU43" s="192"/>
      <c r="AV43" s="184"/>
      <c r="AW43" s="165"/>
      <c r="AX43" s="165"/>
      <c r="AY43" s="166"/>
      <c r="AZ43" s="166"/>
      <c r="BA43" s="166"/>
      <c r="BB43" s="166"/>
    </row>
    <row r="44" spans="3:54" ht="12.75">
      <c r="C44" s="177" t="s">
        <v>17</v>
      </c>
      <c r="D44" s="300"/>
      <c r="E44" s="300"/>
      <c r="F44" s="300"/>
      <c r="G44" s="300"/>
      <c r="H44" s="300"/>
      <c r="I44" s="300"/>
      <c r="J44" s="300"/>
      <c r="K44" s="300"/>
      <c r="L44" s="300"/>
      <c r="M44" s="300"/>
      <c r="N44" s="300"/>
      <c r="O44" s="300"/>
      <c r="P44" s="300"/>
      <c r="Q44" s="288"/>
      <c r="R44" s="194"/>
      <c r="S44" s="301"/>
      <c r="T44" s="301"/>
      <c r="U44" s="301"/>
      <c r="V44" s="301"/>
      <c r="W44" s="301"/>
      <c r="X44" s="301"/>
      <c r="Y44" s="301"/>
      <c r="Z44" s="301"/>
      <c r="AA44" s="301"/>
      <c r="AB44" s="301"/>
      <c r="AC44" s="301"/>
      <c r="AD44" s="301"/>
      <c r="AE44" s="301"/>
      <c r="AF44" s="288"/>
      <c r="AG44" s="194"/>
      <c r="AH44" s="172"/>
      <c r="AI44" s="172"/>
      <c r="AJ44" s="172"/>
      <c r="AK44" s="172"/>
      <c r="AL44" s="172"/>
      <c r="AM44" s="172"/>
      <c r="AN44" s="172"/>
      <c r="AO44" s="172"/>
      <c r="AP44" s="172"/>
      <c r="AQ44" s="172"/>
      <c r="AR44" s="172"/>
      <c r="AS44" s="172"/>
      <c r="AT44" s="172"/>
      <c r="AU44" s="192"/>
      <c r="AV44" s="184"/>
      <c r="AW44" s="165"/>
      <c r="AX44" s="165"/>
      <c r="AY44" s="166"/>
      <c r="AZ44" s="166"/>
      <c r="BA44" s="166"/>
      <c r="BB44" s="166"/>
    </row>
    <row r="45" spans="3:54" ht="16.5" customHeight="1">
      <c r="C45" s="246" t="str">
        <f>IF(Indice_index!$Z$1=1,"Fundo de Regularização da Dívida Pública","Public Debt Settlement Fund transfers")</f>
        <v>Fundo de Regularização da Dívida Pública</v>
      </c>
      <c r="D45" s="304"/>
      <c r="E45" s="304"/>
      <c r="F45" s="304">
        <v>1376.5360432300001</v>
      </c>
      <c r="G45" s="304"/>
      <c r="H45" s="304"/>
      <c r="I45" s="304"/>
      <c r="J45" s="304"/>
      <c r="K45" s="304"/>
      <c r="L45" s="304"/>
      <c r="M45" s="304"/>
      <c r="N45" s="304"/>
      <c r="O45" s="304"/>
      <c r="P45" s="304"/>
      <c r="Q45" s="295">
        <f>SUM(D45:P45)</f>
        <v>1376.5360432300001</v>
      </c>
      <c r="R45" s="196"/>
      <c r="S45" s="304"/>
      <c r="T45" s="304"/>
      <c r="U45" s="304">
        <v>2770.56140078</v>
      </c>
      <c r="V45" s="304"/>
      <c r="W45" s="304"/>
      <c r="X45" s="304"/>
      <c r="Y45" s="304"/>
      <c r="Z45" s="304"/>
      <c r="AA45" s="304"/>
      <c r="AB45" s="304"/>
      <c r="AC45" s="304"/>
      <c r="AD45" s="304"/>
      <c r="AE45" s="304"/>
      <c r="AF45" s="295">
        <f>SUM(S45:AE45)</f>
        <v>2770.56140078</v>
      </c>
      <c r="AG45" s="196"/>
      <c r="AH45" s="197"/>
      <c r="AI45" s="197"/>
      <c r="AJ45" s="197"/>
      <c r="AK45" s="197"/>
      <c r="AL45" s="197"/>
      <c r="AM45" s="197"/>
      <c r="AN45" s="197"/>
      <c r="AO45" s="197"/>
      <c r="AP45" s="197"/>
      <c r="AQ45" s="197"/>
      <c r="AR45" s="197"/>
      <c r="AS45" s="197"/>
      <c r="AT45" s="197"/>
      <c r="AU45" s="198"/>
      <c r="AV45" s="184"/>
      <c r="AW45" s="165"/>
      <c r="AX45" s="165"/>
      <c r="AY45" s="166"/>
      <c r="AZ45" s="166"/>
      <c r="BA45" s="166"/>
      <c r="BB45" s="166"/>
    </row>
    <row r="46" spans="4:63" s="140" customFormat="1" ht="12.75">
      <c r="D46" s="108" t="str">
        <f>IF(Indice_index!$Z$1=1,"Nota: Os valores constantes do presente quadro não excluem transferências intra-setoriais.","Note: Data of the present chart does not exclude intra-sectoral transfers.")</f>
        <v>Nota: Os valores constantes do presente quadro não excluem transferências intra-setoriais.</v>
      </c>
      <c r="E46" s="108"/>
      <c r="F46" s="108"/>
      <c r="G46" s="108"/>
      <c r="H46" s="108"/>
      <c r="I46" s="200"/>
      <c r="J46" s="199"/>
      <c r="K46" s="199"/>
      <c r="L46" s="199"/>
      <c r="M46" s="199"/>
      <c r="N46" s="199"/>
      <c r="O46" s="201"/>
      <c r="P46" s="202"/>
      <c r="Q46" s="203"/>
      <c r="R46" s="203"/>
      <c r="S46" s="308"/>
      <c r="T46" s="308"/>
      <c r="U46" s="308"/>
      <c r="V46" s="308"/>
      <c r="W46" s="308"/>
      <c r="X46" s="308"/>
      <c r="Y46" s="308"/>
      <c r="Z46" s="308"/>
      <c r="AA46" s="308"/>
      <c r="AB46" s="308"/>
      <c r="AC46" s="310"/>
      <c r="AD46" s="310"/>
      <c r="AE46" s="310"/>
      <c r="AF46" s="203"/>
      <c r="AG46" s="203"/>
      <c r="AH46" s="203"/>
      <c r="AI46" s="199"/>
      <c r="AJ46" s="199"/>
      <c r="AK46" s="199"/>
      <c r="AL46" s="199"/>
      <c r="AM46" s="199"/>
      <c r="AN46" s="199"/>
      <c r="AO46" s="199"/>
      <c r="AP46" s="199"/>
      <c r="AQ46" s="199"/>
      <c r="AR46" s="199"/>
      <c r="AS46" s="199"/>
      <c r="AT46" s="199"/>
      <c r="AU46" s="199"/>
      <c r="AV46" s="205"/>
      <c r="AW46" s="205"/>
      <c r="AX46" s="205"/>
      <c r="AY46" s="206"/>
      <c r="AZ46" s="206"/>
      <c r="BA46" s="206"/>
      <c r="BB46" s="206"/>
      <c r="BC46" s="155"/>
      <c r="BD46" s="155"/>
      <c r="BE46" s="155"/>
      <c r="BF46" s="155"/>
      <c r="BG46" s="155"/>
      <c r="BH46" s="155"/>
      <c r="BI46" s="155"/>
      <c r="BJ46" s="155"/>
      <c r="BK46" s="155"/>
    </row>
    <row r="47" spans="4:54" ht="12.75">
      <c r="D47" s="108" t="str">
        <f>IF(Indice_index!$Z$1=1,"Fonte: Ministério das Finanças","Source: Ministry of Finance")</f>
        <v>Fonte: Ministério das Finanças</v>
      </c>
      <c r="E47" s="108"/>
      <c r="F47" s="108"/>
      <c r="G47" s="108"/>
      <c r="H47" s="108"/>
      <c r="I47" s="208"/>
      <c r="J47" s="208"/>
      <c r="K47" s="208"/>
      <c r="L47" s="208"/>
      <c r="M47" s="208"/>
      <c r="N47" s="208"/>
      <c r="O47" s="208"/>
      <c r="P47" s="209"/>
      <c r="Q47"/>
      <c r="R47" s="207"/>
      <c r="S47" s="210"/>
      <c r="T47" s="210"/>
      <c r="U47" s="210"/>
      <c r="V47" s="207"/>
      <c r="W47" s="210"/>
      <c r="X47" s="210"/>
      <c r="Y47" s="210"/>
      <c r="Z47" s="210"/>
      <c r="AA47" s="210"/>
      <c r="AB47" s="210"/>
      <c r="AC47" s="210"/>
      <c r="AD47" s="210"/>
      <c r="AE47" s="210"/>
      <c r="AF47" s="231"/>
      <c r="AG47" s="207"/>
      <c r="AH47" s="207"/>
      <c r="AI47" s="211"/>
      <c r="AJ47" s="211"/>
      <c r="AK47" s="211"/>
      <c r="AL47" s="211"/>
      <c r="AM47" s="211"/>
      <c r="AN47" s="211"/>
      <c r="AO47" s="211"/>
      <c r="AP47" s="211"/>
      <c r="AQ47" s="211"/>
      <c r="AR47" s="211"/>
      <c r="AS47" s="211"/>
      <c r="AT47" s="211"/>
      <c r="AU47" s="211"/>
      <c r="AV47" s="165"/>
      <c r="AW47" s="165"/>
      <c r="AX47" s="165"/>
      <c r="AY47" s="166"/>
      <c r="AZ47" s="166"/>
      <c r="BA47" s="166"/>
      <c r="BB47" s="166"/>
    </row>
    <row r="48" spans="4:32" ht="12.75">
      <c r="D48" s="108" t="str">
        <f>IF(Indice_index!$Z$1=1,"Organismos com execução orçamental em falta:","Organisms that have not reported budget execution:")</f>
        <v>Organismos com execução orçamental em falta:</v>
      </c>
      <c r="E48" s="108"/>
      <c r="F48" s="108"/>
      <c r="G48" s="108"/>
      <c r="H48" s="108"/>
      <c r="P48" s="141"/>
      <c r="AF48" s="271"/>
    </row>
    <row r="49" spans="4:32" ht="12.75">
      <c r="D49" s="330" t="s">
        <v>7</v>
      </c>
      <c r="E49" s="315"/>
      <c r="F49" s="315"/>
      <c r="G49" s="315"/>
      <c r="H49" s="315"/>
      <c r="I49" s="315"/>
      <c r="J49" s="331"/>
      <c r="K49" s="331"/>
      <c r="L49" s="331"/>
      <c r="M49" s="331"/>
      <c r="N49" s="331"/>
      <c r="O49" s="331"/>
      <c r="P49" s="332"/>
      <c r="Q49" s="331"/>
      <c r="AF49" s="271"/>
    </row>
    <row r="50" spans="4:17" ht="12.75">
      <c r="D50" s="315" t="str">
        <f>IF(Indice_index!$Z$1=1,"Santa Casa da Misericórdia de Lisboa, IP - mês agosto","Santa Casa da Misericórdia de Lisboa, IP - month of August")</f>
        <v>Santa Casa da Misericórdia de Lisboa, IP - mês agosto</v>
      </c>
      <c r="E50" s="315"/>
      <c r="F50" s="315"/>
      <c r="G50" s="315"/>
      <c r="H50" s="315"/>
      <c r="I50" s="315"/>
      <c r="J50" s="331"/>
      <c r="K50" s="331"/>
      <c r="L50" s="331"/>
      <c r="M50" s="331"/>
      <c r="N50" s="331"/>
      <c r="O50" s="331"/>
      <c r="P50" s="332"/>
      <c r="Q50" s="333"/>
    </row>
    <row r="51" spans="4:17" ht="12.75">
      <c r="D51" s="311"/>
      <c r="P51" s="141"/>
      <c r="Q51" s="271"/>
    </row>
    <row r="52" spans="4:17" ht="12.75">
      <c r="D52" s="315" t="str">
        <f>IF(Indice_index!$Z$1=1,"Fonte: Ministério das Finanças","Source: Ministry of Finance")</f>
        <v>Fonte: Ministério das Finanças</v>
      </c>
      <c r="P52" s="141"/>
      <c r="Q52" s="271"/>
    </row>
    <row r="53" spans="16:17" ht="12">
      <c r="P53" s="141"/>
      <c r="Q53" s="271"/>
    </row>
    <row r="54" ht="12">
      <c r="AG54" s="137">
        <f>+AG9-AG53</f>
        <v>0</v>
      </c>
    </row>
    <row r="55" spans="4:17" ht="12.75">
      <c r="D55"/>
      <c r="E55"/>
      <c r="F55"/>
      <c r="G55"/>
      <c r="H55"/>
      <c r="I55"/>
      <c r="J55" s="267"/>
      <c r="K55" s="267"/>
      <c r="L55" s="267"/>
      <c r="M55" s="267"/>
      <c r="N55" s="267"/>
      <c r="O55" s="267"/>
      <c r="P55" s="267"/>
      <c r="Q55" s="271"/>
    </row>
    <row r="56" spans="4:17" ht="12.75">
      <c r="D56"/>
      <c r="E56"/>
      <c r="F56"/>
      <c r="G56"/>
      <c r="H56"/>
      <c r="I56"/>
      <c r="P56" s="141"/>
      <c r="Q56" s="271"/>
    </row>
    <row r="57" spans="4:16" ht="12.75">
      <c r="D57"/>
      <c r="E57"/>
      <c r="F57"/>
      <c r="G57"/>
      <c r="H57"/>
      <c r="I57"/>
      <c r="P57" s="141"/>
    </row>
    <row r="58" spans="4:16" ht="12.75">
      <c r="D58"/>
      <c r="E58"/>
      <c r="F58"/>
      <c r="G58"/>
      <c r="H58"/>
      <c r="I58"/>
      <c r="P58" s="141"/>
    </row>
    <row r="59" spans="4:16" ht="12.75">
      <c r="D59"/>
      <c r="E59"/>
      <c r="F59"/>
      <c r="G59"/>
      <c r="H59"/>
      <c r="I59"/>
      <c r="P59" s="141"/>
    </row>
    <row r="60" spans="4:16" ht="12.75">
      <c r="D60"/>
      <c r="E60"/>
      <c r="F60"/>
      <c r="G60"/>
      <c r="H60"/>
      <c r="I60"/>
      <c r="P60" s="141"/>
    </row>
    <row r="61" spans="4:16" ht="12.75">
      <c r="D61"/>
      <c r="E61"/>
      <c r="F61"/>
      <c r="G61"/>
      <c r="H61"/>
      <c r="I61"/>
      <c r="P61" s="141"/>
    </row>
    <row r="62" ht="12">
      <c r="P62" s="141"/>
    </row>
    <row r="63" ht="12">
      <c r="P63" s="141"/>
    </row>
    <row r="64" ht="12">
      <c r="P64" s="141"/>
    </row>
    <row r="65" spans="6:16" ht="12">
      <c r="F65" s="271"/>
      <c r="P65" s="141"/>
    </row>
    <row r="66" ht="12">
      <c r="P66" s="141"/>
    </row>
    <row r="67" ht="12">
      <c r="P67" s="141"/>
    </row>
    <row r="68" ht="12">
      <c r="P68" s="141"/>
    </row>
    <row r="69" ht="12">
      <c r="P69" s="141"/>
    </row>
    <row r="70" ht="12">
      <c r="P70" s="141"/>
    </row>
    <row r="71" ht="12">
      <c r="P71" s="141"/>
    </row>
    <row r="72" ht="12">
      <c r="P72" s="141"/>
    </row>
    <row r="73" ht="12">
      <c r="P73" s="141"/>
    </row>
    <row r="74" ht="12">
      <c r="P74" s="141"/>
    </row>
    <row r="75" ht="12">
      <c r="P75" s="141"/>
    </row>
    <row r="76" ht="12">
      <c r="P76" s="141"/>
    </row>
    <row r="77" ht="12">
      <c r="P77" s="141"/>
    </row>
    <row r="78" ht="12">
      <c r="P78" s="141"/>
    </row>
    <row r="79" ht="12">
      <c r="P79" s="141"/>
    </row>
  </sheetData>
  <sheetProtection/>
  <mergeCells count="4">
    <mergeCell ref="D6:Q6"/>
    <mergeCell ref="S6:AF6"/>
    <mergeCell ref="AH6:AU6"/>
    <mergeCell ref="C2:J2"/>
  </mergeCells>
  <printOptions horizontalCentered="1" verticalCentered="1"/>
  <pageMargins left="0.35433070866141736" right="0.35433070866141736" top="0.3937007874015748" bottom="0.3937007874015748" header="0.3937007874015748" footer="0.3937007874015748"/>
  <pageSetup fitToWidth="3" horizontalDpi="600" verticalDpi="600" orientation="landscape" paperSize="9" scale="59" r:id="rId3"/>
  <headerFooter alignWithMargins="0">
    <oddHeader>&amp;L&amp;G</oddHeader>
  </headerFooter>
  <colBreaks count="2" manualBreakCount="2">
    <brk id="17" min="1" max="51" man="1"/>
    <brk id="33" min="1" max="51" man="1"/>
  </colBreaks>
  <ignoredErrors>
    <ignoredError sqref="N37:P38 AF31:AF35 D17:L18 D29:L30 N26:P27 N13:P13 Q33:Q35 N29:P30 AF28 AF19:AF25 AC26:AF27 AC13:AE13 AC17:AE18 AC29:AF30 N17:P18 D13:L13 D26:L27 D37:L38 S29:AA30 S17:AA18 S13:AA13 S26:AA27 M26:M27 M29" formulaRange="1"/>
    <ignoredError sqref="AR6:AU6 D49 D6:L6 N6:AA6 AC6:AP6" numberStoredAsText="1"/>
    <ignoredError sqref="Q26:Q27 Q28:Q32 Q13:Q25 AF17:AF18 AF13 AF14:AF15 AF16 AB13:AB18 M17:M18 M13 M30" formula="1" formulaRange="1"/>
    <ignoredError sqref="AB9:AB12 AB19 M9:M12 M14:M16" formula="1"/>
  </ignoredError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Síntese da Execução Orçamental de dezembro de 2013 - Informação Estatística complementar (versão PT)</dc:title>
  <dc:subject/>
  <dc:creator>Sílvia Pinto</dc:creator>
  <cp:keywords/>
  <dc:description/>
  <cp:lastModifiedBy>José Manuel Pereira</cp:lastModifiedBy>
  <cp:lastPrinted>2013-11-27T10:40:16Z</cp:lastPrinted>
  <dcterms:created xsi:type="dcterms:W3CDTF">2013-02-25T12:28:11Z</dcterms:created>
  <dcterms:modified xsi:type="dcterms:W3CDTF">2014-01-31T17:46:47Z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no">
    <vt:lpwstr>56</vt:lpwstr>
  </property>
  <property fmtid="{D5CDD505-2E9C-101B-9397-08002B2CF9AE}" pid="3" name="Mes">
    <vt:lpwstr>1</vt:lpwstr>
  </property>
  <property fmtid="{D5CDD505-2E9C-101B-9397-08002B2CF9AE}" pid="4" name="Ordem">
    <vt:lpwstr>4.00000000000000</vt:lpwstr>
  </property>
  <property fmtid="{D5CDD505-2E9C-101B-9397-08002B2CF9AE}" pid="5" name="_dlc_DocId">
    <vt:lpwstr>X4XX2SRTQWXX-37-679</vt:lpwstr>
  </property>
  <property fmtid="{D5CDD505-2E9C-101B-9397-08002B2CF9AE}" pid="6" name="_dlc_DocIdItemGuid">
    <vt:lpwstr>2cadd4af-4566-4f37-b933-901450b890bd</vt:lpwstr>
  </property>
  <property fmtid="{D5CDD505-2E9C-101B-9397-08002B2CF9AE}" pid="7" name="_dlc_DocIdUrl">
    <vt:lpwstr>https://www.dgo.gov.pt/execucaoorcamental/_layouts/DocIdRedir.aspx?ID=X4XX2SRTQWXX-37-679, X4XX2SRTQWXX-37-679</vt:lpwstr>
  </property>
</Properties>
</file>