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2.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worksheets/sheet1.xml" ContentType="application/vnd.openxmlformats-officedocument.spreadsheetml.worksheet+xml"/>
  <Override PartName="/xl/drawings/drawing23.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4.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drawings/drawing6.xml" ContentType="application/vnd.openxmlformats-officedocument.drawing+xml"/>
  <Override PartName="/xl/drawings/drawing13.xml" ContentType="application/vnd.openxmlformats-officedocument.drawing+xml"/>
  <Override PartName="/xl/drawings/drawing11.xml" ContentType="application/vnd.openxmlformats-officedocument.drawing+xml"/>
  <Override PartName="/xl/drawings/drawing14.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codeName="EsteLivro"/>
  <mc:AlternateContent xmlns:mc="http://schemas.openxmlformats.org/markup-compatibility/2006">
    <mc:Choice Requires="x15">
      <x15ac:absPath xmlns:x15ac="http://schemas.microsoft.com/office/spreadsheetml/2010/11/ac" url="C:\Users\catarina.cacador\Desktop\Publicações\Internet\SEO\2022\janeiro\"/>
    </mc:Choice>
  </mc:AlternateContent>
  <xr:revisionPtr revIDLastSave="0" documentId="8_{E0240592-97D4-4624-8C37-DDE15BE2875F}" xr6:coauthVersionLast="36" xr6:coauthVersionMax="36" xr10:uidLastSave="{00000000-0000-0000-0000-000000000000}"/>
  <bookViews>
    <workbookView xWindow="0" yWindow="0" windowWidth="28800" windowHeight="10560" tabRatio="899"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sheetId="33" r:id="rId7"/>
    <sheet name="4 - Conta AC + SS" sheetId="7" r:id="rId8"/>
    <sheet name="5 - Conta AC" sheetId="8" r:id="rId9"/>
    <sheet name="6 - Estado" sheetId="9" r:id="rId10"/>
    <sheet name="7 - R_Est" sheetId="10" r:id="rId11"/>
    <sheet name="8 - SFA" sheetId="11" r:id="rId12"/>
    <sheet name="9 - EPR" sheetId="12" r:id="rId13"/>
    <sheet name="10 - CGA" sheetId="13" r:id="rId14"/>
    <sheet name="11 - SS" sheetId="14" r:id="rId15"/>
    <sheet name="12 - SS Eco" sheetId="15" r:id="rId16"/>
    <sheet name="13 - Adm R" sheetId="31" r:id="rId17"/>
    <sheet name="14 - Adm Loc" sheetId="17" r:id="rId18"/>
    <sheet name="15 - Despesa Ativos " sheetId="18" r:id="rId19"/>
    <sheet name="16 - SNS exec fin" sheetId="19" r:id="rId20"/>
    <sheet name="17 - Dív não Fin" sheetId="20" r:id="rId21"/>
    <sheet name="18 - CGA Ind" sheetId="27" r:id="rId22"/>
    <sheet name="19 - Ef Temp AC+SS" sheetId="28" r:id="rId23"/>
    <sheet name="20 - Estimativas" sheetId="30" r:id="rId24"/>
    <sheet name="21 - Util. Cond. Dot. Orç" sheetId="32" r:id="rId25"/>
  </sheets>
  <definedNames>
    <definedName name="_xlnm._FilterDatabase" localSheetId="20" hidden="1">'17 - Dív não Fin'!$D$40:$R$53</definedName>
    <definedName name="_xlnm._FilterDatabase" localSheetId="24" hidden="1">'21 - Util. Cond. Dot. Orç'!$I$7:$M$183</definedName>
    <definedName name="_xlnm._FilterDatabase" localSheetId="5" hidden="1">'Síntese Global'!#REF!</definedName>
    <definedName name="_xlnm.Print_Area" localSheetId="2">'1 - Saldo Global Rec Desp'!$B$2:$O$21</definedName>
    <definedName name="_xlnm.Print_Area" localSheetId="13">'10 - CGA'!$B$2:$J$56</definedName>
    <definedName name="_xlnm.Print_Area" localSheetId="14">'11 - SS'!$B$2:$J$81</definedName>
    <definedName name="_xlnm.Print_Area" localSheetId="15">'12 - SS Eco'!$B$2:$J$75</definedName>
    <definedName name="_xlnm.Print_Area" localSheetId="16">'13 - Adm R'!$B$2:$M$75</definedName>
    <definedName name="_xlnm.Print_Area" localSheetId="17">'14 - Adm Loc'!$B$2:$G$92</definedName>
    <definedName name="_xlnm.Print_Area" localSheetId="18">'15 - Despesa Ativos '!$B$2:$K$31</definedName>
    <definedName name="_xlnm.Print_Area" localSheetId="19">'16 - SNS exec fin'!$B$2:$I$42</definedName>
    <definedName name="_xlnm.Print_Area" localSheetId="20">'17 - Dív não Fin'!$B$2:$R$58</definedName>
    <definedName name="_xlnm.Print_Area" localSheetId="21">'18 - CGA Ind'!$B$2:$P$546</definedName>
    <definedName name="_xlnm.Print_Area" localSheetId="22">'19 - Ef Temp AC+SS'!$B$2:$AH$101</definedName>
    <definedName name="_xlnm.Print_Area" localSheetId="3">'2 - Conta Consol AP'!$B$2:$S$117</definedName>
    <definedName name="_xlnm.Print_Area" localSheetId="4">'2.A Conta Consol AP - texto'!$B$2:$J$46</definedName>
    <definedName name="_xlnm.Print_Area" localSheetId="23">'20 - Estimativas'!$B$2:$I$51</definedName>
    <definedName name="_xlnm.Print_Area" localSheetId="24">'21 - Util. Cond. Dot. Orç'!$B$2:$G$223</definedName>
    <definedName name="_xlnm.Print_Area" localSheetId="6">'3 - Medidas Covid-19'!$B$2:$I$96</definedName>
    <definedName name="_xlnm.Print_Area" localSheetId="7">'4 - Conta AC + SS'!$B$2:$J$67</definedName>
    <definedName name="_xlnm.Print_Area" localSheetId="8">'5 - Conta AC'!$B$2:$L$62</definedName>
    <definedName name="_xlnm.Print_Area" localSheetId="9">'6 - Estado'!$B$2:$J$78</definedName>
    <definedName name="_xlnm.Print_Area" localSheetId="10">'7 - R_Est'!$B$2:$J$74</definedName>
    <definedName name="_xlnm.Print_Area" localSheetId="11">'8 - SFA'!$B$2:$K$88</definedName>
    <definedName name="_xlnm.Print_Area" localSheetId="12">'9 - EPR'!$B$2:$K$88</definedName>
    <definedName name="_xlnm.Print_Area" localSheetId="0">'Capa EN'!$A$1:$L$54,'Capa EN'!$A$57:$L$111</definedName>
    <definedName name="_xlnm.Print_Area" localSheetId="1">Indice_index!$B$3:$G$26</definedName>
    <definedName name="_xlnm.Print_Area" localSheetId="5">'Síntese Global'!$B$2:$O$23</definedName>
    <definedName name="Lista_eco" localSheetId="22">'19 - Ef Temp AC+SS'!$AQ$107:$AQ$110</definedName>
    <definedName name="_xlnm.Print_Titles" localSheetId="13">'10 - CGA'!$3:$5</definedName>
    <definedName name="_xlnm.Print_Titles" localSheetId="21">'18 - CGA Ind'!$2:$3</definedName>
    <definedName name="_xlnm.Print_Titles" localSheetId="22">'19 - Ef Temp AC+SS'!$2:$3</definedName>
    <definedName name="_xlnm.Print_Titles" localSheetId="3">'2 - Conta Consol AP'!$2:$3</definedName>
    <definedName name="_xlnm.Print_Titles" localSheetId="23">'20 - Estimativas'!$B:$C,'20 - Estimativas'!$2:$3</definedName>
    <definedName name="_xlnm.Print_Titles" localSheetId="24">'21 - Util. Cond. Dot. Orç'!$2:$7</definedName>
    <definedName name="_xlnm.Print_Titles" localSheetId="8">'5 - Conta AC'!$5:$6</definedName>
    <definedName name="Z_0011D0C0_6BC7_4DE9_8F83_86F2D0A38DF4_.wvu.Cols" localSheetId="14" hidden="1">'11 - SS'!#REF!</definedName>
    <definedName name="Z_0011D0C0_6BC7_4DE9_8F83_86F2D0A38DF4_.wvu.Cols" localSheetId="20" hidden="1">'17 - Dív não Fin'!$AB:$AD</definedName>
    <definedName name="Z_0011D0C0_6BC7_4DE9_8F83_86F2D0A38DF4_.wvu.Cols" localSheetId="9" hidden="1">'6 - Estado'!#REF!</definedName>
    <definedName name="Z_0011D0C0_6BC7_4DE9_8F83_86F2D0A38DF4_.wvu.Cols" localSheetId="10" hidden="1">'7 - R_Est'!#REF!</definedName>
    <definedName name="Z_0011D0C0_6BC7_4DE9_8F83_86F2D0A38DF4_.wvu.Cols" localSheetId="11" hidden="1">'8 - SFA'!#REF!</definedName>
    <definedName name="Z_0011D0C0_6BC7_4DE9_8F83_86F2D0A38DF4_.wvu.Cols" localSheetId="12" hidden="1">'9 - EPR'!#REF!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CGA'!$B$2:$J$52</definedName>
    <definedName name="Z_0011D0C0_6BC7_4DE9_8F83_86F2D0A38DF4_.wvu.PrintArea" localSheetId="14" hidden="1">'11 - SS'!$B$2:$G$74</definedName>
    <definedName name="Z_0011D0C0_6BC7_4DE9_8F83_86F2D0A38DF4_.wvu.PrintArea" localSheetId="16" hidden="1">'13 - Adm R'!#REF!</definedName>
    <definedName name="Z_0011D0C0_6BC7_4DE9_8F83_86F2D0A38DF4_.wvu.PrintArea" localSheetId="17" hidden="1">'14 - Adm Loc'!#REF!</definedName>
    <definedName name="Z_0011D0C0_6BC7_4DE9_8F83_86F2D0A38DF4_.wvu.PrintArea" localSheetId="19" hidden="1">'16 - SNS exec fin'!$B$2:$F$46</definedName>
    <definedName name="Z_0011D0C0_6BC7_4DE9_8F83_86F2D0A38DF4_.wvu.PrintArea" localSheetId="20" hidden="1">'17 - Dív não Fin'!$B$2:$R$32</definedName>
    <definedName name="Z_0011D0C0_6BC7_4DE9_8F83_86F2D0A38DF4_.wvu.PrintArea" localSheetId="21" hidden="1">'18 - CGA Ind'!$B$2:$O$412</definedName>
    <definedName name="Z_0011D0C0_6BC7_4DE9_8F83_86F2D0A38DF4_.wvu.PrintArea" localSheetId="23" hidden="1">'20 - Estimativas'!$B$2:$C$43</definedName>
    <definedName name="Z_0011D0C0_6BC7_4DE9_8F83_86F2D0A38DF4_.wvu.PrintArea" localSheetId="7" hidden="1">'4 - Conta AC + SS'!$B$1:$J$67</definedName>
    <definedName name="Z_0011D0C0_6BC7_4DE9_8F83_86F2D0A38DF4_.wvu.PrintArea" localSheetId="9" hidden="1">'6 - Estado'!$C$2:$C$73</definedName>
    <definedName name="Z_0011D0C0_6BC7_4DE9_8F83_86F2D0A38DF4_.wvu.PrintArea" localSheetId="10" hidden="1">'7 - R_Est'!$B$2:$J$74</definedName>
    <definedName name="Z_0011D0C0_6BC7_4DE9_8F83_86F2D0A38DF4_.wvu.PrintArea" localSheetId="11" hidden="1">'8 - SFA'!$C$2:$J$87</definedName>
    <definedName name="Z_0011D0C0_6BC7_4DE9_8F83_86F2D0A38DF4_.wvu.PrintArea" localSheetId="12" hidden="1">'9 - EPR'!$C$2:$J$88</definedName>
    <definedName name="Z_0011D0C0_6BC7_4DE9_8F83_86F2D0A38DF4_.wvu.PrintArea" localSheetId="1" hidden="1">Indice_index!$B$3:$C$15</definedName>
    <definedName name="Z_0011D0C0_6BC7_4DE9_8F83_86F2D0A38DF4_.wvu.PrintArea" localSheetId="5" hidden="1">'Síntese Global'!$B$2:$N$4</definedName>
    <definedName name="Z_0011D0C0_6BC7_4DE9_8F83_86F2D0A38DF4_.wvu.PrintTitles" localSheetId="13" hidden="1">'10 -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4" hidden="1">'11 - SS'!#REF!</definedName>
    <definedName name="Z_0C0AE94C_28F1_4FD2_A8FE_F417DD17C0C4_.wvu.Cols" localSheetId="20" hidden="1">'17 - Dív não Fin'!$AB:$AD</definedName>
    <definedName name="Z_0C0AE94C_28F1_4FD2_A8FE_F417DD17C0C4_.wvu.Cols" localSheetId="9" hidden="1">'6 - Estado'!#REF!,'6 - Estado'!#REF!</definedName>
    <definedName name="Z_0C0AE94C_28F1_4FD2_A8FE_F417DD17C0C4_.wvu.Cols" localSheetId="10" hidden="1">'7 - R_Est'!#REF!</definedName>
    <definedName name="Z_0C0AE94C_28F1_4FD2_A8FE_F417DD17C0C4_.wvu.Cols" localSheetId="11" hidden="1">'8 - SFA'!#REF!,'8 - SFA'!#REF!</definedName>
    <definedName name="Z_0C0AE94C_28F1_4FD2_A8FE_F417DD17C0C4_.wvu.Cols" localSheetId="12" hidden="1">'9 - EPR'!#REF!,'9 - EPR'!#REF!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CGA'!$B$2:$J$52</definedName>
    <definedName name="Z_0C0AE94C_28F1_4FD2_A8FE_F417DD17C0C4_.wvu.PrintArea" localSheetId="14" hidden="1">'11 - SS'!$B$2:$G$74</definedName>
    <definedName name="Z_0C0AE94C_28F1_4FD2_A8FE_F417DD17C0C4_.wvu.PrintArea" localSheetId="16" hidden="1">'13 - Adm R'!#REF!</definedName>
    <definedName name="Z_0C0AE94C_28F1_4FD2_A8FE_F417DD17C0C4_.wvu.PrintArea" localSheetId="17" hidden="1">'14 - Adm Loc'!#REF!</definedName>
    <definedName name="Z_0C0AE94C_28F1_4FD2_A8FE_F417DD17C0C4_.wvu.PrintArea" localSheetId="19" hidden="1">'16 - SNS exec fin'!$B$2:$F$46</definedName>
    <definedName name="Z_0C0AE94C_28F1_4FD2_A8FE_F417DD17C0C4_.wvu.PrintArea" localSheetId="20" hidden="1">'17 - Dív não Fin'!$B$2:$R$57</definedName>
    <definedName name="Z_0C0AE94C_28F1_4FD2_A8FE_F417DD17C0C4_.wvu.PrintArea" localSheetId="21" hidden="1">'18 - CGA Ind'!$B$2:$O$412</definedName>
    <definedName name="Z_0C0AE94C_28F1_4FD2_A8FE_F417DD17C0C4_.wvu.PrintArea" localSheetId="23" hidden="1">'20 - Estimativas'!$B$2:$C$43</definedName>
    <definedName name="Z_0C0AE94C_28F1_4FD2_A8FE_F417DD17C0C4_.wvu.PrintArea" localSheetId="7" hidden="1">'4 - Conta AC + SS'!$B$2:$J$67</definedName>
    <definedName name="Z_0C0AE94C_28F1_4FD2_A8FE_F417DD17C0C4_.wvu.PrintArea" localSheetId="9" hidden="1">'6 - Estado'!$B$2:$C$73</definedName>
    <definedName name="Z_0C0AE94C_28F1_4FD2_A8FE_F417DD17C0C4_.wvu.PrintArea" localSheetId="10" hidden="1">'7 - R_Est'!$B$2:$J$74</definedName>
    <definedName name="Z_0C0AE94C_28F1_4FD2_A8FE_F417DD17C0C4_.wvu.PrintArea" localSheetId="11" hidden="1">'8 - SFA'!$B$2:$J$95</definedName>
    <definedName name="Z_0C0AE94C_28F1_4FD2_A8FE_F417DD17C0C4_.wvu.PrintArea" localSheetId="12" hidden="1">'9 - EPR'!$B$2:$J$88</definedName>
    <definedName name="Z_0C0AE94C_28F1_4FD2_A8FE_F417DD17C0C4_.wvu.PrintArea" localSheetId="1" hidden="1">Indice_index!$B$3:$C$15,Indice_index!$B$16:$C$30</definedName>
    <definedName name="Z_0C0AE94C_28F1_4FD2_A8FE_F417DD17C0C4_.wvu.PrintArea" localSheetId="5" hidden="1">'Síntese Global'!$B$2:$N$4</definedName>
    <definedName name="Z_0C0AE94C_28F1_4FD2_A8FE_F417DD17C0C4_.wvu.PrintTitles" localSheetId="13" hidden="1">'10 - CGA'!$3:$5</definedName>
    <definedName name="Z_0C0AE94C_28F1_4FD2_A8FE_F417DD17C0C4_.wvu.Rows" localSheetId="1" hidden="1">Indice_index!#REF!</definedName>
    <definedName name="Z_10FD759A_8A85_4017_A8F8_793D381065B1_.wvu.Cols" localSheetId="8" hidden="1">'5 - Conta AC'!#REF!</definedName>
    <definedName name="Z_10FD759A_8A85_4017_A8F8_793D381065B1_.wvu.PrintArea" localSheetId="8" hidden="1">'5 - Conta AC'!$B$1:$H$57</definedName>
    <definedName name="Z_10FD759A_8A85_4017_A8F8_793D381065B1_.wvu.Rows" localSheetId="8" hidden="1">'5 - Conta AC'!#REF!</definedName>
    <definedName name="Z_19106D81_6880_4D7D_8D85_B19D0F8C539E_.wvu.FilterData" localSheetId="5" hidden="1">'Síntese Global'!#REF!</definedName>
    <definedName name="Z_1C59E64B_D7DD_4910_B456_1656811B6186_.wvu.PrintArea" localSheetId="8" hidden="1">'5 - Conta AC'!$B$1:$H$57</definedName>
    <definedName name="Z_1C59E64B_D7DD_4910_B456_1656811B6186_.wvu.Rows" localSheetId="8" hidden="1">'5 - Conta AC'!#REF!</definedName>
    <definedName name="Z_1C8A8EBD_B8E0_4A0A_BA98_B49A8F68A81D_.wvu.Cols" localSheetId="8" hidden="1">'5 - Conta AC'!#REF!</definedName>
    <definedName name="Z_1C8A8EBD_B8E0_4A0A_BA98_B49A8F68A81D_.wvu.PrintArea" localSheetId="8" hidden="1">'5 - Conta AC'!$B$1:$H$57</definedName>
    <definedName name="Z_1C8A8EBD_B8E0_4A0A_BA98_B49A8F68A81D_.wvu.Rows" localSheetId="8" hidden="1">'5 - Conta AC'!#REF!</definedName>
    <definedName name="Z_2C619B4E_8281_44A7_B391_DA0103A39A2A_.wvu.FilterData" localSheetId="5" hidden="1">'Síntese Global'!#REF!</definedName>
    <definedName name="Z_2EA2D52B_13B2_48C6_A647_E974628AB287_.wvu.Cols" localSheetId="14" hidden="1">'11 - SS'!#REF!</definedName>
    <definedName name="Z_2EA2D52B_13B2_48C6_A647_E974628AB287_.wvu.Cols" localSheetId="20" hidden="1">'17 - Dív não Fin'!$AB:$AD</definedName>
    <definedName name="Z_2EA2D52B_13B2_48C6_A647_E974628AB287_.wvu.Cols" localSheetId="9" hidden="1">'6 - Estado'!#REF!</definedName>
    <definedName name="Z_2EA2D52B_13B2_48C6_A647_E974628AB287_.wvu.Cols" localSheetId="10" hidden="1">'7 - R_Est'!#REF!</definedName>
    <definedName name="Z_2EA2D52B_13B2_48C6_A647_E974628AB287_.wvu.Cols" localSheetId="11" hidden="1">'8 - SFA'!#REF!</definedName>
    <definedName name="Z_2EA2D52B_13B2_48C6_A647_E974628AB287_.wvu.Cols" localSheetId="12" hidden="1">'9 - EPR'!#REF!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CGA'!$B$2:$J$52</definedName>
    <definedName name="Z_2EA2D52B_13B2_48C6_A647_E974628AB287_.wvu.PrintArea" localSheetId="14" hidden="1">'11 - SS'!$B$2:$G$74</definedName>
    <definedName name="Z_2EA2D52B_13B2_48C6_A647_E974628AB287_.wvu.PrintArea" localSheetId="16" hidden="1">'13 - Adm R'!#REF!</definedName>
    <definedName name="Z_2EA2D52B_13B2_48C6_A647_E974628AB287_.wvu.PrintArea" localSheetId="17" hidden="1">'14 - Adm Loc'!#REF!</definedName>
    <definedName name="Z_2EA2D52B_13B2_48C6_A647_E974628AB287_.wvu.PrintArea" localSheetId="19" hidden="1">'16 - SNS exec fin'!$B$2:$F$46</definedName>
    <definedName name="Z_2EA2D52B_13B2_48C6_A647_E974628AB287_.wvu.PrintArea" localSheetId="20" hidden="1">'17 - Dív não Fin'!$B$2:$R$32</definedName>
    <definedName name="Z_2EA2D52B_13B2_48C6_A647_E974628AB287_.wvu.PrintArea" localSheetId="21" hidden="1">'18 - CGA Ind'!$B$2:$O$412</definedName>
    <definedName name="Z_2EA2D52B_13B2_48C6_A647_E974628AB287_.wvu.PrintArea" localSheetId="23" hidden="1">'20 - Estimativas'!$B$2:$C$43</definedName>
    <definedName name="Z_2EA2D52B_13B2_48C6_A647_E974628AB287_.wvu.PrintArea" localSheetId="7" hidden="1">'4 - Conta AC + SS'!$B$1:$C$59</definedName>
    <definedName name="Z_2EA2D52B_13B2_48C6_A647_E974628AB287_.wvu.PrintArea" localSheetId="9" hidden="1">'6 - Estado'!$C$2:$C$73</definedName>
    <definedName name="Z_2EA2D52B_13B2_48C6_A647_E974628AB287_.wvu.PrintArea" localSheetId="10" hidden="1">'7 - R_Est'!$B$2:$J$72</definedName>
    <definedName name="Z_2EA2D52B_13B2_48C6_A647_E974628AB287_.wvu.PrintArea" localSheetId="11" hidden="1">'8 - SFA'!$C$2:$J$96</definedName>
    <definedName name="Z_2EA2D52B_13B2_48C6_A647_E974628AB287_.wvu.PrintArea" localSheetId="12" hidden="1">'9 - EPR'!$C$2:$J$88</definedName>
    <definedName name="Z_2EA2D52B_13B2_48C6_A647_E974628AB287_.wvu.PrintArea" localSheetId="1" hidden="1">Indice_index!$B$3:$C$15</definedName>
    <definedName name="Z_2EA2D52B_13B2_48C6_A647_E974628AB287_.wvu.PrintArea" localSheetId="5" hidden="1">'Síntese Global'!$B$2:$N$4</definedName>
    <definedName name="Z_2EA2D52B_13B2_48C6_A647_E974628AB287_.wvu.PrintTitles" localSheetId="13" hidden="1">'10 - CGA'!$3:$5</definedName>
    <definedName name="Z_2EA2D52B_13B2_48C6_A647_E974628AB287_.wvu.Rows" localSheetId="5" hidden="1">'Síntese Global'!#REF!</definedName>
    <definedName name="Z_2EBFBD63_3DBA_47FE_A87E_4C36399951BD_.wvu.PrintArea" localSheetId="13" hidden="1">'10 - CGA'!$C$3:$I$51</definedName>
    <definedName name="Z_2EBFBD63_3DBA_47FE_A87E_4C36399951BD_.wvu.PrintTitles" localSheetId="13" hidden="1">'10 - CGA'!$3:$5</definedName>
    <definedName name="Z_2EBFBD63_3DBA_47FE_A87E_4C36399951BD_.wvu.Rows" localSheetId="13" hidden="1">'10 - CGA'!#REF!</definedName>
    <definedName name="Z_32EFB476_A129_4F81_99B1_D66A28D18CC4_.wvu.FilterData" localSheetId="5" hidden="1">'Síntese Global'!#REF!</definedName>
    <definedName name="Z_397AD331_8EE9_49A3_85C5_CAAF9519E963_.wvu.Cols" localSheetId="14" hidden="1">'11 - SS'!#REF!</definedName>
    <definedName name="Z_397AD331_8EE9_49A3_85C5_CAAF9519E963_.wvu.Cols" localSheetId="20" hidden="1">'17 - Dív não Fin'!$AB:$AD</definedName>
    <definedName name="Z_397AD331_8EE9_49A3_85C5_CAAF9519E963_.wvu.Cols" localSheetId="9" hidden="1">'6 - Estado'!#REF!</definedName>
    <definedName name="Z_397AD331_8EE9_49A3_85C5_CAAF9519E963_.wvu.Cols" localSheetId="10" hidden="1">'7 - R_Est'!#REF!</definedName>
    <definedName name="Z_397AD331_8EE9_49A3_85C5_CAAF9519E963_.wvu.Cols" localSheetId="11" hidden="1">'8 - SFA'!#REF!</definedName>
    <definedName name="Z_397AD331_8EE9_49A3_85C5_CAAF9519E963_.wvu.Cols" localSheetId="12" hidden="1">'9 - EPR'!#REF!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CGA'!$B$2:$J$52</definedName>
    <definedName name="Z_397AD331_8EE9_49A3_85C5_CAAF9519E963_.wvu.PrintArea" localSheetId="14" hidden="1">'11 - SS'!$B$2:$G$74</definedName>
    <definedName name="Z_397AD331_8EE9_49A3_85C5_CAAF9519E963_.wvu.PrintArea" localSheetId="16" hidden="1">'13 - Adm R'!#REF!</definedName>
    <definedName name="Z_397AD331_8EE9_49A3_85C5_CAAF9519E963_.wvu.PrintArea" localSheetId="17" hidden="1">'14 - Adm Loc'!#REF!</definedName>
    <definedName name="Z_397AD331_8EE9_49A3_85C5_CAAF9519E963_.wvu.PrintArea" localSheetId="19" hidden="1">'16 - SNS exec fin'!$B$2:$F$46</definedName>
    <definedName name="Z_397AD331_8EE9_49A3_85C5_CAAF9519E963_.wvu.PrintArea" localSheetId="20" hidden="1">'17 - Dív não Fin'!$B$2:$R$32</definedName>
    <definedName name="Z_397AD331_8EE9_49A3_85C5_CAAF9519E963_.wvu.PrintArea" localSheetId="21" hidden="1">'18 - CGA Ind'!$B$2:$O$412</definedName>
    <definedName name="Z_397AD331_8EE9_49A3_85C5_CAAF9519E963_.wvu.PrintArea" localSheetId="23" hidden="1">'20 - Estimativas'!$B$2:$C$43</definedName>
    <definedName name="Z_397AD331_8EE9_49A3_85C5_CAAF9519E963_.wvu.PrintArea" localSheetId="7" hidden="1">'4 - Conta AC + SS'!$B$1:$C$59</definedName>
    <definedName name="Z_397AD331_8EE9_49A3_85C5_CAAF9519E963_.wvu.PrintArea" localSheetId="9" hidden="1">'6 - Estado'!$C$2:$C$73</definedName>
    <definedName name="Z_397AD331_8EE9_49A3_85C5_CAAF9519E963_.wvu.PrintArea" localSheetId="10" hidden="1">'7 - R_Est'!$B$2:$J$72</definedName>
    <definedName name="Z_397AD331_8EE9_49A3_85C5_CAAF9519E963_.wvu.PrintArea" localSheetId="11" hidden="1">'8 - SFA'!$C$2:$J$96</definedName>
    <definedName name="Z_397AD331_8EE9_49A3_85C5_CAAF9519E963_.wvu.PrintArea" localSheetId="12" hidden="1">'9 - EPR'!$C$2:$J$88</definedName>
    <definedName name="Z_397AD331_8EE9_49A3_85C5_CAAF9519E963_.wvu.PrintArea" localSheetId="1" hidden="1">Indice_index!$B$3:$C$15</definedName>
    <definedName name="Z_397AD331_8EE9_49A3_85C5_CAAF9519E963_.wvu.PrintArea" localSheetId="5" hidden="1">'Síntese Global'!$B$2:$N$4</definedName>
    <definedName name="Z_397AD331_8EE9_49A3_85C5_CAAF9519E963_.wvu.PrintTitles" localSheetId="13" hidden="1">'10 - CGA'!$3:$5</definedName>
    <definedName name="Z_3CBF401B_BA90_4504_A812_4461208B2AAF_.wvu.Cols" localSheetId="14" hidden="1">'11 - SS'!#REF!</definedName>
    <definedName name="Z_3CBF401B_BA90_4504_A812_4461208B2AAF_.wvu.Cols" localSheetId="20" hidden="1">'17 - Dív não Fin'!$AB:$AD</definedName>
    <definedName name="Z_3CBF401B_BA90_4504_A812_4461208B2AAF_.wvu.Cols" localSheetId="9" hidden="1">'6 - Estado'!#REF!,'6 - Estado'!#REF!</definedName>
    <definedName name="Z_3CBF401B_BA90_4504_A812_4461208B2AAF_.wvu.Cols" localSheetId="10" hidden="1">'7 - R_Est'!#REF!</definedName>
    <definedName name="Z_3CBF401B_BA90_4504_A812_4461208B2AAF_.wvu.Cols" localSheetId="11" hidden="1">'8 - SFA'!#REF!,'8 - SFA'!#REF!</definedName>
    <definedName name="Z_3CBF401B_BA90_4504_A812_4461208B2AAF_.wvu.Cols" localSheetId="12" hidden="1">'9 - EPR'!#REF!,'9 - EPR'!#REF!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CGA'!$B$2:$J$52</definedName>
    <definedName name="Z_3CBF401B_BA90_4504_A812_4461208B2AAF_.wvu.PrintArea" localSheetId="14" hidden="1">'11 - SS'!$B$2:$G$74</definedName>
    <definedName name="Z_3CBF401B_BA90_4504_A812_4461208B2AAF_.wvu.PrintArea" localSheetId="16" hidden="1">'13 - Adm R'!#REF!</definedName>
    <definedName name="Z_3CBF401B_BA90_4504_A812_4461208B2AAF_.wvu.PrintArea" localSheetId="17" hidden="1">'14 - Adm Loc'!#REF!</definedName>
    <definedName name="Z_3CBF401B_BA90_4504_A812_4461208B2AAF_.wvu.PrintArea" localSheetId="19" hidden="1">'16 - SNS exec fin'!$B$2:$F$46</definedName>
    <definedName name="Z_3CBF401B_BA90_4504_A812_4461208B2AAF_.wvu.PrintArea" localSheetId="20" hidden="1">'17 - Dív não Fin'!$B$2:$R$57</definedName>
    <definedName name="Z_3CBF401B_BA90_4504_A812_4461208B2AAF_.wvu.PrintArea" localSheetId="21" hidden="1">'18 - CGA Ind'!$B$2:$O$412</definedName>
    <definedName name="Z_3CBF401B_BA90_4504_A812_4461208B2AAF_.wvu.PrintArea" localSheetId="23" hidden="1">'20 - Estimativas'!$B$2:$C$43</definedName>
    <definedName name="Z_3CBF401B_BA90_4504_A812_4461208B2AAF_.wvu.PrintArea" localSheetId="7" hidden="1">'4 - Conta AC + SS'!$B$2:$J$67</definedName>
    <definedName name="Z_3CBF401B_BA90_4504_A812_4461208B2AAF_.wvu.PrintArea" localSheetId="9" hidden="1">'6 - Estado'!$B$2:$C$73</definedName>
    <definedName name="Z_3CBF401B_BA90_4504_A812_4461208B2AAF_.wvu.PrintArea" localSheetId="10" hidden="1">'7 - R_Est'!$B$2:$J$72</definedName>
    <definedName name="Z_3CBF401B_BA90_4504_A812_4461208B2AAF_.wvu.PrintArea" localSheetId="11" hidden="1">'8 - SFA'!$B$2:$J$95</definedName>
    <definedName name="Z_3CBF401B_BA90_4504_A812_4461208B2AAF_.wvu.PrintArea" localSheetId="12" hidden="1">'9 - EPR'!$B$2:$J$88</definedName>
    <definedName name="Z_3CBF401B_BA90_4504_A812_4461208B2AAF_.wvu.PrintArea" localSheetId="1" hidden="1">Indice_index!$B$3:$C$15,Indice_index!$B$16:$C$30</definedName>
    <definedName name="Z_3CBF401B_BA90_4504_A812_4461208B2AAF_.wvu.PrintArea" localSheetId="5" hidden="1">'Síntese Global'!$B$2:$N$4</definedName>
    <definedName name="Z_3CBF401B_BA90_4504_A812_4461208B2AAF_.wvu.PrintTitles" localSheetId="13" hidden="1">'10 - CGA'!$3:$5</definedName>
    <definedName name="Z_409D0809_DA86_4C14_803D_2162A19A44FF_.wvu.Cols" localSheetId="20" hidden="1">'17 - Dív não Fin'!$AB:$AD</definedName>
    <definedName name="Z_409D0809_DA86_4C14_803D_2162A19A44FF_.wvu.Cols" localSheetId="10" hidden="1">'7 -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CGA'!$B$2:$J$52</definedName>
    <definedName name="Z_409D0809_DA86_4C14_803D_2162A19A44FF_.wvu.PrintArea" localSheetId="14" hidden="1">'11 - SS'!$B$2:$G$75</definedName>
    <definedName name="Z_409D0809_DA86_4C14_803D_2162A19A44FF_.wvu.PrintArea" localSheetId="16" hidden="1">'13 - Adm R'!#REF!</definedName>
    <definedName name="Z_409D0809_DA86_4C14_803D_2162A19A44FF_.wvu.PrintArea" localSheetId="17" hidden="1">'14 - Adm Loc'!#REF!</definedName>
    <definedName name="Z_409D0809_DA86_4C14_803D_2162A19A44FF_.wvu.PrintArea" localSheetId="19" hidden="1">'16 - SNS exec fin'!$B$2:$F$46</definedName>
    <definedName name="Z_409D0809_DA86_4C14_803D_2162A19A44FF_.wvu.PrintArea" localSheetId="20" hidden="1">'17 - Dív não Fin'!$B$2:$R$57</definedName>
    <definedName name="Z_409D0809_DA86_4C14_803D_2162A19A44FF_.wvu.PrintArea" localSheetId="21" hidden="1">'18 - CGA Ind'!$B$2:$O$412</definedName>
    <definedName name="Z_409D0809_DA86_4C14_803D_2162A19A44FF_.wvu.PrintArea" localSheetId="23" hidden="1">'20 - Estimativas'!$B$2:$C$43</definedName>
    <definedName name="Z_409D0809_DA86_4C14_803D_2162A19A44FF_.wvu.PrintArea" localSheetId="7" hidden="1">'4 - Conta AC + SS'!$B$1:$J$67</definedName>
    <definedName name="Z_409D0809_DA86_4C14_803D_2162A19A44FF_.wvu.PrintArea" localSheetId="9" hidden="1">'6 - Estado'!$C$2:$C$73</definedName>
    <definedName name="Z_409D0809_DA86_4C14_803D_2162A19A44FF_.wvu.PrintArea" localSheetId="10" hidden="1">'7 - R_Est'!$B$2:$J$74</definedName>
    <definedName name="Z_409D0809_DA86_4C14_803D_2162A19A44FF_.wvu.PrintArea" localSheetId="11" hidden="1">'8 - SFA'!$C$2:$J$87</definedName>
    <definedName name="Z_409D0809_DA86_4C14_803D_2162A19A44FF_.wvu.PrintArea" localSheetId="12" hidden="1">'9 - EPR'!$C$2:$J$88</definedName>
    <definedName name="Z_409D0809_DA86_4C14_803D_2162A19A44FF_.wvu.PrintArea" localSheetId="1" hidden="1">Indice_index!$B$3:$C$15</definedName>
    <definedName name="Z_409D0809_DA86_4C14_803D_2162A19A44FF_.wvu.PrintArea" localSheetId="5" hidden="1">'Síntese Global'!$B$2:$N$4</definedName>
    <definedName name="Z_409D0809_DA86_4C14_803D_2162A19A44FF_.wvu.PrintTitles" localSheetId="13" hidden="1">'10 - CGA'!$3:$5</definedName>
    <definedName name="Z_409D0809_DA86_4C14_803D_2162A19A44FF_.wvu.Rows" localSheetId="5" hidden="1">'Síntese Global'!#REF!</definedName>
    <definedName name="Z_43AB44CB_B133_4B3C_9B24_AA3B4A5A58A7_.wvu.Cols" localSheetId="20" hidden="1">'17 - Dív não Fin'!$AB:$AD</definedName>
    <definedName name="Z_43AB44CB_B133_4B3C_9B24_AA3B4A5A58A7_.wvu.Cols" localSheetId="9" hidden="1">'6 - Estado'!#REF!</definedName>
    <definedName name="Z_43AB44CB_B133_4B3C_9B24_AA3B4A5A58A7_.wvu.Cols" localSheetId="10" hidden="1">'7 - R_Est'!#REF!</definedName>
    <definedName name="Z_43AB44CB_B133_4B3C_9B24_AA3B4A5A58A7_.wvu.Cols" localSheetId="11" hidden="1">'8 - SFA'!#REF!</definedName>
    <definedName name="Z_43AB44CB_B133_4B3C_9B24_AA3B4A5A58A7_.wvu.Cols" localSheetId="12" hidden="1">'9 - EPR'!#REF!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CGA'!$B$2:$J$52</definedName>
    <definedName name="Z_43AB44CB_B133_4B3C_9B24_AA3B4A5A58A7_.wvu.PrintArea" localSheetId="14" hidden="1">'11 - SS'!$B$2:$G$74</definedName>
    <definedName name="Z_43AB44CB_B133_4B3C_9B24_AA3B4A5A58A7_.wvu.PrintArea" localSheetId="16" hidden="1">'13 - Adm R'!#REF!</definedName>
    <definedName name="Z_43AB44CB_B133_4B3C_9B24_AA3B4A5A58A7_.wvu.PrintArea" localSheetId="17" hidden="1">'14 - Adm Loc'!#REF!</definedName>
    <definedName name="Z_43AB44CB_B133_4B3C_9B24_AA3B4A5A58A7_.wvu.PrintArea" localSheetId="19" hidden="1">'16 - SNS exec fin'!$B$2:$F$46</definedName>
    <definedName name="Z_43AB44CB_B133_4B3C_9B24_AA3B4A5A58A7_.wvu.PrintArea" localSheetId="20" hidden="1">'17 - Dív não Fin'!$B$2:$R$57</definedName>
    <definedName name="Z_43AB44CB_B133_4B3C_9B24_AA3B4A5A58A7_.wvu.PrintArea" localSheetId="21" hidden="1">'18 - CGA Ind'!$B$2:$O$412</definedName>
    <definedName name="Z_43AB44CB_B133_4B3C_9B24_AA3B4A5A58A7_.wvu.PrintArea" localSheetId="23" hidden="1">'20 - Estimativas'!$B$2:$C$43</definedName>
    <definedName name="Z_43AB44CB_B133_4B3C_9B24_AA3B4A5A58A7_.wvu.PrintArea" localSheetId="7" hidden="1">'4 - Conta AC + SS'!$B$1:$J$67</definedName>
    <definedName name="Z_43AB44CB_B133_4B3C_9B24_AA3B4A5A58A7_.wvu.PrintArea" localSheetId="9" hidden="1">'6 - Estado'!$C$2:$C$73</definedName>
    <definedName name="Z_43AB44CB_B133_4B3C_9B24_AA3B4A5A58A7_.wvu.PrintArea" localSheetId="10" hidden="1">'7 - R_Est'!$B$2:$J$74</definedName>
    <definedName name="Z_43AB44CB_B133_4B3C_9B24_AA3B4A5A58A7_.wvu.PrintArea" localSheetId="11" hidden="1">'8 - SFA'!$C$2:$J$87</definedName>
    <definedName name="Z_43AB44CB_B133_4B3C_9B24_AA3B4A5A58A7_.wvu.PrintArea" localSheetId="12" hidden="1">'9 - EPR'!$C$2:$J$88</definedName>
    <definedName name="Z_43AB44CB_B133_4B3C_9B24_AA3B4A5A58A7_.wvu.PrintArea" localSheetId="1" hidden="1">Indice_index!$B$3:$C$15</definedName>
    <definedName name="Z_43AB44CB_B133_4B3C_9B24_AA3B4A5A58A7_.wvu.PrintArea" localSheetId="5" hidden="1">'Síntese Global'!$B$2:$N$4</definedName>
    <definedName name="Z_43AB44CB_B133_4B3C_9B24_AA3B4A5A58A7_.wvu.PrintTitles" localSheetId="13" hidden="1">'10 -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4" hidden="1">'11 - SS'!#REF!</definedName>
    <definedName name="Z_536C31F2_3B98_44EC_AFD0_C5BCDB62B873_.wvu.Cols" localSheetId="20" hidden="1">'17 - Dív não Fin'!$AB:$AD</definedName>
    <definedName name="Z_536C31F2_3B98_44EC_AFD0_C5BCDB62B873_.wvu.Cols" localSheetId="9" hidden="1">'6 - Estado'!#REF!</definedName>
    <definedName name="Z_536C31F2_3B98_44EC_AFD0_C5BCDB62B873_.wvu.Cols" localSheetId="10" hidden="1">'7 - R_Est'!#REF!</definedName>
    <definedName name="Z_536C31F2_3B98_44EC_AFD0_C5BCDB62B873_.wvu.Cols" localSheetId="11" hidden="1">'8 - SFA'!#REF!</definedName>
    <definedName name="Z_536C31F2_3B98_44EC_AFD0_C5BCDB62B873_.wvu.Cols" localSheetId="12" hidden="1">'9 - EPR'!#REF!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CGA'!$B$2:$J$52</definedName>
    <definedName name="Z_536C31F2_3B98_44EC_AFD0_C5BCDB62B873_.wvu.PrintArea" localSheetId="14" hidden="1">'11 - SS'!$B$2:$G$74</definedName>
    <definedName name="Z_536C31F2_3B98_44EC_AFD0_C5BCDB62B873_.wvu.PrintArea" localSheetId="16" hidden="1">'13 - Adm R'!#REF!</definedName>
    <definedName name="Z_536C31F2_3B98_44EC_AFD0_C5BCDB62B873_.wvu.PrintArea" localSheetId="17" hidden="1">'14 - Adm Loc'!#REF!</definedName>
    <definedName name="Z_536C31F2_3B98_44EC_AFD0_C5BCDB62B873_.wvu.PrintArea" localSheetId="19" hidden="1">'16 - SNS exec fin'!$B$2:$F$46</definedName>
    <definedName name="Z_536C31F2_3B98_44EC_AFD0_C5BCDB62B873_.wvu.PrintArea" localSheetId="20" hidden="1">'17 - Dív não Fin'!$B$2:$R$57</definedName>
    <definedName name="Z_536C31F2_3B98_44EC_AFD0_C5BCDB62B873_.wvu.PrintArea" localSheetId="21" hidden="1">'18 - CGA Ind'!$B$2:$O$412</definedName>
    <definedName name="Z_536C31F2_3B98_44EC_AFD0_C5BCDB62B873_.wvu.PrintArea" localSheetId="23" hidden="1">'20 - Estimativas'!$B$2:$C$43</definedName>
    <definedName name="Z_536C31F2_3B98_44EC_AFD0_C5BCDB62B873_.wvu.PrintArea" localSheetId="7" hidden="1">'4 - Conta AC + SS'!$B$1:$J$67</definedName>
    <definedName name="Z_536C31F2_3B98_44EC_AFD0_C5BCDB62B873_.wvu.PrintArea" localSheetId="9" hidden="1">'6 - Estado'!$C$2:$C$73</definedName>
    <definedName name="Z_536C31F2_3B98_44EC_AFD0_C5BCDB62B873_.wvu.PrintArea" localSheetId="10" hidden="1">'7 - R_Est'!$B$2:$J$74</definedName>
    <definedName name="Z_536C31F2_3B98_44EC_AFD0_C5BCDB62B873_.wvu.PrintArea" localSheetId="11" hidden="1">'8 - SFA'!$C$2:$J$87</definedName>
    <definedName name="Z_536C31F2_3B98_44EC_AFD0_C5BCDB62B873_.wvu.PrintArea" localSheetId="12" hidden="1">'9 - EPR'!$C$2:$J$88</definedName>
    <definedName name="Z_536C31F2_3B98_44EC_AFD0_C5BCDB62B873_.wvu.PrintArea" localSheetId="1" hidden="1">Indice_index!$B$3:$C$15</definedName>
    <definedName name="Z_536C31F2_3B98_44EC_AFD0_C5BCDB62B873_.wvu.PrintArea" localSheetId="5" hidden="1">'Síntese Global'!$B$2:$N$4</definedName>
    <definedName name="Z_536C31F2_3B98_44EC_AFD0_C5BCDB62B873_.wvu.PrintTitles" localSheetId="13" hidden="1">'10 -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4" hidden="1">'11 - SS'!#REF!</definedName>
    <definedName name="Z_60062E94_E9B0_4825_A812_182FE1DB6021_.wvu.Cols" localSheetId="20" hidden="1">'17 - Dív não Fin'!$AB:$AD</definedName>
    <definedName name="Z_60062E94_E9B0_4825_A812_182FE1DB6021_.wvu.Cols" localSheetId="9" hidden="1">'6 - Estado'!#REF!</definedName>
    <definedName name="Z_60062E94_E9B0_4825_A812_182FE1DB6021_.wvu.Cols" localSheetId="10" hidden="1">'7 - R_Est'!#REF!</definedName>
    <definedName name="Z_60062E94_E9B0_4825_A812_182FE1DB6021_.wvu.Cols" localSheetId="11" hidden="1">'8 - SFA'!#REF!</definedName>
    <definedName name="Z_60062E94_E9B0_4825_A812_182FE1DB6021_.wvu.Cols" localSheetId="12" hidden="1">'9 - EPR'!#REF!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CGA'!$B$2:$J$52</definedName>
    <definedName name="Z_60062E94_E9B0_4825_A812_182FE1DB6021_.wvu.PrintArea" localSheetId="14" hidden="1">'11 - SS'!$B$2:$G$74</definedName>
    <definedName name="Z_60062E94_E9B0_4825_A812_182FE1DB6021_.wvu.PrintArea" localSheetId="16" hidden="1">'13 - Adm R'!#REF!</definedName>
    <definedName name="Z_60062E94_E9B0_4825_A812_182FE1DB6021_.wvu.PrintArea" localSheetId="17" hidden="1">'14 - Adm Loc'!#REF!</definedName>
    <definedName name="Z_60062E94_E9B0_4825_A812_182FE1DB6021_.wvu.PrintArea" localSheetId="19" hidden="1">'16 - SNS exec fin'!$B$2:$F$46</definedName>
    <definedName name="Z_60062E94_E9B0_4825_A812_182FE1DB6021_.wvu.PrintArea" localSheetId="20" hidden="1">'17 - Dív não Fin'!$B$2:$R$32</definedName>
    <definedName name="Z_60062E94_E9B0_4825_A812_182FE1DB6021_.wvu.PrintArea" localSheetId="21" hidden="1">'18 - CGA Ind'!$B$2:$O$412</definedName>
    <definedName name="Z_60062E94_E9B0_4825_A812_182FE1DB6021_.wvu.PrintArea" localSheetId="23" hidden="1">'20 - Estimativas'!$B$2:$C$43</definedName>
    <definedName name="Z_60062E94_E9B0_4825_A812_182FE1DB6021_.wvu.PrintArea" localSheetId="7" hidden="1">'4 - Conta AC + SS'!$B$1:$J$68</definedName>
    <definedName name="Z_60062E94_E9B0_4825_A812_182FE1DB6021_.wvu.PrintArea" localSheetId="9" hidden="1">'6 - Estado'!$C$2:$C$73</definedName>
    <definedName name="Z_60062E94_E9B0_4825_A812_182FE1DB6021_.wvu.PrintArea" localSheetId="10" hidden="1">'7 - R_Est'!$B$2:$J$72</definedName>
    <definedName name="Z_60062E94_E9B0_4825_A812_182FE1DB6021_.wvu.PrintArea" localSheetId="11" hidden="1">'8 - SFA'!$C$2:$J$96</definedName>
    <definedName name="Z_60062E94_E9B0_4825_A812_182FE1DB6021_.wvu.PrintArea" localSheetId="12" hidden="1">'9 - EPR'!$C$2:$J$88</definedName>
    <definedName name="Z_60062E94_E9B0_4825_A812_182FE1DB6021_.wvu.PrintArea" localSheetId="1" hidden="1">Indice_index!$B$3:$C$15</definedName>
    <definedName name="Z_60062E94_E9B0_4825_A812_182FE1DB6021_.wvu.PrintArea" localSheetId="5" hidden="1">'Síntese Global'!$B$2:$N$4</definedName>
    <definedName name="Z_60062E94_E9B0_4825_A812_182FE1DB6021_.wvu.PrintTitles" localSheetId="13" hidden="1">'10 -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8" hidden="1">'5 - Conta AC'!#REF!</definedName>
    <definedName name="Z_68B2539D_0201_40E8_9D65_194898562BC8_.wvu.PrintArea" localSheetId="8" hidden="1">'5 - Conta AC'!$B$1:$H$57</definedName>
    <definedName name="Z_68B2539D_0201_40E8_9D65_194898562BC8_.wvu.Rows" localSheetId="8" hidden="1">'5 - Conta AC'!#REF!</definedName>
    <definedName name="Z_7C9CF15C_1C68_49F7_9700_3FAC67AFF208_.wvu.Cols" localSheetId="14" hidden="1">'11 - SS'!#REF!</definedName>
    <definedName name="Z_7C9CF15C_1C68_49F7_9700_3FAC67AFF208_.wvu.Cols" localSheetId="20" hidden="1">'17 - Dív não Fin'!$AB:$AD</definedName>
    <definedName name="Z_7C9CF15C_1C68_49F7_9700_3FAC67AFF208_.wvu.Cols" localSheetId="9" hidden="1">'6 - Estado'!#REF!,'6 - Estado'!#REF!</definedName>
    <definedName name="Z_7C9CF15C_1C68_49F7_9700_3FAC67AFF208_.wvu.Cols" localSheetId="10" hidden="1">'7 - R_Est'!#REF!</definedName>
    <definedName name="Z_7C9CF15C_1C68_49F7_9700_3FAC67AFF208_.wvu.Cols" localSheetId="11" hidden="1">'8 - SFA'!#REF!,'8 - SFA'!#REF!</definedName>
    <definedName name="Z_7C9CF15C_1C68_49F7_9700_3FAC67AFF208_.wvu.Cols" localSheetId="12" hidden="1">'9 - EPR'!#REF!,'9 - EPR'!#REF!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CGA'!$B$2:$J$52</definedName>
    <definedName name="Z_7C9CF15C_1C68_49F7_9700_3FAC67AFF208_.wvu.PrintArea" localSheetId="14" hidden="1">'11 - SS'!$B$2:$G$74</definedName>
    <definedName name="Z_7C9CF15C_1C68_49F7_9700_3FAC67AFF208_.wvu.PrintArea" localSheetId="16" hidden="1">'13 - Adm R'!#REF!</definedName>
    <definedName name="Z_7C9CF15C_1C68_49F7_9700_3FAC67AFF208_.wvu.PrintArea" localSheetId="17" hidden="1">'14 - Adm Loc'!#REF!</definedName>
    <definedName name="Z_7C9CF15C_1C68_49F7_9700_3FAC67AFF208_.wvu.PrintArea" localSheetId="19" hidden="1">'16 - SNS exec fin'!$B$2:$F$46</definedName>
    <definedName name="Z_7C9CF15C_1C68_49F7_9700_3FAC67AFF208_.wvu.PrintArea" localSheetId="20" hidden="1">'17 - Dív não Fin'!$B$2:$R$32</definedName>
    <definedName name="Z_7C9CF15C_1C68_49F7_9700_3FAC67AFF208_.wvu.PrintArea" localSheetId="21" hidden="1">'18 - CGA Ind'!$B$2:$O$412</definedName>
    <definedName name="Z_7C9CF15C_1C68_49F7_9700_3FAC67AFF208_.wvu.PrintArea" localSheetId="23" hidden="1">'20 - Estimativas'!$B$2:$C$43</definedName>
    <definedName name="Z_7C9CF15C_1C68_49F7_9700_3FAC67AFF208_.wvu.PrintArea" localSheetId="7" hidden="1">'4 - Conta AC + SS'!$B$1:$J$62</definedName>
    <definedName name="Z_7C9CF15C_1C68_49F7_9700_3FAC67AFF208_.wvu.PrintArea" localSheetId="9" hidden="1">'6 - Estado'!$C$2:$C$73</definedName>
    <definedName name="Z_7C9CF15C_1C68_49F7_9700_3FAC67AFF208_.wvu.PrintArea" localSheetId="10" hidden="1">'7 - R_Est'!$B$2:$J$72</definedName>
    <definedName name="Z_7C9CF15C_1C68_49F7_9700_3FAC67AFF208_.wvu.PrintArea" localSheetId="11" hidden="1">'8 - SFA'!$C$2:$J$96</definedName>
    <definedName name="Z_7C9CF15C_1C68_49F7_9700_3FAC67AFF208_.wvu.PrintArea" localSheetId="12" hidden="1">'9 - EPR'!$C$2:$J$88</definedName>
    <definedName name="Z_7C9CF15C_1C68_49F7_9700_3FAC67AFF208_.wvu.PrintArea" localSheetId="1" hidden="1">Indice_index!$B$3:$C$15</definedName>
    <definedName name="Z_7C9CF15C_1C68_49F7_9700_3FAC67AFF208_.wvu.PrintArea" localSheetId="5" hidden="1">'Síntese Global'!$B$2:$N$4</definedName>
    <definedName name="Z_7C9CF15C_1C68_49F7_9700_3FAC67AFF208_.wvu.PrintTitles" localSheetId="13" hidden="1">'10 -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20" hidden="1">'17 - Dív não Fin'!$AB:$AD</definedName>
    <definedName name="Z_9177A1FF_E4C8_4A1B_B90F_C92196CC7C57_.wvu.Cols" localSheetId="9" hidden="1">'6 - Estado'!#REF!</definedName>
    <definedName name="Z_9177A1FF_E4C8_4A1B_B90F_C92196CC7C57_.wvu.Cols" localSheetId="10" hidden="1">'7 - R_Est'!#REF!</definedName>
    <definedName name="Z_9177A1FF_E4C8_4A1B_B90F_C92196CC7C57_.wvu.Cols" localSheetId="11" hidden="1">'8 - SFA'!#REF!</definedName>
    <definedName name="Z_9177A1FF_E4C8_4A1B_B90F_C92196CC7C57_.wvu.Cols" localSheetId="12" hidden="1">'9 - EPR'!#REF!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CGA'!$B$2:$J$52</definedName>
    <definedName name="Z_9177A1FF_E4C8_4A1B_B90F_C92196CC7C57_.wvu.PrintArea" localSheetId="14" hidden="1">'11 - SS'!$B$2:$G$74</definedName>
    <definedName name="Z_9177A1FF_E4C8_4A1B_B90F_C92196CC7C57_.wvu.PrintArea" localSheetId="16" hidden="1">'13 - Adm R'!#REF!</definedName>
    <definedName name="Z_9177A1FF_E4C8_4A1B_B90F_C92196CC7C57_.wvu.PrintArea" localSheetId="17" hidden="1">'14 - Adm Loc'!#REF!</definedName>
    <definedName name="Z_9177A1FF_E4C8_4A1B_B90F_C92196CC7C57_.wvu.PrintArea" localSheetId="19" hidden="1">'16 - SNS exec fin'!$B$2:$F$46</definedName>
    <definedName name="Z_9177A1FF_E4C8_4A1B_B90F_C92196CC7C57_.wvu.PrintArea" localSheetId="20" hidden="1">'17 - Dív não Fin'!$B$2:$R$57</definedName>
    <definedName name="Z_9177A1FF_E4C8_4A1B_B90F_C92196CC7C57_.wvu.PrintArea" localSheetId="21" hidden="1">'18 - CGA Ind'!$B$2:$O$412</definedName>
    <definedName name="Z_9177A1FF_E4C8_4A1B_B90F_C92196CC7C57_.wvu.PrintArea" localSheetId="23" hidden="1">'20 - Estimativas'!$B$2:$C$43</definedName>
    <definedName name="Z_9177A1FF_E4C8_4A1B_B90F_C92196CC7C57_.wvu.PrintArea" localSheetId="7" hidden="1">'4 - Conta AC + SS'!$B$1:$J$67</definedName>
    <definedName name="Z_9177A1FF_E4C8_4A1B_B90F_C92196CC7C57_.wvu.PrintArea" localSheetId="9" hidden="1">'6 - Estado'!$C$2:$C$73</definedName>
    <definedName name="Z_9177A1FF_E4C8_4A1B_B90F_C92196CC7C57_.wvu.PrintArea" localSheetId="10" hidden="1">'7 - R_Est'!$B$2:$J$74</definedName>
    <definedName name="Z_9177A1FF_E4C8_4A1B_B90F_C92196CC7C57_.wvu.PrintArea" localSheetId="11" hidden="1">'8 - SFA'!$C$2:$J$87</definedName>
    <definedName name="Z_9177A1FF_E4C8_4A1B_B90F_C92196CC7C57_.wvu.PrintArea" localSheetId="12" hidden="1">'9 - EPR'!$C$2:$J$88</definedName>
    <definedName name="Z_9177A1FF_E4C8_4A1B_B90F_C92196CC7C57_.wvu.PrintArea" localSheetId="1" hidden="1">Indice_index!$B$3:$C$15</definedName>
    <definedName name="Z_9177A1FF_E4C8_4A1B_B90F_C92196CC7C57_.wvu.PrintArea" localSheetId="5" hidden="1">'Síntese Global'!$B$2:$N$4</definedName>
    <definedName name="Z_9177A1FF_E4C8_4A1B_B90F_C92196CC7C57_.wvu.PrintTitles" localSheetId="13" hidden="1">'10 -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4" hidden="1">'11 - SS'!#REF!</definedName>
    <definedName name="Z_995CCCB8_BF97_4653_A7C0_86012B807DB5_.wvu.Cols" localSheetId="20" hidden="1">'17 - Dív não Fin'!$AB:$AD</definedName>
    <definedName name="Z_995CCCB8_BF97_4653_A7C0_86012B807DB5_.wvu.Cols" localSheetId="9" hidden="1">'6 - Estado'!#REF!,'6 - Estado'!#REF!</definedName>
    <definedName name="Z_995CCCB8_BF97_4653_A7C0_86012B807DB5_.wvu.Cols" localSheetId="10" hidden="1">'7 - R_Est'!#REF!</definedName>
    <definedName name="Z_995CCCB8_BF97_4653_A7C0_86012B807DB5_.wvu.Cols" localSheetId="11" hidden="1">'8 - SFA'!#REF!,'8 - SFA'!#REF!</definedName>
    <definedName name="Z_995CCCB8_BF97_4653_A7C0_86012B807DB5_.wvu.Cols" localSheetId="12" hidden="1">'9 - EPR'!#REF!,'9 - EPR'!#REF!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CGA'!$B$2:$J$52</definedName>
    <definedName name="Z_995CCCB8_BF97_4653_A7C0_86012B807DB5_.wvu.PrintArea" localSheetId="14" hidden="1">'11 - SS'!$B$2:$G$74</definedName>
    <definedName name="Z_995CCCB8_BF97_4653_A7C0_86012B807DB5_.wvu.PrintArea" localSheetId="16" hidden="1">'13 - Adm R'!#REF!</definedName>
    <definedName name="Z_995CCCB8_BF97_4653_A7C0_86012B807DB5_.wvu.PrintArea" localSheetId="17" hidden="1">'14 - Adm Loc'!#REF!</definedName>
    <definedName name="Z_995CCCB8_BF97_4653_A7C0_86012B807DB5_.wvu.PrintArea" localSheetId="19" hidden="1">'16 - SNS exec fin'!$B$2:$F$46</definedName>
    <definedName name="Z_995CCCB8_BF97_4653_A7C0_86012B807DB5_.wvu.PrintArea" localSheetId="20" hidden="1">'17 - Dív não Fin'!$B$2:$R$32</definedName>
    <definedName name="Z_995CCCB8_BF97_4653_A7C0_86012B807DB5_.wvu.PrintArea" localSheetId="21" hidden="1">'18 - CGA Ind'!$B$2:$O$412</definedName>
    <definedName name="Z_995CCCB8_BF97_4653_A7C0_86012B807DB5_.wvu.PrintArea" localSheetId="23" hidden="1">'20 - Estimativas'!$B$2:$C$43</definedName>
    <definedName name="Z_995CCCB8_BF97_4653_A7C0_86012B807DB5_.wvu.PrintArea" localSheetId="7" hidden="1">'4 - Conta AC + SS'!$B$1:$J$62</definedName>
    <definedName name="Z_995CCCB8_BF97_4653_A7C0_86012B807DB5_.wvu.PrintArea" localSheetId="9" hidden="1">'6 - Estado'!$C$2:$C$73</definedName>
    <definedName name="Z_995CCCB8_BF97_4653_A7C0_86012B807DB5_.wvu.PrintArea" localSheetId="10" hidden="1">'7 - R_Est'!$B$2:$J$72</definedName>
    <definedName name="Z_995CCCB8_BF97_4653_A7C0_86012B807DB5_.wvu.PrintArea" localSheetId="11" hidden="1">'8 - SFA'!$C$2:$J$96</definedName>
    <definedName name="Z_995CCCB8_BF97_4653_A7C0_86012B807DB5_.wvu.PrintArea" localSheetId="12" hidden="1">'9 - EPR'!$C$2:$J$88</definedName>
    <definedName name="Z_995CCCB8_BF97_4653_A7C0_86012B807DB5_.wvu.PrintArea" localSheetId="1" hidden="1">Indice_index!$B$3:$C$15</definedName>
    <definedName name="Z_995CCCB8_BF97_4653_A7C0_86012B807DB5_.wvu.PrintArea" localSheetId="5" hidden="1">'Síntese Global'!$B$2:$N$4</definedName>
    <definedName name="Z_995CCCB8_BF97_4653_A7C0_86012B807DB5_.wvu.PrintTitles" localSheetId="13" hidden="1">'10 - CGA'!$3:$5</definedName>
    <definedName name="Z_9C8E7FE3_A7A1_4D36_A156_3751861446D4_.wvu.Cols" localSheetId="14" hidden="1">'11 - SS'!#REF!</definedName>
    <definedName name="Z_9C8E7FE3_A7A1_4D36_A156_3751861446D4_.wvu.Cols" localSheetId="20" hidden="1">'17 - Dív não Fin'!$AB:$AD</definedName>
    <definedName name="Z_9C8E7FE3_A7A1_4D36_A156_3751861446D4_.wvu.Cols" localSheetId="9" hidden="1">'6 - Estado'!#REF!</definedName>
    <definedName name="Z_9C8E7FE3_A7A1_4D36_A156_3751861446D4_.wvu.Cols" localSheetId="10" hidden="1">'7 - R_Est'!#REF!</definedName>
    <definedName name="Z_9C8E7FE3_A7A1_4D36_A156_3751861446D4_.wvu.Cols" localSheetId="11" hidden="1">'8 - SFA'!#REF!</definedName>
    <definedName name="Z_9C8E7FE3_A7A1_4D36_A156_3751861446D4_.wvu.Cols" localSheetId="12" hidden="1">'9 - EPR'!#REF!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CGA'!$B$2:$J$52</definedName>
    <definedName name="Z_9C8E7FE3_A7A1_4D36_A156_3751861446D4_.wvu.PrintArea" localSheetId="14" hidden="1">'11 - SS'!$B$2:$G$74</definedName>
    <definedName name="Z_9C8E7FE3_A7A1_4D36_A156_3751861446D4_.wvu.PrintArea" localSheetId="16" hidden="1">'13 - Adm R'!#REF!</definedName>
    <definedName name="Z_9C8E7FE3_A7A1_4D36_A156_3751861446D4_.wvu.PrintArea" localSheetId="17" hidden="1">'14 - Adm Loc'!#REF!</definedName>
    <definedName name="Z_9C8E7FE3_A7A1_4D36_A156_3751861446D4_.wvu.PrintArea" localSheetId="19" hidden="1">'16 - SNS exec fin'!$B$2:$F$46</definedName>
    <definedName name="Z_9C8E7FE3_A7A1_4D36_A156_3751861446D4_.wvu.PrintArea" localSheetId="20" hidden="1">'17 - Dív não Fin'!$B$2:$R$32</definedName>
    <definedName name="Z_9C8E7FE3_A7A1_4D36_A156_3751861446D4_.wvu.PrintArea" localSheetId="21" hidden="1">'18 - CGA Ind'!$B$2:$O$412</definedName>
    <definedName name="Z_9C8E7FE3_A7A1_4D36_A156_3751861446D4_.wvu.PrintArea" localSheetId="23" hidden="1">'20 - Estimativas'!$B$2:$C$43</definedName>
    <definedName name="Z_9C8E7FE3_A7A1_4D36_A156_3751861446D4_.wvu.PrintArea" localSheetId="7" hidden="1">'4 - Conta AC + SS'!$B$2:$J$67</definedName>
    <definedName name="Z_9C8E7FE3_A7A1_4D36_A156_3751861446D4_.wvu.PrintArea" localSheetId="9" hidden="1">'6 - Estado'!$C$2:$C$73</definedName>
    <definedName name="Z_9C8E7FE3_A7A1_4D36_A156_3751861446D4_.wvu.PrintArea" localSheetId="10" hidden="1">'7 - R_Est'!$B$2:$J$72</definedName>
    <definedName name="Z_9C8E7FE3_A7A1_4D36_A156_3751861446D4_.wvu.PrintArea" localSheetId="11" hidden="1">'8 - SFA'!$C$2:$J$96</definedName>
    <definedName name="Z_9C8E7FE3_A7A1_4D36_A156_3751861446D4_.wvu.PrintArea" localSheetId="12" hidden="1">'9 - EPR'!$C$2:$J$88</definedName>
    <definedName name="Z_9C8E7FE3_A7A1_4D36_A156_3751861446D4_.wvu.PrintArea" localSheetId="1" hidden="1">Indice_index!$B$3:$C$15</definedName>
    <definedName name="Z_9C8E7FE3_A7A1_4D36_A156_3751861446D4_.wvu.PrintArea" localSheetId="5" hidden="1">'Síntese Global'!$B$2:$N$4</definedName>
    <definedName name="Z_9C8E7FE3_A7A1_4D36_A156_3751861446D4_.wvu.PrintTitles" localSheetId="13" hidden="1">'10 - CGA'!$3:$5</definedName>
    <definedName name="Z_B10FF006_E78C_40A1_9FED_8E3DAA7518D8_.wvu.Cols" localSheetId="8" hidden="1">'5 - Conta AC'!#REF!</definedName>
    <definedName name="Z_B10FF006_E78C_40A1_9FED_8E3DAA7518D8_.wvu.PrintArea" localSheetId="8" hidden="1">'5 - Conta AC'!$B$1:$H$57</definedName>
    <definedName name="Z_B10FF006_E78C_40A1_9FED_8E3DAA7518D8_.wvu.Rows" localSheetId="8" hidden="1">'5 - Conta AC'!#REF!</definedName>
    <definedName name="Z_B22C7842_6BF9_4A1C_B06C_2AD9B9A784D4_.wvu.Cols" localSheetId="20" hidden="1">'17 - Dív não Fin'!$AB:$AD</definedName>
    <definedName name="Z_B22C7842_6BF9_4A1C_B06C_2AD9B9A784D4_.wvu.Cols" localSheetId="9" hidden="1">'6 - Estado'!#REF!</definedName>
    <definedName name="Z_B22C7842_6BF9_4A1C_B06C_2AD9B9A784D4_.wvu.Cols" localSheetId="10" hidden="1">'7 - R_Est'!#REF!</definedName>
    <definedName name="Z_B22C7842_6BF9_4A1C_B06C_2AD9B9A784D4_.wvu.Cols" localSheetId="11" hidden="1">'8 - SFA'!#REF!</definedName>
    <definedName name="Z_B22C7842_6BF9_4A1C_B06C_2AD9B9A784D4_.wvu.Cols" localSheetId="12" hidden="1">'9 - EPR'!#REF!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CGA'!$B$2:$J$52</definedName>
    <definedName name="Z_B22C7842_6BF9_4A1C_B06C_2AD9B9A784D4_.wvu.PrintArea" localSheetId="14" hidden="1">'11 - SS'!$B$2:$G$74</definedName>
    <definedName name="Z_B22C7842_6BF9_4A1C_B06C_2AD9B9A784D4_.wvu.PrintArea" localSheetId="16" hidden="1">'13 - Adm R'!#REF!</definedName>
    <definedName name="Z_B22C7842_6BF9_4A1C_B06C_2AD9B9A784D4_.wvu.PrintArea" localSheetId="17" hidden="1">'14 - Adm Loc'!#REF!</definedName>
    <definedName name="Z_B22C7842_6BF9_4A1C_B06C_2AD9B9A784D4_.wvu.PrintArea" localSheetId="19" hidden="1">'16 - SNS exec fin'!$B$2:$F$46</definedName>
    <definedName name="Z_B22C7842_6BF9_4A1C_B06C_2AD9B9A784D4_.wvu.PrintArea" localSheetId="20" hidden="1">'17 - Dív não Fin'!$B$2:$R$32</definedName>
    <definedName name="Z_B22C7842_6BF9_4A1C_B06C_2AD9B9A784D4_.wvu.PrintArea" localSheetId="21" hidden="1">'18 - CGA Ind'!$B$2:$O$412</definedName>
    <definedName name="Z_B22C7842_6BF9_4A1C_B06C_2AD9B9A784D4_.wvu.PrintArea" localSheetId="23" hidden="1">'20 - Estimativas'!$B$2:$C$43</definedName>
    <definedName name="Z_B22C7842_6BF9_4A1C_B06C_2AD9B9A784D4_.wvu.PrintArea" localSheetId="7" hidden="1">'4 - Conta AC + SS'!$B$1:$C$59</definedName>
    <definedName name="Z_B22C7842_6BF9_4A1C_B06C_2AD9B9A784D4_.wvu.PrintArea" localSheetId="9" hidden="1">'6 - Estado'!$C$2:$C$73</definedName>
    <definedName name="Z_B22C7842_6BF9_4A1C_B06C_2AD9B9A784D4_.wvu.PrintArea" localSheetId="10" hidden="1">'7 - R_Est'!$B$2:$J$72</definedName>
    <definedName name="Z_B22C7842_6BF9_4A1C_B06C_2AD9B9A784D4_.wvu.PrintArea" localSheetId="11" hidden="1">'8 - SFA'!$C$2:$J$96</definedName>
    <definedName name="Z_B22C7842_6BF9_4A1C_B06C_2AD9B9A784D4_.wvu.PrintArea" localSheetId="12" hidden="1">'9 - EPR'!$C$2:$J$88</definedName>
    <definedName name="Z_B22C7842_6BF9_4A1C_B06C_2AD9B9A784D4_.wvu.PrintArea" localSheetId="1" hidden="1">Indice_index!$B$3:$C$15</definedName>
    <definedName name="Z_B22C7842_6BF9_4A1C_B06C_2AD9B9A784D4_.wvu.PrintArea" localSheetId="5" hidden="1">'Síntese Global'!$B$2:$N$4</definedName>
    <definedName name="Z_B22C7842_6BF9_4A1C_B06C_2AD9B9A784D4_.wvu.PrintTitles" localSheetId="13" hidden="1">'10 - CGA'!$3:$5</definedName>
    <definedName name="Z_C2013F6E_CF9D_4172_87F3_B954A090B414_.wvu.PrintArea" localSheetId="13" hidden="1">'10 - CGA'!$C$3:$I$51</definedName>
    <definedName name="Z_C2013F6E_CF9D_4172_87F3_B954A090B414_.wvu.PrintArea" localSheetId="7" hidden="1">'4 - Conta AC + SS'!$C$4:$C$55</definedName>
    <definedName name="Z_C2013F6E_CF9D_4172_87F3_B954A090B414_.wvu.PrintArea" localSheetId="8" hidden="1">'5 - Conta AC'!$C$4:$C$57</definedName>
    <definedName name="Z_C2013F6E_CF9D_4172_87F3_B954A090B414_.wvu.PrintTitles" localSheetId="13" hidden="1">'10 - CGA'!$3:$5</definedName>
    <definedName name="Z_C2013F6E_CF9D_4172_87F3_B954A090B414_.wvu.Rows" localSheetId="13" hidden="1">'10 - CGA'!#REF!,'10 - CGA'!#REF!,'10 - CGA'!#REF!,'10 - CGA'!$19:$19,'10 - CGA'!#REF!,'10 - CGA'!#REF!,'10 - CGA'!#REF!</definedName>
    <definedName name="Z_C403553D_352C_44B6_83D8_441F3A96C5BE_.wvu.Cols" localSheetId="20" hidden="1">'17 - Dív não Fin'!$AB:$AD</definedName>
    <definedName name="Z_C403553D_352C_44B6_83D8_441F3A96C5BE_.wvu.Cols" localSheetId="9" hidden="1">'6 - Estado'!#REF!,'6 - Estado'!#REF!</definedName>
    <definedName name="Z_C403553D_352C_44B6_83D8_441F3A96C5BE_.wvu.Cols" localSheetId="10" hidden="1">'7 - R_Est'!#REF!</definedName>
    <definedName name="Z_C403553D_352C_44B6_83D8_441F3A96C5BE_.wvu.Cols" localSheetId="11" hidden="1">'8 - SFA'!#REF!,'8 - SFA'!#REF!</definedName>
    <definedName name="Z_C403553D_352C_44B6_83D8_441F3A96C5BE_.wvu.Cols" localSheetId="12" hidden="1">'9 - EPR'!#REF!,'9 - EPR'!#REF!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CGA'!$B$2:$J$52</definedName>
    <definedName name="Z_C403553D_352C_44B6_83D8_441F3A96C5BE_.wvu.PrintArea" localSheetId="14" hidden="1">'11 - SS'!$B$2:$G$74</definedName>
    <definedName name="Z_C403553D_352C_44B6_83D8_441F3A96C5BE_.wvu.PrintArea" localSheetId="16" hidden="1">'13 - Adm R'!#REF!</definedName>
    <definedName name="Z_C403553D_352C_44B6_83D8_441F3A96C5BE_.wvu.PrintArea" localSheetId="17" hidden="1">'14 - Adm Loc'!#REF!</definedName>
    <definedName name="Z_C403553D_352C_44B6_83D8_441F3A96C5BE_.wvu.PrintArea" localSheetId="19" hidden="1">'16 - SNS exec fin'!$B$2:$F$46</definedName>
    <definedName name="Z_C403553D_352C_44B6_83D8_441F3A96C5BE_.wvu.PrintArea" localSheetId="20" hidden="1">'17 - Dív não Fin'!$B$2:$R$57</definedName>
    <definedName name="Z_C403553D_352C_44B6_83D8_441F3A96C5BE_.wvu.PrintArea" localSheetId="21" hidden="1">'18 - CGA Ind'!$B$2:$O$412</definedName>
    <definedName name="Z_C403553D_352C_44B6_83D8_441F3A96C5BE_.wvu.PrintArea" localSheetId="23" hidden="1">'20 - Estimativas'!$B$2:$C$43</definedName>
    <definedName name="Z_C403553D_352C_44B6_83D8_441F3A96C5BE_.wvu.PrintArea" localSheetId="7" hidden="1">'4 - Conta AC + SS'!$B$2:$J$67</definedName>
    <definedName name="Z_C403553D_352C_44B6_83D8_441F3A96C5BE_.wvu.PrintArea" localSheetId="9" hidden="1">'6 - Estado'!$B$2:$C$73</definedName>
    <definedName name="Z_C403553D_352C_44B6_83D8_441F3A96C5BE_.wvu.PrintArea" localSheetId="10" hidden="1">'7 - R_Est'!$B$2:$J$72</definedName>
    <definedName name="Z_C403553D_352C_44B6_83D8_441F3A96C5BE_.wvu.PrintArea" localSheetId="11" hidden="1">'8 - SFA'!$B$2:$J$95</definedName>
    <definedName name="Z_C403553D_352C_44B6_83D8_441F3A96C5BE_.wvu.PrintArea" localSheetId="12" hidden="1">'9 - EPR'!$B$2:$J$88</definedName>
    <definedName name="Z_C403553D_352C_44B6_83D8_441F3A96C5BE_.wvu.PrintArea" localSheetId="1" hidden="1">Indice_index!$B$3:$C$15,Indice_index!$B$16:$C$30</definedName>
    <definedName name="Z_C403553D_352C_44B6_83D8_441F3A96C5BE_.wvu.PrintArea" localSheetId="5" hidden="1">'Síntese Global'!$B$2:$N$4</definedName>
    <definedName name="Z_C403553D_352C_44B6_83D8_441F3A96C5BE_.wvu.PrintTitles" localSheetId="13" hidden="1">'10 - CGA'!$3:$5</definedName>
    <definedName name="Z_C90EBEBD_E196_487F_B236_71FE5B48DAD7_.wvu.Cols" localSheetId="8" hidden="1">'5 - Conta AC'!#REF!</definedName>
    <definedName name="Z_C90EBEBD_E196_487F_B236_71FE5B48DAD7_.wvu.PrintArea" localSheetId="8" hidden="1">'5 - Conta AC'!$B$1:$H$57</definedName>
    <definedName name="Z_C90EBEBD_E196_487F_B236_71FE5B48DAD7_.wvu.Rows" localSheetId="8" hidden="1">'5 - Conta AC'!#REF!</definedName>
    <definedName name="Z_CF250844_B48C_42F6_8C4A_591AAA695937_.wvu.FilterData" localSheetId="5" hidden="1">'Síntese Global'!#REF!</definedName>
    <definedName name="Z_D7DA4577_1080_46D0_B4E0_3AEF0BA0C7DE_.wvu.PrintArea" localSheetId="13" hidden="1">'10 - CGA'!$C$3:$I$51</definedName>
    <definedName name="Z_D7DA4577_1080_46D0_B4E0_3AEF0BA0C7DE_.wvu.PrintTitles" localSheetId="13" hidden="1">'10 - CGA'!$3:$5</definedName>
    <definedName name="Z_D7DA4577_1080_46D0_B4E0_3AEF0BA0C7DE_.wvu.Rows" localSheetId="13" hidden="1">'10 - CGA'!#REF!</definedName>
    <definedName name="Z_DB1D3FDB_E0D5_4FD7_BD6E_EC28675EBF68_.wvu.Cols" localSheetId="14" hidden="1">'11 - SS'!#REF!</definedName>
    <definedName name="Z_DB1D3FDB_E0D5_4FD7_BD6E_EC28675EBF68_.wvu.Cols" localSheetId="20" hidden="1">'17 - Dív não Fin'!$AB:$AD</definedName>
    <definedName name="Z_DB1D3FDB_E0D5_4FD7_BD6E_EC28675EBF68_.wvu.Cols" localSheetId="9" hidden="1">'6 - Estado'!#REF!,'6 - Estado'!#REF!</definedName>
    <definedName name="Z_DB1D3FDB_E0D5_4FD7_BD6E_EC28675EBF68_.wvu.Cols" localSheetId="10" hidden="1">'7 - R_Est'!#REF!</definedName>
    <definedName name="Z_DB1D3FDB_E0D5_4FD7_BD6E_EC28675EBF68_.wvu.Cols" localSheetId="11" hidden="1">'8 - SFA'!#REF!,'8 - SFA'!#REF!</definedName>
    <definedName name="Z_DB1D3FDB_E0D5_4FD7_BD6E_EC28675EBF68_.wvu.Cols" localSheetId="12" hidden="1">'9 - EPR'!#REF!,'9 - EPR'!#REF!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CGA'!$B$2:$J$52</definedName>
    <definedName name="Z_DB1D3FDB_E0D5_4FD7_BD6E_EC28675EBF68_.wvu.PrintArea" localSheetId="14" hidden="1">'11 - SS'!$B$2:$G$74</definedName>
    <definedName name="Z_DB1D3FDB_E0D5_4FD7_BD6E_EC28675EBF68_.wvu.PrintArea" localSheetId="16" hidden="1">'13 - Adm R'!#REF!</definedName>
    <definedName name="Z_DB1D3FDB_E0D5_4FD7_BD6E_EC28675EBF68_.wvu.PrintArea" localSheetId="17" hidden="1">'14 - Adm Loc'!#REF!</definedName>
    <definedName name="Z_DB1D3FDB_E0D5_4FD7_BD6E_EC28675EBF68_.wvu.PrintArea" localSheetId="19" hidden="1">'16 - SNS exec fin'!$B$2:$F$46</definedName>
    <definedName name="Z_DB1D3FDB_E0D5_4FD7_BD6E_EC28675EBF68_.wvu.PrintArea" localSheetId="20" hidden="1">'17 - Dív não Fin'!$B$2:$R$32</definedName>
    <definedName name="Z_DB1D3FDB_E0D5_4FD7_BD6E_EC28675EBF68_.wvu.PrintArea" localSheetId="21" hidden="1">'18 - CGA Ind'!$B$2:$O$412</definedName>
    <definedName name="Z_DB1D3FDB_E0D5_4FD7_BD6E_EC28675EBF68_.wvu.PrintArea" localSheetId="23" hidden="1">'20 - Estimativas'!$B$2:$C$43</definedName>
    <definedName name="Z_DB1D3FDB_E0D5_4FD7_BD6E_EC28675EBF68_.wvu.PrintArea" localSheetId="7" hidden="1">'4 - Conta AC + SS'!$B$1:$C$59</definedName>
    <definedName name="Z_DB1D3FDB_E0D5_4FD7_BD6E_EC28675EBF68_.wvu.PrintArea" localSheetId="9" hidden="1">'6 - Estado'!$C$2:$C$73</definedName>
    <definedName name="Z_DB1D3FDB_E0D5_4FD7_BD6E_EC28675EBF68_.wvu.PrintArea" localSheetId="10" hidden="1">'7 - R_Est'!$B$2:$J$72</definedName>
    <definedName name="Z_DB1D3FDB_E0D5_4FD7_BD6E_EC28675EBF68_.wvu.PrintArea" localSheetId="11" hidden="1">'8 - SFA'!$C$2:$J$96</definedName>
    <definedName name="Z_DB1D3FDB_E0D5_4FD7_BD6E_EC28675EBF68_.wvu.PrintArea" localSheetId="12" hidden="1">'9 - EPR'!$C$2:$J$88</definedName>
    <definedName name="Z_DB1D3FDB_E0D5_4FD7_BD6E_EC28675EBF68_.wvu.PrintArea" localSheetId="1" hidden="1">Indice_index!$B$3:$C$15</definedName>
    <definedName name="Z_DB1D3FDB_E0D5_4FD7_BD6E_EC28675EBF68_.wvu.PrintArea" localSheetId="5" hidden="1">'Síntese Global'!$B$2:$N$4</definedName>
    <definedName name="Z_DB1D3FDB_E0D5_4FD7_BD6E_EC28675EBF68_.wvu.PrintTitles" localSheetId="13" hidden="1">'10 - CGA'!$3:$5</definedName>
    <definedName name="Z_DB1D3FDB_E0D5_4FD7_BD6E_EC28675EBF68_.wvu.Rows" localSheetId="19" hidden="1">'16 - SNS exec fin'!#REF!</definedName>
    <definedName name="Z_DB1D3FDB_E0D5_4FD7_BD6E_EC28675EBF68_.wvu.Rows" localSheetId="23" hidden="1">'20 - Estimativas'!#REF!</definedName>
    <definedName name="Z_E424CD16_C6CB_4435_8379_83DB8236700E_.wvu.Cols" localSheetId="14" hidden="1">'11 - SS'!#REF!</definedName>
    <definedName name="Z_E424CD16_C6CB_4435_8379_83DB8236700E_.wvu.Cols" localSheetId="20" hidden="1">'17 - Dív não Fin'!$AB:$AD</definedName>
    <definedName name="Z_E424CD16_C6CB_4435_8379_83DB8236700E_.wvu.Cols" localSheetId="9" hidden="1">'6 - Estado'!#REF!,'6 - Estado'!#REF!</definedName>
    <definedName name="Z_E424CD16_C6CB_4435_8379_83DB8236700E_.wvu.Cols" localSheetId="10" hidden="1">'7 - R_Est'!#REF!</definedName>
    <definedName name="Z_E424CD16_C6CB_4435_8379_83DB8236700E_.wvu.Cols" localSheetId="11" hidden="1">'8 - SFA'!#REF!,'8 - SFA'!#REF!</definedName>
    <definedName name="Z_E424CD16_C6CB_4435_8379_83DB8236700E_.wvu.Cols" localSheetId="12" hidden="1">'9 - EPR'!#REF!,'9 - EPR'!#REF!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CGA'!$B$2:$J$52</definedName>
    <definedName name="Z_E424CD16_C6CB_4435_8379_83DB8236700E_.wvu.PrintArea" localSheetId="14" hidden="1">'11 - SS'!$B$2:$G$74</definedName>
    <definedName name="Z_E424CD16_C6CB_4435_8379_83DB8236700E_.wvu.PrintArea" localSheetId="16" hidden="1">'13 - Adm R'!#REF!</definedName>
    <definedName name="Z_E424CD16_C6CB_4435_8379_83DB8236700E_.wvu.PrintArea" localSheetId="17" hidden="1">'14 - Adm Loc'!#REF!</definedName>
    <definedName name="Z_E424CD16_C6CB_4435_8379_83DB8236700E_.wvu.PrintArea" localSheetId="19" hidden="1">'16 - SNS exec fin'!$B$2:$F$46</definedName>
    <definedName name="Z_E424CD16_C6CB_4435_8379_83DB8236700E_.wvu.PrintArea" localSheetId="20" hidden="1">'17 - Dív não Fin'!$B$2:$R$57</definedName>
    <definedName name="Z_E424CD16_C6CB_4435_8379_83DB8236700E_.wvu.PrintArea" localSheetId="21" hidden="1">'18 - CGA Ind'!$B$2:$O$412</definedName>
    <definedName name="Z_E424CD16_C6CB_4435_8379_83DB8236700E_.wvu.PrintArea" localSheetId="23" hidden="1">'20 - Estimativas'!$B$2:$C$43</definedName>
    <definedName name="Z_E424CD16_C6CB_4435_8379_83DB8236700E_.wvu.PrintArea" localSheetId="7" hidden="1">'4 - Conta AC + SS'!$B$2:$J$67</definedName>
    <definedName name="Z_E424CD16_C6CB_4435_8379_83DB8236700E_.wvu.PrintArea" localSheetId="9" hidden="1">'6 - Estado'!$B$2:$C$73</definedName>
    <definedName name="Z_E424CD16_C6CB_4435_8379_83DB8236700E_.wvu.PrintArea" localSheetId="10" hidden="1">'7 - R_Est'!$B$2:$J$74</definedName>
    <definedName name="Z_E424CD16_C6CB_4435_8379_83DB8236700E_.wvu.PrintArea" localSheetId="11" hidden="1">'8 - SFA'!$B$2:$J$95</definedName>
    <definedName name="Z_E424CD16_C6CB_4435_8379_83DB8236700E_.wvu.PrintArea" localSheetId="12" hidden="1">'9 - EPR'!$B$2:$J$88</definedName>
    <definedName name="Z_E424CD16_C6CB_4435_8379_83DB8236700E_.wvu.PrintArea" localSheetId="1" hidden="1">Indice_index!$B$3:$C$15,Indice_index!$B$16:$C$30</definedName>
    <definedName name="Z_E424CD16_C6CB_4435_8379_83DB8236700E_.wvu.PrintArea" localSheetId="5" hidden="1">'Síntese Global'!$B$2:$N$4</definedName>
    <definedName name="Z_E424CD16_C6CB_4435_8379_83DB8236700E_.wvu.PrintTitles" localSheetId="13" hidden="1">'10 -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8" hidden="1">'5 - Conta AC'!#REF!</definedName>
    <definedName name="Z_E9495A6A_B111_4F85_812B_8DC9C181785A_.wvu.PrintArea" localSheetId="8" hidden="1">'5 - Conta AC'!$B$1:$H$57</definedName>
    <definedName name="Z_E9495A6A_B111_4F85_812B_8DC9C181785A_.wvu.Rows" localSheetId="8" hidden="1">'5 - Conta AC'!#REF!</definedName>
    <definedName name="Z_EBA68B69_6D6E_44F8_8C51_9491A55275C5_.wvu.Cols" localSheetId="14" hidden="1">'11 - SS'!#REF!</definedName>
    <definedName name="Z_EBA68B69_6D6E_44F8_8C51_9491A55275C5_.wvu.Cols" localSheetId="20" hidden="1">'17 - Dív não Fin'!$AB:$AD</definedName>
    <definedName name="Z_EBA68B69_6D6E_44F8_8C51_9491A55275C5_.wvu.Cols" localSheetId="9" hidden="1">'6 - Estado'!#REF!</definedName>
    <definedName name="Z_EBA68B69_6D6E_44F8_8C51_9491A55275C5_.wvu.Cols" localSheetId="10" hidden="1">'7 - R_Est'!#REF!</definedName>
    <definedName name="Z_EBA68B69_6D6E_44F8_8C51_9491A55275C5_.wvu.Cols" localSheetId="11" hidden="1">'8 - SFA'!#REF!</definedName>
    <definedName name="Z_EBA68B69_6D6E_44F8_8C51_9491A55275C5_.wvu.Cols" localSheetId="12" hidden="1">'9 - EPR'!#REF!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CGA'!$B$2:$J$52</definedName>
    <definedName name="Z_EBA68B69_6D6E_44F8_8C51_9491A55275C5_.wvu.PrintArea" localSheetId="14" hidden="1">'11 - SS'!$B$2:$G$74</definedName>
    <definedName name="Z_EBA68B69_6D6E_44F8_8C51_9491A55275C5_.wvu.PrintArea" localSheetId="16" hidden="1">'13 - Adm R'!#REF!</definedName>
    <definedName name="Z_EBA68B69_6D6E_44F8_8C51_9491A55275C5_.wvu.PrintArea" localSheetId="17" hidden="1">'14 - Adm Loc'!#REF!</definedName>
    <definedName name="Z_EBA68B69_6D6E_44F8_8C51_9491A55275C5_.wvu.PrintArea" localSheetId="19" hidden="1">'16 - SNS exec fin'!$B$2:$F$46</definedName>
    <definedName name="Z_EBA68B69_6D6E_44F8_8C51_9491A55275C5_.wvu.PrintArea" localSheetId="20" hidden="1">'17 - Dív não Fin'!$B$2:$R$32</definedName>
    <definedName name="Z_EBA68B69_6D6E_44F8_8C51_9491A55275C5_.wvu.PrintArea" localSheetId="21" hidden="1">'18 - CGA Ind'!$B$2:$O$412</definedName>
    <definedName name="Z_EBA68B69_6D6E_44F8_8C51_9491A55275C5_.wvu.PrintArea" localSheetId="23" hidden="1">'20 - Estimativas'!$B$2:$C$43</definedName>
    <definedName name="Z_EBA68B69_6D6E_44F8_8C51_9491A55275C5_.wvu.PrintArea" localSheetId="7" hidden="1">'4 - Conta AC + SS'!$B$1:$C$59</definedName>
    <definedName name="Z_EBA68B69_6D6E_44F8_8C51_9491A55275C5_.wvu.PrintArea" localSheetId="9" hidden="1">'6 - Estado'!$C$2:$C$73</definedName>
    <definedName name="Z_EBA68B69_6D6E_44F8_8C51_9491A55275C5_.wvu.PrintArea" localSheetId="10" hidden="1">'7 - R_Est'!$B$2:$J$72</definedName>
    <definedName name="Z_EBA68B69_6D6E_44F8_8C51_9491A55275C5_.wvu.PrintArea" localSheetId="11" hidden="1">'8 - SFA'!$C$2:$J$96</definedName>
    <definedName name="Z_EBA68B69_6D6E_44F8_8C51_9491A55275C5_.wvu.PrintArea" localSheetId="12" hidden="1">'9 - EPR'!$C$2:$J$88</definedName>
    <definedName name="Z_EBA68B69_6D6E_44F8_8C51_9491A55275C5_.wvu.PrintArea" localSheetId="1" hidden="1">Indice_index!$B$3:$C$15</definedName>
    <definedName name="Z_EBA68B69_6D6E_44F8_8C51_9491A55275C5_.wvu.PrintArea" localSheetId="5" hidden="1">'Síntese Global'!$B$2:$N$4</definedName>
    <definedName name="Z_EBA68B69_6D6E_44F8_8C51_9491A55275C5_.wvu.PrintTitles" localSheetId="13" hidden="1">'10 -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8" i="33" l="1"/>
  <c r="C60" i="6" l="1"/>
  <c r="H64" i="33" l="1"/>
  <c r="G64" i="33"/>
  <c r="F64" i="33"/>
  <c r="E64" i="33"/>
  <c r="F6" i="4" l="1"/>
  <c r="F4" i="4"/>
  <c r="C81" i="28" l="1"/>
  <c r="C82" i="28"/>
  <c r="C25" i="14"/>
  <c r="C24" i="14"/>
  <c r="C88" i="28" l="1"/>
  <c r="C91" i="28"/>
  <c r="C69" i="33" l="1"/>
  <c r="D68" i="33"/>
  <c r="D50" i="33" l="1"/>
  <c r="D49" i="33"/>
  <c r="C47" i="25" l="1"/>
  <c r="C61" i="6" l="1"/>
  <c r="C20" i="34"/>
  <c r="C50" i="33" l="1"/>
  <c r="C49" i="33"/>
  <c r="C46" i="25" l="1"/>
  <c r="C12" i="25" l="1"/>
  <c r="C11" i="25"/>
  <c r="C109" i="6"/>
  <c r="C86" i="6"/>
  <c r="C50" i="6"/>
  <c r="C27" i="6"/>
  <c r="C39" i="25"/>
  <c r="C23" i="25"/>
  <c r="C48" i="25" l="1"/>
  <c r="AG27" i="28" l="1"/>
  <c r="R27" i="28"/>
  <c r="AH81" i="28" l="1"/>
  <c r="T81" i="28"/>
  <c r="S81" i="28"/>
  <c r="D81" i="28"/>
  <c r="AH76" i="28" l="1"/>
  <c r="C89" i="33" l="1"/>
  <c r="C88" i="33"/>
  <c r="H7" i="18" l="1"/>
  <c r="G7" i="18"/>
  <c r="D33" i="20" l="1"/>
  <c r="I57" i="33" l="1"/>
  <c r="D57" i="33"/>
  <c r="I49" i="33" l="1"/>
  <c r="I50" i="33"/>
  <c r="C88" i="17" l="1"/>
  <c r="C85" i="17"/>
  <c r="G69" i="17"/>
  <c r="F69" i="17"/>
  <c r="I42" i="30" l="1"/>
  <c r="G42" i="30"/>
  <c r="F42" i="30"/>
  <c r="E42" i="30"/>
  <c r="D42" i="30"/>
  <c r="G33" i="30"/>
  <c r="G22" i="30"/>
  <c r="G15" i="30"/>
  <c r="G7" i="30"/>
  <c r="E7" i="30"/>
  <c r="F7" i="30"/>
  <c r="F20" i="30" s="1"/>
  <c r="E15" i="30"/>
  <c r="F15" i="30"/>
  <c r="E22" i="30"/>
  <c r="F22" i="30"/>
  <c r="E33" i="30"/>
  <c r="F33" i="30"/>
  <c r="E20" i="30" l="1"/>
  <c r="F38" i="30"/>
  <c r="F40" i="30" s="1"/>
  <c r="G38" i="30"/>
  <c r="E38" i="30"/>
  <c r="E40" i="30" s="1"/>
  <c r="G20" i="30"/>
  <c r="G40" i="30" l="1"/>
  <c r="C74" i="31"/>
  <c r="C75" i="31" l="1"/>
  <c r="I8" i="25" l="1"/>
  <c r="G8" i="25"/>
  <c r="H8" i="25"/>
  <c r="F8" i="25"/>
  <c r="G22" i="15" l="1"/>
  <c r="F22" i="15"/>
  <c r="F14" i="14"/>
  <c r="G14" i="14"/>
  <c r="I25" i="14"/>
  <c r="H25" i="14"/>
  <c r="F28" i="14"/>
  <c r="G28" i="14"/>
  <c r="F17" i="13" l="1"/>
  <c r="F15" i="13" s="1"/>
  <c r="G17" i="13"/>
  <c r="G15" i="13" s="1"/>
  <c r="G72" i="9" l="1"/>
  <c r="F72" i="9"/>
  <c r="C65" i="7"/>
  <c r="C76" i="11" l="1"/>
  <c r="C78" i="14"/>
  <c r="C75" i="9"/>
  <c r="C60" i="8"/>
  <c r="C54" i="13"/>
  <c r="C76" i="12"/>
  <c r="C73" i="15"/>
  <c r="Q43" i="20"/>
  <c r="P43" i="20"/>
  <c r="O43" i="20"/>
  <c r="N43" i="20"/>
  <c r="M43" i="20"/>
  <c r="L43" i="20"/>
  <c r="K43" i="20"/>
  <c r="J43" i="20"/>
  <c r="I43" i="20"/>
  <c r="H43" i="20"/>
  <c r="G43" i="20"/>
  <c r="F43" i="20"/>
  <c r="E43" i="20"/>
  <c r="Q9" i="20"/>
  <c r="G28" i="20"/>
  <c r="P28" i="20"/>
  <c r="O28" i="20"/>
  <c r="N28" i="20"/>
  <c r="M28" i="20"/>
  <c r="L28" i="20"/>
  <c r="K28" i="20"/>
  <c r="J28" i="20"/>
  <c r="I28" i="20"/>
  <c r="H28" i="20"/>
  <c r="F28" i="20"/>
  <c r="E28" i="20"/>
  <c r="P9" i="20"/>
  <c r="O9" i="20"/>
  <c r="N9" i="20"/>
  <c r="M9" i="20"/>
  <c r="L9" i="20"/>
  <c r="K9" i="20"/>
  <c r="J9" i="20"/>
  <c r="I9" i="20"/>
  <c r="H9" i="20"/>
  <c r="G9" i="20"/>
  <c r="F9" i="20"/>
  <c r="E9" i="20"/>
  <c r="S91" i="28" l="1"/>
  <c r="S90" i="28"/>
  <c r="S89" i="28"/>
  <c r="S88" i="28"/>
  <c r="S87" i="28"/>
  <c r="S86" i="28"/>
  <c r="S85" i="28"/>
  <c r="S84" i="28"/>
  <c r="S83" i="28"/>
  <c r="S82" i="28"/>
  <c r="S80" i="28"/>
  <c r="S79" i="28"/>
  <c r="S78" i="28"/>
  <c r="S77" i="28"/>
  <c r="S75" i="28"/>
  <c r="S74" i="28"/>
  <c r="S73" i="28"/>
  <c r="S72" i="28"/>
  <c r="S71" i="28"/>
  <c r="S70" i="28"/>
  <c r="S69" i="28"/>
  <c r="S68" i="28"/>
  <c r="S67" i="28"/>
  <c r="S66" i="28"/>
  <c r="S65" i="28"/>
  <c r="S64" i="28"/>
  <c r="S63" i="28"/>
  <c r="S62" i="28"/>
  <c r="S61" i="28"/>
  <c r="S60" i="28"/>
  <c r="S59" i="28"/>
  <c r="S58" i="28"/>
  <c r="S57" i="28"/>
  <c r="S56" i="28"/>
  <c r="G175" i="32" l="1"/>
  <c r="G168" i="32"/>
  <c r="G157" i="32"/>
  <c r="G143" i="32"/>
  <c r="G139" i="32"/>
  <c r="G126" i="32"/>
  <c r="G117" i="32"/>
  <c r="G107" i="32"/>
  <c r="G108" i="32" s="1"/>
  <c r="G102" i="32"/>
  <c r="G91" i="32"/>
  <c r="G75" i="32"/>
  <c r="G60" i="32"/>
  <c r="G54" i="32"/>
  <c r="G48" i="32"/>
  <c r="G36" i="32"/>
  <c r="G30" i="32"/>
  <c r="G28" i="32"/>
  <c r="G21" i="32"/>
  <c r="G37" i="32" s="1"/>
  <c r="G13" i="32"/>
  <c r="C4" i="32"/>
  <c r="C5" i="7" l="1"/>
  <c r="G6" i="4" l="1"/>
  <c r="E6" i="4"/>
  <c r="C65" i="33" l="1"/>
  <c r="I65" i="33" l="1"/>
  <c r="I64" i="33" s="1"/>
  <c r="D65" i="33"/>
  <c r="I42" i="33"/>
  <c r="C42" i="33"/>
  <c r="D42" i="33"/>
  <c r="C67" i="28" l="1"/>
  <c r="T67" i="28" l="1"/>
  <c r="AH66" i="28"/>
  <c r="T66" i="28"/>
  <c r="D66" i="28"/>
  <c r="C66" i="28"/>
  <c r="C48" i="30" l="1"/>
  <c r="G9" i="15"/>
  <c r="F9" i="15"/>
  <c r="I5" i="30"/>
  <c r="I33" i="30"/>
  <c r="I22" i="30"/>
  <c r="I15" i="30"/>
  <c r="I7" i="30"/>
  <c r="C76" i="9"/>
  <c r="S37" i="28"/>
  <c r="S35" i="28"/>
  <c r="S31" i="28"/>
  <c r="S17" i="28"/>
  <c r="S15" i="28"/>
  <c r="S9" i="28"/>
  <c r="G45" i="10"/>
  <c r="F45" i="10"/>
  <c r="C187" i="32"/>
  <c r="C80" i="28"/>
  <c r="I89" i="33"/>
  <c r="H89" i="33"/>
  <c r="G89" i="33"/>
  <c r="F89" i="33"/>
  <c r="E89" i="33"/>
  <c r="D89" i="33"/>
  <c r="AH80" i="28"/>
  <c r="T80" i="28"/>
  <c r="D80" i="28"/>
  <c r="R10" i="20"/>
  <c r="R11" i="20"/>
  <c r="R12" i="20"/>
  <c r="R13" i="20"/>
  <c r="R14" i="20"/>
  <c r="R15" i="20"/>
  <c r="R16" i="20"/>
  <c r="R17" i="20"/>
  <c r="R18" i="20"/>
  <c r="R19" i="20"/>
  <c r="R20" i="20"/>
  <c r="R21" i="20"/>
  <c r="R22" i="20"/>
  <c r="R23" i="20"/>
  <c r="R24" i="20"/>
  <c r="R25" i="20"/>
  <c r="R26" i="20"/>
  <c r="R27" i="20"/>
  <c r="C8" i="33"/>
  <c r="R42" i="20"/>
  <c r="E44" i="20"/>
  <c r="E51" i="20"/>
  <c r="I8" i="33"/>
  <c r="D8" i="33"/>
  <c r="R50" i="20"/>
  <c r="D257" i="27"/>
  <c r="F175" i="32"/>
  <c r="F168" i="32"/>
  <c r="F157" i="32"/>
  <c r="F143" i="32"/>
  <c r="F139" i="32"/>
  <c r="F126" i="32"/>
  <c r="F117" i="32"/>
  <c r="F107" i="32"/>
  <c r="F102" i="32"/>
  <c r="F91" i="32"/>
  <c r="F75" i="32"/>
  <c r="F60" i="32"/>
  <c r="F54" i="32"/>
  <c r="F48" i="32"/>
  <c r="F36" i="32"/>
  <c r="F30" i="32"/>
  <c r="F28" i="32"/>
  <c r="F21" i="32"/>
  <c r="F13" i="32"/>
  <c r="F15" i="12"/>
  <c r="G15" i="12"/>
  <c r="D520" i="27"/>
  <c r="D531" i="27"/>
  <c r="D95" i="27"/>
  <c r="D17" i="33"/>
  <c r="D16" i="33"/>
  <c r="D15" i="33"/>
  <c r="C87" i="33"/>
  <c r="C24" i="18"/>
  <c r="C22" i="18"/>
  <c r="C21" i="18"/>
  <c r="C215" i="32"/>
  <c r="J76" i="28"/>
  <c r="K76" i="28"/>
  <c r="K27" i="28" s="1"/>
  <c r="L76" i="28"/>
  <c r="L27" i="28" s="1"/>
  <c r="M76" i="28"/>
  <c r="N76" i="28"/>
  <c r="N27" i="28" s="1"/>
  <c r="O76" i="28"/>
  <c r="O27" i="28" s="1"/>
  <c r="P76" i="28"/>
  <c r="P27" i="28" s="1"/>
  <c r="D76" i="28"/>
  <c r="C76" i="28"/>
  <c r="C16" i="33"/>
  <c r="D107" i="27"/>
  <c r="S38" i="28"/>
  <c r="S10" i="28"/>
  <c r="G30" i="10"/>
  <c r="G14" i="9" s="1"/>
  <c r="F30" i="10"/>
  <c r="C5" i="19"/>
  <c r="D109" i="27"/>
  <c r="D47" i="33"/>
  <c r="C47" i="33"/>
  <c r="C4" i="4"/>
  <c r="AH82" i="28"/>
  <c r="AH28" i="28" s="1"/>
  <c r="T82" i="28"/>
  <c r="T28" i="28" s="1"/>
  <c r="D82" i="28"/>
  <c r="G26" i="17"/>
  <c r="F26" i="17"/>
  <c r="Q51" i="20"/>
  <c r="R51" i="20" s="1"/>
  <c r="P51" i="20"/>
  <c r="O51" i="20"/>
  <c r="O44" i="20"/>
  <c r="N51" i="20"/>
  <c r="M51" i="20"/>
  <c r="L51" i="20"/>
  <c r="K51" i="20"/>
  <c r="J51" i="20"/>
  <c r="I51" i="20"/>
  <c r="I44" i="20"/>
  <c r="H51" i="20"/>
  <c r="G51" i="20"/>
  <c r="F51" i="20"/>
  <c r="Q44" i="20"/>
  <c r="P44" i="20"/>
  <c r="N44" i="20"/>
  <c r="N53" i="20" s="1"/>
  <c r="M44" i="20"/>
  <c r="L44" i="20"/>
  <c r="K44" i="20"/>
  <c r="J44" i="20"/>
  <c r="J53" i="20" s="1"/>
  <c r="H44" i="20"/>
  <c r="G44" i="20"/>
  <c r="F44" i="20"/>
  <c r="F53" i="20" s="1"/>
  <c r="C46" i="30"/>
  <c r="D108" i="27"/>
  <c r="C67" i="33"/>
  <c r="C35" i="33"/>
  <c r="C34" i="33"/>
  <c r="C33" i="33"/>
  <c r="C90" i="33"/>
  <c r="E19" i="6"/>
  <c r="G19" i="6"/>
  <c r="H19" i="6"/>
  <c r="I19" i="6"/>
  <c r="J19" i="6"/>
  <c r="K19" i="6"/>
  <c r="M19" i="6"/>
  <c r="N19" i="6"/>
  <c r="O19" i="6"/>
  <c r="P19" i="6"/>
  <c r="Q19" i="6"/>
  <c r="C2" i="28"/>
  <c r="C78" i="28"/>
  <c r="C90" i="28"/>
  <c r="AH90" i="28"/>
  <c r="T90" i="28"/>
  <c r="T86" i="28"/>
  <c r="T87" i="28"/>
  <c r="D90" i="28"/>
  <c r="C87" i="28"/>
  <c r="AH87" i="28"/>
  <c r="D87" i="28"/>
  <c r="I67" i="33"/>
  <c r="D67" i="33"/>
  <c r="I34" i="33"/>
  <c r="D34" i="33"/>
  <c r="I35" i="33"/>
  <c r="D35" i="33"/>
  <c r="AH67" i="28"/>
  <c r="AH69" i="28"/>
  <c r="T69" i="28"/>
  <c r="D69" i="28"/>
  <c r="C69" i="28"/>
  <c r="D6" i="18"/>
  <c r="E9" i="15"/>
  <c r="H9" i="15" s="1"/>
  <c r="E14" i="14"/>
  <c r="E6" i="6"/>
  <c r="D72" i="9"/>
  <c r="D6" i="15"/>
  <c r="D6" i="14"/>
  <c r="D6" i="13"/>
  <c r="D11" i="13"/>
  <c r="D9" i="13" s="1"/>
  <c r="D6" i="12"/>
  <c r="D6" i="11"/>
  <c r="D6" i="9"/>
  <c r="D6" i="10"/>
  <c r="E5" i="8"/>
  <c r="D6" i="7"/>
  <c r="F9" i="8"/>
  <c r="D9" i="8"/>
  <c r="L9" i="8" s="1"/>
  <c r="C75" i="15"/>
  <c r="I88" i="33"/>
  <c r="H88" i="33"/>
  <c r="G88" i="33"/>
  <c r="F88" i="33"/>
  <c r="E88" i="33"/>
  <c r="D88" i="33"/>
  <c r="M14" i="34"/>
  <c r="L14" i="34"/>
  <c r="K14" i="34"/>
  <c r="J14" i="34"/>
  <c r="N14" i="34" s="1"/>
  <c r="M15" i="34"/>
  <c r="L15" i="34"/>
  <c r="H15" i="34" s="1"/>
  <c r="J15" i="34"/>
  <c r="K15" i="34"/>
  <c r="C2" i="34"/>
  <c r="O7" i="34"/>
  <c r="N7" i="34"/>
  <c r="M7" i="34"/>
  <c r="L7" i="34"/>
  <c r="K7" i="34"/>
  <c r="J7" i="34"/>
  <c r="I7" i="34"/>
  <c r="H7" i="34"/>
  <c r="N6" i="34"/>
  <c r="L6" i="34"/>
  <c r="J6" i="34"/>
  <c r="H6" i="34"/>
  <c r="O5" i="34"/>
  <c r="C21" i="34"/>
  <c r="C19" i="34"/>
  <c r="C18" i="34"/>
  <c r="C16" i="34"/>
  <c r="D15" i="34"/>
  <c r="D14" i="34"/>
  <c r="E13" i="34"/>
  <c r="G12" i="34"/>
  <c r="F11" i="34"/>
  <c r="F10" i="34"/>
  <c r="E9" i="34"/>
  <c r="D8" i="34"/>
  <c r="AH79" i="28"/>
  <c r="T79" i="28"/>
  <c r="D79" i="28"/>
  <c r="C79" i="28"/>
  <c r="C78" i="33"/>
  <c r="H80" i="33"/>
  <c r="G80" i="33"/>
  <c r="F80" i="33"/>
  <c r="I78" i="33"/>
  <c r="E13" i="33"/>
  <c r="I9" i="33"/>
  <c r="D9" i="33"/>
  <c r="C9" i="33"/>
  <c r="D78" i="33"/>
  <c r="S33" i="28"/>
  <c r="I90" i="33"/>
  <c r="H90" i="33"/>
  <c r="G90" i="33"/>
  <c r="F90" i="33"/>
  <c r="E90" i="33"/>
  <c r="D90" i="33"/>
  <c r="C82" i="33"/>
  <c r="C70" i="33"/>
  <c r="C77" i="33"/>
  <c r="C76" i="33"/>
  <c r="C75" i="33"/>
  <c r="I75" i="33" s="1"/>
  <c r="C73" i="33"/>
  <c r="C59" i="33"/>
  <c r="C58" i="33"/>
  <c r="C56" i="33"/>
  <c r="C46" i="33"/>
  <c r="C26" i="33"/>
  <c r="I58" i="33"/>
  <c r="I59" i="33"/>
  <c r="I79" i="33"/>
  <c r="I77" i="33"/>
  <c r="I76" i="33"/>
  <c r="C63" i="28"/>
  <c r="AH63" i="28"/>
  <c r="T63" i="28"/>
  <c r="D63" i="28"/>
  <c r="C79" i="33"/>
  <c r="D79" i="33"/>
  <c r="D77" i="33"/>
  <c r="D76" i="33"/>
  <c r="D75" i="33"/>
  <c r="D59" i="33"/>
  <c r="D58" i="33"/>
  <c r="C24" i="33"/>
  <c r="D24" i="33"/>
  <c r="D23" i="33"/>
  <c r="C23" i="33"/>
  <c r="D15" i="30"/>
  <c r="G187" i="32"/>
  <c r="G4" i="32"/>
  <c r="D60" i="33"/>
  <c r="D56" i="33"/>
  <c r="D55" i="33"/>
  <c r="D54" i="33"/>
  <c r="D53" i="33"/>
  <c r="D52" i="33"/>
  <c r="D51" i="33"/>
  <c r="D48" i="33"/>
  <c r="D46" i="33"/>
  <c r="D45" i="33"/>
  <c r="D44" i="33"/>
  <c r="D43" i="33"/>
  <c r="D41" i="33"/>
  <c r="D40" i="33"/>
  <c r="D39" i="33"/>
  <c r="D38" i="33"/>
  <c r="D37" i="33"/>
  <c r="D36" i="33"/>
  <c r="D33" i="33"/>
  <c r="D32" i="33"/>
  <c r="D31" i="33"/>
  <c r="D30" i="33"/>
  <c r="D29" i="33"/>
  <c r="D28" i="33"/>
  <c r="D27" i="33"/>
  <c r="D26" i="33"/>
  <c r="D25" i="33"/>
  <c r="D22" i="33"/>
  <c r="D21" i="33"/>
  <c r="D20" i="33"/>
  <c r="D19" i="33"/>
  <c r="D18" i="33"/>
  <c r="G10" i="28"/>
  <c r="AH88" i="28"/>
  <c r="AH35" i="28" s="1"/>
  <c r="T88" i="28"/>
  <c r="T35" i="28" s="1"/>
  <c r="D88" i="28"/>
  <c r="R45" i="20"/>
  <c r="R46" i="20"/>
  <c r="R47" i="20"/>
  <c r="R52" i="20"/>
  <c r="R49" i="20"/>
  <c r="R48" i="20"/>
  <c r="C60" i="33"/>
  <c r="C55" i="33"/>
  <c r="C54" i="33"/>
  <c r="C53" i="33"/>
  <c r="C52" i="33"/>
  <c r="C51" i="33"/>
  <c r="C48" i="33"/>
  <c r="C45" i="33"/>
  <c r="C44" i="33"/>
  <c r="C43" i="33"/>
  <c r="C41" i="33"/>
  <c r="C40" i="33"/>
  <c r="C39" i="33"/>
  <c r="C38" i="33"/>
  <c r="C37" i="33"/>
  <c r="C36" i="33"/>
  <c r="C32" i="33"/>
  <c r="C31" i="33"/>
  <c r="C30" i="33"/>
  <c r="C29" i="33"/>
  <c r="C28" i="33"/>
  <c r="C27" i="33"/>
  <c r="C25" i="33"/>
  <c r="C22" i="33"/>
  <c r="C21" i="33"/>
  <c r="C20" i="33"/>
  <c r="C19" i="33"/>
  <c r="C18" i="33"/>
  <c r="C17" i="33"/>
  <c r="C15" i="33"/>
  <c r="C2" i="33"/>
  <c r="C8" i="4"/>
  <c r="C94" i="33"/>
  <c r="I86" i="33"/>
  <c r="H86" i="33"/>
  <c r="G86" i="33"/>
  <c r="F86" i="33"/>
  <c r="E86" i="33"/>
  <c r="D86" i="33"/>
  <c r="C86" i="33"/>
  <c r="D87" i="33"/>
  <c r="E87" i="33"/>
  <c r="F87" i="33"/>
  <c r="G87" i="33"/>
  <c r="H87" i="33"/>
  <c r="I87" i="33"/>
  <c r="I91" i="33"/>
  <c r="H91" i="33"/>
  <c r="G91" i="33"/>
  <c r="F91" i="33"/>
  <c r="E91" i="33"/>
  <c r="D91" i="33"/>
  <c r="C91" i="33"/>
  <c r="C92" i="33"/>
  <c r="C84" i="33"/>
  <c r="C85" i="33"/>
  <c r="C4" i="33"/>
  <c r="D74" i="33"/>
  <c r="D73" i="33"/>
  <c r="C72" i="33"/>
  <c r="C66" i="33"/>
  <c r="C80" i="33"/>
  <c r="C74" i="33"/>
  <c r="E80" i="33" s="1"/>
  <c r="D69" i="33"/>
  <c r="C11" i="33"/>
  <c r="C10" i="33"/>
  <c r="C7" i="33"/>
  <c r="D6" i="25"/>
  <c r="F6" i="7"/>
  <c r="F6" i="25"/>
  <c r="I6" i="7"/>
  <c r="G6" i="6"/>
  <c r="F7" i="17"/>
  <c r="M8" i="31"/>
  <c r="L8" i="31"/>
  <c r="I8" i="31"/>
  <c r="F8" i="31"/>
  <c r="J7" i="31"/>
  <c r="G7" i="31"/>
  <c r="D7" i="31"/>
  <c r="H6" i="19"/>
  <c r="F6" i="19"/>
  <c r="G6" i="18"/>
  <c r="H12" i="14"/>
  <c r="I11" i="14"/>
  <c r="I10" i="14"/>
  <c r="C21" i="14"/>
  <c r="C20" i="14"/>
  <c r="I41" i="33"/>
  <c r="I53" i="33"/>
  <c r="C94" i="28"/>
  <c r="AH78" i="28"/>
  <c r="T78" i="28"/>
  <c r="D78" i="28"/>
  <c r="J6" i="18"/>
  <c r="I36" i="33"/>
  <c r="I25" i="33"/>
  <c r="G62" i="14"/>
  <c r="F62" i="14"/>
  <c r="G36" i="14"/>
  <c r="F36" i="14"/>
  <c r="F9" i="14"/>
  <c r="F32" i="14" s="1"/>
  <c r="G9" i="14"/>
  <c r="I64" i="14"/>
  <c r="H64" i="14"/>
  <c r="I63" i="14"/>
  <c r="H63" i="14"/>
  <c r="I61" i="14"/>
  <c r="H61" i="14"/>
  <c r="I60" i="14"/>
  <c r="H60" i="14"/>
  <c r="I59" i="14"/>
  <c r="H59"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0" i="14"/>
  <c r="H30" i="14"/>
  <c r="I29" i="14"/>
  <c r="H29" i="14"/>
  <c r="I27" i="14"/>
  <c r="H27" i="14"/>
  <c r="I26" i="14"/>
  <c r="H26" i="14"/>
  <c r="I24" i="14"/>
  <c r="H24" i="14"/>
  <c r="I23" i="14"/>
  <c r="H23" i="14"/>
  <c r="I22" i="14"/>
  <c r="H22" i="14"/>
  <c r="I21" i="14"/>
  <c r="H21" i="14"/>
  <c r="I20" i="14"/>
  <c r="H20" i="14"/>
  <c r="I19" i="14"/>
  <c r="H19" i="14"/>
  <c r="I18" i="14"/>
  <c r="H18" i="14"/>
  <c r="I17" i="14"/>
  <c r="H17" i="14"/>
  <c r="I16" i="14"/>
  <c r="H16" i="14"/>
  <c r="I15" i="14"/>
  <c r="H15" i="14"/>
  <c r="I12" i="14"/>
  <c r="H11" i="14"/>
  <c r="H10" i="14"/>
  <c r="G14" i="15"/>
  <c r="F14" i="15"/>
  <c r="E22" i="15"/>
  <c r="G32" i="15"/>
  <c r="G38" i="15"/>
  <c r="F32" i="15"/>
  <c r="F38" i="15"/>
  <c r="G47" i="15"/>
  <c r="F47" i="15"/>
  <c r="I52" i="15"/>
  <c r="H52" i="15"/>
  <c r="I51" i="15"/>
  <c r="H51" i="15"/>
  <c r="I50" i="15"/>
  <c r="H50" i="15"/>
  <c r="I49" i="15"/>
  <c r="H49" i="15"/>
  <c r="I48" i="15"/>
  <c r="H48" i="15"/>
  <c r="I46" i="15"/>
  <c r="H46" i="15"/>
  <c r="I44" i="15"/>
  <c r="H44" i="15"/>
  <c r="I43" i="15"/>
  <c r="H43" i="15"/>
  <c r="I42" i="15"/>
  <c r="H42" i="15"/>
  <c r="I41" i="15"/>
  <c r="H41" i="15"/>
  <c r="I40" i="15"/>
  <c r="H40" i="15"/>
  <c r="I39" i="15"/>
  <c r="H39" i="15"/>
  <c r="I37" i="15"/>
  <c r="H37" i="15"/>
  <c r="I36" i="15"/>
  <c r="H36" i="15"/>
  <c r="I35" i="15"/>
  <c r="H35" i="15"/>
  <c r="I34" i="15"/>
  <c r="H34" i="15"/>
  <c r="I33" i="15"/>
  <c r="H33" i="15"/>
  <c r="I27" i="15"/>
  <c r="H27" i="15"/>
  <c r="I26" i="15"/>
  <c r="H26" i="15"/>
  <c r="I25" i="15"/>
  <c r="H25" i="15"/>
  <c r="I24" i="15"/>
  <c r="H24" i="15"/>
  <c r="I23" i="15"/>
  <c r="H23" i="15"/>
  <c r="I21" i="15"/>
  <c r="H21" i="15"/>
  <c r="I19" i="15"/>
  <c r="H19" i="15"/>
  <c r="I18" i="15"/>
  <c r="H18" i="15"/>
  <c r="I17" i="15"/>
  <c r="H17" i="15"/>
  <c r="I16" i="15"/>
  <c r="H16" i="15"/>
  <c r="I15" i="15"/>
  <c r="H15" i="15"/>
  <c r="I13" i="15"/>
  <c r="H13" i="15"/>
  <c r="I12" i="15"/>
  <c r="H12" i="15"/>
  <c r="I11" i="15"/>
  <c r="H11" i="15"/>
  <c r="I10" i="15"/>
  <c r="H10" i="15"/>
  <c r="E148" i="32"/>
  <c r="C218" i="32"/>
  <c r="C213" i="32"/>
  <c r="E176" i="32"/>
  <c r="E177" i="32"/>
  <c r="E178" i="32"/>
  <c r="E179" i="32"/>
  <c r="E180" i="32"/>
  <c r="E181" i="32"/>
  <c r="D176" i="32"/>
  <c r="E182" i="32" s="1"/>
  <c r="E170" i="32"/>
  <c r="E171" i="32"/>
  <c r="E172" i="32"/>
  <c r="E173" i="32"/>
  <c r="E174" i="32"/>
  <c r="D169" i="32"/>
  <c r="E175" i="32" s="1"/>
  <c r="E169" i="32"/>
  <c r="E162" i="32"/>
  <c r="E163" i="32"/>
  <c r="E164" i="32"/>
  <c r="E165" i="32"/>
  <c r="E166" i="32"/>
  <c r="E167" i="32"/>
  <c r="D158" i="32"/>
  <c r="E168" i="32" s="1"/>
  <c r="E158" i="32"/>
  <c r="E159" i="32"/>
  <c r="E160" i="32"/>
  <c r="E161" i="32"/>
  <c r="E146" i="32"/>
  <c r="E147" i="32"/>
  <c r="E149" i="32"/>
  <c r="E150" i="32"/>
  <c r="E151" i="32"/>
  <c r="E152" i="32"/>
  <c r="E153" i="32"/>
  <c r="E154" i="32"/>
  <c r="E155" i="32"/>
  <c r="E156" i="32"/>
  <c r="D145" i="32"/>
  <c r="E145" i="32"/>
  <c r="E141" i="32"/>
  <c r="E142" i="32"/>
  <c r="D140" i="32"/>
  <c r="D206" i="32" s="1"/>
  <c r="E144" i="32"/>
  <c r="E136" i="32"/>
  <c r="E137" i="32"/>
  <c r="E138" i="32"/>
  <c r="D128" i="32"/>
  <c r="E140" i="32"/>
  <c r="E129" i="32"/>
  <c r="E130" i="32"/>
  <c r="E131" i="32"/>
  <c r="E132" i="32"/>
  <c r="E133" i="32"/>
  <c r="E134" i="32"/>
  <c r="E135" i="32"/>
  <c r="D119" i="32"/>
  <c r="E126" i="32" s="1"/>
  <c r="E127" i="32"/>
  <c r="E128" i="32"/>
  <c r="E124" i="32"/>
  <c r="E125" i="32"/>
  <c r="E121" i="32"/>
  <c r="E122" i="32"/>
  <c r="E123" i="32"/>
  <c r="E120" i="32"/>
  <c r="E119" i="32"/>
  <c r="D109" i="32"/>
  <c r="E117" i="32" s="1"/>
  <c r="E118" i="32"/>
  <c r="E116" i="32"/>
  <c r="E115" i="32"/>
  <c r="E110" i="32"/>
  <c r="E111" i="32"/>
  <c r="E112" i="32"/>
  <c r="E113" i="32"/>
  <c r="E114" i="32"/>
  <c r="E109" i="32"/>
  <c r="D103" i="32"/>
  <c r="E108" i="32"/>
  <c r="E103" i="32"/>
  <c r="E104" i="32"/>
  <c r="E105" i="32"/>
  <c r="E106" i="32"/>
  <c r="E93" i="32"/>
  <c r="E94" i="32"/>
  <c r="E95" i="32"/>
  <c r="E96" i="32"/>
  <c r="E97" i="32"/>
  <c r="E98" i="32"/>
  <c r="E99" i="32"/>
  <c r="E100" i="32"/>
  <c r="E101" i="32"/>
  <c r="D92" i="32"/>
  <c r="D76" i="32"/>
  <c r="D200" i="32" s="1"/>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8" i="32" s="1"/>
  <c r="E50" i="32"/>
  <c r="E51" i="32"/>
  <c r="E52" i="32"/>
  <c r="E53" i="32"/>
  <c r="D49" i="32"/>
  <c r="E54" i="32" s="1"/>
  <c r="E55" i="32"/>
  <c r="D38" i="32"/>
  <c r="E49" i="32"/>
  <c r="E43" i="32"/>
  <c r="E44" i="32"/>
  <c r="E45" i="32"/>
  <c r="E46" i="32"/>
  <c r="E47" i="32"/>
  <c r="E39" i="32"/>
  <c r="E40" i="32"/>
  <c r="E41" i="32"/>
  <c r="E42" i="32"/>
  <c r="D31" i="32"/>
  <c r="D195" i="32" s="1"/>
  <c r="E38" i="32"/>
  <c r="E35" i="32"/>
  <c r="E34" i="32"/>
  <c r="E33" i="32"/>
  <c r="E32" i="32"/>
  <c r="C31" i="32"/>
  <c r="C195" i="32" s="1"/>
  <c r="E31" i="32"/>
  <c r="E23" i="32"/>
  <c r="E24" i="32"/>
  <c r="E25" i="32"/>
  <c r="E26" i="32"/>
  <c r="E27" i="32"/>
  <c r="C22" i="32"/>
  <c r="E29" i="32"/>
  <c r="C29" i="32"/>
  <c r="C194" i="32" s="1"/>
  <c r="C14" i="32"/>
  <c r="E22" i="32"/>
  <c r="E20" i="32"/>
  <c r="E19" i="32"/>
  <c r="E18" i="32"/>
  <c r="E17" i="32"/>
  <c r="E16" i="32"/>
  <c r="E15" i="32"/>
  <c r="E14" i="32"/>
  <c r="E11" i="32"/>
  <c r="E12" i="32"/>
  <c r="E10" i="32"/>
  <c r="C2" i="32"/>
  <c r="H7" i="25"/>
  <c r="F7" i="25"/>
  <c r="C71" i="10"/>
  <c r="C72" i="10"/>
  <c r="F35" i="12"/>
  <c r="J7" i="15"/>
  <c r="I7" i="15"/>
  <c r="I6" i="15"/>
  <c r="H6" i="15"/>
  <c r="F6" i="15"/>
  <c r="J7" i="14"/>
  <c r="I7" i="14"/>
  <c r="I6" i="14"/>
  <c r="H6" i="14"/>
  <c r="F6" i="14"/>
  <c r="J7" i="13"/>
  <c r="I7" i="13"/>
  <c r="I6" i="13"/>
  <c r="H6" i="13"/>
  <c r="F6" i="13"/>
  <c r="J7" i="12"/>
  <c r="I7" i="12"/>
  <c r="I6" i="12"/>
  <c r="H6" i="12"/>
  <c r="F6" i="12"/>
  <c r="J7" i="11"/>
  <c r="I7" i="11"/>
  <c r="I6" i="11"/>
  <c r="H6" i="11"/>
  <c r="F6" i="11"/>
  <c r="I6" i="9"/>
  <c r="J5" i="8"/>
  <c r="J7" i="9"/>
  <c r="I7" i="9"/>
  <c r="H6" i="9"/>
  <c r="F6" i="9"/>
  <c r="K6" i="8"/>
  <c r="J6" i="8"/>
  <c r="I5" i="8"/>
  <c r="G5" i="8"/>
  <c r="J7" i="7"/>
  <c r="L9" i="24"/>
  <c r="C63" i="7"/>
  <c r="D10" i="33"/>
  <c r="C64" i="7"/>
  <c r="F8" i="17"/>
  <c r="H7" i="19"/>
  <c r="E6" i="19"/>
  <c r="D6" i="19"/>
  <c r="C77" i="28"/>
  <c r="I73" i="33"/>
  <c r="I74" i="33"/>
  <c r="C88" i="11"/>
  <c r="I48" i="33"/>
  <c r="I19" i="33"/>
  <c r="I18" i="33"/>
  <c r="I17" i="33"/>
  <c r="E6" i="18"/>
  <c r="C90" i="17"/>
  <c r="E72" i="9"/>
  <c r="E71" i="9"/>
  <c r="E68" i="9" s="1"/>
  <c r="E70" i="9"/>
  <c r="J6" i="25"/>
  <c r="D28" i="25"/>
  <c r="K10" i="6"/>
  <c r="K9" i="6" s="1"/>
  <c r="K30" i="6"/>
  <c r="K42" i="6"/>
  <c r="D37" i="25"/>
  <c r="E36" i="25"/>
  <c r="D36" i="25"/>
  <c r="E35" i="25"/>
  <c r="D35" i="25"/>
  <c r="E34" i="25"/>
  <c r="D34" i="25"/>
  <c r="D32" i="25"/>
  <c r="E31" i="25"/>
  <c r="D31" i="25"/>
  <c r="D30" i="25"/>
  <c r="E29" i="25"/>
  <c r="D29" i="25"/>
  <c r="D27" i="25"/>
  <c r="Q30" i="6"/>
  <c r="D21" i="25"/>
  <c r="E21" i="25"/>
  <c r="E20" i="25"/>
  <c r="D20" i="25"/>
  <c r="E19" i="25"/>
  <c r="D19" i="25"/>
  <c r="E18" i="25"/>
  <c r="G18" i="25" s="1"/>
  <c r="I18" i="25" s="1"/>
  <c r="D18" i="25"/>
  <c r="D16" i="25"/>
  <c r="D15" i="25"/>
  <c r="E14" i="25"/>
  <c r="D14" i="25"/>
  <c r="E13" i="25"/>
  <c r="D13" i="25"/>
  <c r="E12" i="25"/>
  <c r="G12" i="25" s="1"/>
  <c r="I12" i="25" s="1"/>
  <c r="D12" i="25"/>
  <c r="E11" i="25"/>
  <c r="D11" i="25"/>
  <c r="G11" i="25" s="1"/>
  <c r="Q10" i="6"/>
  <c r="E27" i="25"/>
  <c r="E15" i="25"/>
  <c r="E30" i="25"/>
  <c r="G30" i="25" s="1"/>
  <c r="I30" i="25" s="1"/>
  <c r="E32" i="25"/>
  <c r="E28" i="25"/>
  <c r="E16" i="25"/>
  <c r="G16" i="25" s="1"/>
  <c r="E37" i="25"/>
  <c r="Q42" i="6"/>
  <c r="S6" i="6"/>
  <c r="C73" i="28"/>
  <c r="C61" i="28"/>
  <c r="C60" i="28"/>
  <c r="AH56" i="28"/>
  <c r="AH57" i="28"/>
  <c r="AH58" i="28"/>
  <c r="AH59" i="28"/>
  <c r="AH60" i="28"/>
  <c r="AH61" i="28"/>
  <c r="AH62" i="28"/>
  <c r="AH64" i="28"/>
  <c r="AH65" i="28"/>
  <c r="AH68" i="28"/>
  <c r="AH70" i="28"/>
  <c r="AH71" i="28"/>
  <c r="AH72" i="28"/>
  <c r="AH73" i="28"/>
  <c r="AH74" i="28"/>
  <c r="AH17" i="28" s="1"/>
  <c r="AH75" i="28"/>
  <c r="AH77" i="28"/>
  <c r="AH83" i="28"/>
  <c r="AH84" i="28"/>
  <c r="AH85" i="28"/>
  <c r="AH86" i="28"/>
  <c r="AH89" i="28"/>
  <c r="AH37" i="28" s="1"/>
  <c r="AH91" i="28"/>
  <c r="V53" i="28"/>
  <c r="G53" i="28"/>
  <c r="V5" i="28"/>
  <c r="G5" i="28"/>
  <c r="D30" i="9"/>
  <c r="D29" i="9"/>
  <c r="D28" i="9"/>
  <c r="D27" i="9"/>
  <c r="D26" i="9"/>
  <c r="D25" i="9"/>
  <c r="E30" i="9"/>
  <c r="E29" i="9"/>
  <c r="E28" i="9"/>
  <c r="E27" i="9"/>
  <c r="E26" i="9"/>
  <c r="E25" i="9"/>
  <c r="D23" i="9"/>
  <c r="E23" i="9"/>
  <c r="D21" i="9"/>
  <c r="D19" i="9"/>
  <c r="D18" i="9"/>
  <c r="D17" i="9"/>
  <c r="D16" i="9"/>
  <c r="E21" i="9"/>
  <c r="E19" i="9"/>
  <c r="E18" i="9"/>
  <c r="E17" i="9"/>
  <c r="E16" i="9"/>
  <c r="D71" i="9"/>
  <c r="D70" i="9"/>
  <c r="I6" i="10"/>
  <c r="F6" i="10"/>
  <c r="E6" i="10"/>
  <c r="H11" i="10"/>
  <c r="D17" i="13"/>
  <c r="D15" i="13" s="1"/>
  <c r="D14" i="13" s="1"/>
  <c r="H42" i="13"/>
  <c r="H41" i="13"/>
  <c r="H40" i="13"/>
  <c r="H39" i="13"/>
  <c r="H38" i="13"/>
  <c r="H35" i="13"/>
  <c r="H34" i="13"/>
  <c r="H33" i="13"/>
  <c r="H32" i="13"/>
  <c r="H31" i="13"/>
  <c r="H25" i="13"/>
  <c r="H23" i="13"/>
  <c r="H22" i="13"/>
  <c r="H21" i="13"/>
  <c r="H20" i="13"/>
  <c r="H19" i="13"/>
  <c r="H18" i="13"/>
  <c r="H16" i="13"/>
  <c r="H13" i="13"/>
  <c r="H12" i="13"/>
  <c r="H10" i="13"/>
  <c r="G11" i="13"/>
  <c r="F11" i="13"/>
  <c r="E11" i="13"/>
  <c r="E9" i="13" s="1"/>
  <c r="G30" i="9"/>
  <c r="G29" i="9"/>
  <c r="G28" i="9"/>
  <c r="G27" i="9"/>
  <c r="I27" i="9" s="1"/>
  <c r="G26" i="9"/>
  <c r="G25" i="9"/>
  <c r="G23" i="9"/>
  <c r="G21" i="9"/>
  <c r="G19" i="9"/>
  <c r="G18" i="9"/>
  <c r="H18" i="9" s="1"/>
  <c r="G17" i="9"/>
  <c r="G16" i="9"/>
  <c r="F30" i="9"/>
  <c r="F29" i="9"/>
  <c r="F28" i="9"/>
  <c r="F27" i="9"/>
  <c r="F26" i="9"/>
  <c r="F25" i="9"/>
  <c r="F23" i="9"/>
  <c r="F21" i="9"/>
  <c r="F19" i="9"/>
  <c r="F18" i="9"/>
  <c r="F17" i="9"/>
  <c r="F16" i="9"/>
  <c r="D47" i="15"/>
  <c r="D45" i="15" s="1"/>
  <c r="D38" i="15"/>
  <c r="D32" i="15"/>
  <c r="D31" i="15" s="1"/>
  <c r="D22" i="15"/>
  <c r="D20" i="15" s="1"/>
  <c r="D14" i="15"/>
  <c r="D9" i="15"/>
  <c r="D8" i="15" s="1"/>
  <c r="D62" i="14"/>
  <c r="D36" i="14"/>
  <c r="D35" i="14" s="1"/>
  <c r="D34" i="14" s="1"/>
  <c r="D28" i="14"/>
  <c r="D14" i="14"/>
  <c r="D9" i="14"/>
  <c r="D36" i="13"/>
  <c r="D30" i="13"/>
  <c r="D24" i="13"/>
  <c r="J5" i="12"/>
  <c r="J5" i="11"/>
  <c r="J5" i="9"/>
  <c r="D5" i="8"/>
  <c r="E43" i="8"/>
  <c r="E41" i="8" s="1"/>
  <c r="E35" i="8"/>
  <c r="E29" i="8"/>
  <c r="E20" i="8"/>
  <c r="E18" i="8" s="1"/>
  <c r="E13" i="8"/>
  <c r="E8" i="8" s="1"/>
  <c r="E9" i="8"/>
  <c r="D44" i="7"/>
  <c r="D42" i="7" s="1"/>
  <c r="D36" i="7"/>
  <c r="D30" i="7"/>
  <c r="D21" i="7"/>
  <c r="D19" i="7" s="1"/>
  <c r="D14" i="7"/>
  <c r="D9" i="7" s="1"/>
  <c r="D10" i="7"/>
  <c r="L5" i="8"/>
  <c r="C59" i="8"/>
  <c r="H43" i="13"/>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56" i="9"/>
  <c r="H55" i="9"/>
  <c r="H54" i="9"/>
  <c r="H53" i="9"/>
  <c r="H52" i="9"/>
  <c r="H50" i="9"/>
  <c r="H47" i="9"/>
  <c r="H46" i="9"/>
  <c r="H45" i="9"/>
  <c r="H44" i="9"/>
  <c r="H43" i="9"/>
  <c r="H42" i="9"/>
  <c r="H40" i="9"/>
  <c r="H39" i="9"/>
  <c r="H38" i="9"/>
  <c r="H37" i="9"/>
  <c r="H36" i="9"/>
  <c r="I46" i="8"/>
  <c r="I45" i="8"/>
  <c r="I44" i="8"/>
  <c r="I42" i="8"/>
  <c r="I39" i="8"/>
  <c r="I38" i="8"/>
  <c r="I37" i="8"/>
  <c r="I36" i="8"/>
  <c r="I34" i="8"/>
  <c r="I33" i="8"/>
  <c r="I32" i="8"/>
  <c r="I31" i="8"/>
  <c r="I30" i="8"/>
  <c r="I23" i="8"/>
  <c r="I22" i="8"/>
  <c r="I21" i="8"/>
  <c r="I19" i="8"/>
  <c r="I16" i="8"/>
  <c r="I15" i="8"/>
  <c r="I14" i="8"/>
  <c r="I12" i="8"/>
  <c r="I11" i="8"/>
  <c r="I10" i="8"/>
  <c r="H47" i="7"/>
  <c r="H46" i="7"/>
  <c r="H45" i="7"/>
  <c r="H43" i="7"/>
  <c r="H40" i="7"/>
  <c r="H39" i="7"/>
  <c r="H38" i="7"/>
  <c r="H37" i="7"/>
  <c r="H35" i="7"/>
  <c r="H34" i="7"/>
  <c r="H33" i="7"/>
  <c r="H32" i="7"/>
  <c r="H31" i="7"/>
  <c r="H24" i="7"/>
  <c r="H23" i="7"/>
  <c r="H22" i="7"/>
  <c r="H20" i="7"/>
  <c r="H17" i="7"/>
  <c r="H16" i="7"/>
  <c r="H15" i="7"/>
  <c r="H13" i="7"/>
  <c r="H12" i="7"/>
  <c r="H11" i="7"/>
  <c r="D534" i="27"/>
  <c r="D533" i="27"/>
  <c r="D532" i="27"/>
  <c r="D530" i="27"/>
  <c r="D529" i="27"/>
  <c r="D528" i="27"/>
  <c r="D527" i="27"/>
  <c r="D526" i="27"/>
  <c r="D525" i="27"/>
  <c r="D524" i="27"/>
  <c r="D523" i="27"/>
  <c r="D410" i="27"/>
  <c r="D409" i="27"/>
  <c r="D408" i="27"/>
  <c r="D407" i="27"/>
  <c r="D406" i="27"/>
  <c r="D405" i="27"/>
  <c r="D404" i="27"/>
  <c r="D403" i="27"/>
  <c r="D402" i="27"/>
  <c r="D401" i="27"/>
  <c r="D400" i="27"/>
  <c r="D399" i="27"/>
  <c r="D273" i="27"/>
  <c r="D272" i="27"/>
  <c r="D271" i="27"/>
  <c r="D270" i="27"/>
  <c r="D269" i="27"/>
  <c r="D268" i="27"/>
  <c r="D267" i="27"/>
  <c r="D266" i="27"/>
  <c r="D265" i="27"/>
  <c r="D264" i="27"/>
  <c r="D263" i="27"/>
  <c r="D262" i="27"/>
  <c r="D137" i="27"/>
  <c r="D136" i="27"/>
  <c r="D135" i="27"/>
  <c r="D134" i="27"/>
  <c r="D133" i="27"/>
  <c r="D132" i="27"/>
  <c r="D131" i="27"/>
  <c r="D130" i="27"/>
  <c r="D129" i="27"/>
  <c r="D128" i="27"/>
  <c r="D127" i="27"/>
  <c r="D126" i="27"/>
  <c r="I60" i="33"/>
  <c r="H62" i="33"/>
  <c r="H70" i="33" s="1"/>
  <c r="H82" i="33" s="1"/>
  <c r="G62" i="33"/>
  <c r="G70" i="33" s="1"/>
  <c r="F62" i="33"/>
  <c r="F70" i="33" s="1"/>
  <c r="E62" i="33"/>
  <c r="I66" i="33"/>
  <c r="I56" i="33"/>
  <c r="I55" i="33"/>
  <c r="I54" i="33"/>
  <c r="I52" i="33"/>
  <c r="I46" i="33"/>
  <c r="I51" i="33"/>
  <c r="I45" i="33"/>
  <c r="I44" i="33"/>
  <c r="I43" i="33"/>
  <c r="I40" i="33"/>
  <c r="I39" i="33"/>
  <c r="I38" i="33"/>
  <c r="I37" i="33"/>
  <c r="I33" i="33"/>
  <c r="I32" i="33"/>
  <c r="I31" i="33"/>
  <c r="I30" i="33"/>
  <c r="I29" i="33"/>
  <c r="I28" i="33"/>
  <c r="I27" i="33"/>
  <c r="I26" i="33"/>
  <c r="I22" i="33"/>
  <c r="I21" i="33"/>
  <c r="I20" i="33"/>
  <c r="D33" i="30"/>
  <c r="D22" i="30"/>
  <c r="D7" i="30"/>
  <c r="T56" i="28"/>
  <c r="T9" i="28" s="1"/>
  <c r="T57" i="28"/>
  <c r="T58" i="28"/>
  <c r="T59" i="28"/>
  <c r="T60" i="28"/>
  <c r="T61" i="28"/>
  <c r="T62" i="28"/>
  <c r="T64" i="28"/>
  <c r="T65" i="28"/>
  <c r="T68" i="28"/>
  <c r="T70" i="28"/>
  <c r="T71" i="28"/>
  <c r="T72" i="28"/>
  <c r="T73" i="28"/>
  <c r="T74" i="28"/>
  <c r="T17" i="28" s="1"/>
  <c r="T75" i="28"/>
  <c r="T77" i="28"/>
  <c r="T83" i="28"/>
  <c r="T84" i="28"/>
  <c r="T85" i="28"/>
  <c r="T31" i="28" s="1"/>
  <c r="T89" i="28"/>
  <c r="T37" i="28"/>
  <c r="T91" i="28"/>
  <c r="H13" i="33"/>
  <c r="G13" i="33"/>
  <c r="AA33" i="28"/>
  <c r="Y33" i="28"/>
  <c r="C75" i="28"/>
  <c r="D75" i="28"/>
  <c r="F70" i="9"/>
  <c r="G70" i="9"/>
  <c r="F71" i="9"/>
  <c r="G71" i="9"/>
  <c r="G68" i="9" s="1"/>
  <c r="E10" i="6"/>
  <c r="G10" i="6"/>
  <c r="H10" i="6"/>
  <c r="I10" i="6"/>
  <c r="J10" i="6"/>
  <c r="M10" i="6"/>
  <c r="N10" i="6"/>
  <c r="O10" i="6"/>
  <c r="P10" i="6"/>
  <c r="S10" i="6"/>
  <c r="S9" i="6" s="1"/>
  <c r="C35" i="7"/>
  <c r="G54" i="10"/>
  <c r="G52" i="10" s="1"/>
  <c r="H52" i="10" s="1"/>
  <c r="F13" i="33"/>
  <c r="D34" i="20"/>
  <c r="D32" i="20"/>
  <c r="S42" i="6"/>
  <c r="S19" i="6"/>
  <c r="P42" i="6"/>
  <c r="J42" i="6"/>
  <c r="O42" i="6"/>
  <c r="I42" i="6"/>
  <c r="N42" i="6"/>
  <c r="M42" i="6"/>
  <c r="M101" i="6" s="1"/>
  <c r="H42" i="6"/>
  <c r="G42" i="6"/>
  <c r="E42" i="6"/>
  <c r="S30" i="6"/>
  <c r="S29" i="6" s="1"/>
  <c r="N30" i="6"/>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D66" i="33"/>
  <c r="D11" i="33"/>
  <c r="D7" i="33"/>
  <c r="H7" i="33"/>
  <c r="G7" i="33"/>
  <c r="F7" i="33"/>
  <c r="E7" i="33"/>
  <c r="C13" i="33"/>
  <c r="C62" i="33"/>
  <c r="C64" i="33"/>
  <c r="I6" i="33"/>
  <c r="C49" i="14"/>
  <c r="C2" i="30"/>
  <c r="C2" i="27"/>
  <c r="C2" i="20"/>
  <c r="C2" i="19"/>
  <c r="C2" i="18"/>
  <c r="C2" i="17"/>
  <c r="C2" i="31"/>
  <c r="C2" i="15"/>
  <c r="C2" i="14"/>
  <c r="C2" i="13"/>
  <c r="C2" i="12"/>
  <c r="C2" i="11"/>
  <c r="C2" i="10"/>
  <c r="C2" i="9"/>
  <c r="C2" i="8"/>
  <c r="C2" i="7"/>
  <c r="C25" i="4"/>
  <c r="C24" i="4"/>
  <c r="C23" i="4"/>
  <c r="C22" i="4"/>
  <c r="C21" i="4"/>
  <c r="C20" i="4"/>
  <c r="C19" i="4"/>
  <c r="C18" i="4"/>
  <c r="C17" i="4"/>
  <c r="C16" i="4"/>
  <c r="C15" i="4"/>
  <c r="C14" i="4"/>
  <c r="C13" i="4"/>
  <c r="C12" i="4"/>
  <c r="C11" i="4"/>
  <c r="C10" i="4"/>
  <c r="C9" i="4"/>
  <c r="Q67" i="6"/>
  <c r="P67" i="6"/>
  <c r="O67" i="6"/>
  <c r="N67" i="6"/>
  <c r="M67" i="6"/>
  <c r="K67" i="6"/>
  <c r="J67" i="6"/>
  <c r="I67" i="6"/>
  <c r="H67" i="6"/>
  <c r="G67" i="6"/>
  <c r="S8" i="6"/>
  <c r="Q8" i="6"/>
  <c r="P8" i="6"/>
  <c r="O8" i="6"/>
  <c r="N8" i="6"/>
  <c r="M8" i="6"/>
  <c r="K8" i="6"/>
  <c r="J8" i="6"/>
  <c r="I8" i="6"/>
  <c r="H8" i="6"/>
  <c r="G8" i="6"/>
  <c r="E8" i="6"/>
  <c r="C16" i="14"/>
  <c r="K107" i="6"/>
  <c r="J107" i="6"/>
  <c r="I107" i="6"/>
  <c r="H107" i="6"/>
  <c r="G107" i="6"/>
  <c r="Q106" i="6"/>
  <c r="P106" i="6"/>
  <c r="O106" i="6"/>
  <c r="N106" i="6"/>
  <c r="M106" i="6"/>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K100" i="6"/>
  <c r="J100" i="6"/>
  <c r="I100" i="6"/>
  <c r="H100" i="6"/>
  <c r="G100" i="6"/>
  <c r="Q99" i="6"/>
  <c r="P99" i="6"/>
  <c r="O99" i="6"/>
  <c r="N99" i="6"/>
  <c r="M99"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K84" i="6"/>
  <c r="J84" i="6"/>
  <c r="I84" i="6"/>
  <c r="H84" i="6"/>
  <c r="G84" i="6"/>
  <c r="Q83" i="6"/>
  <c r="P83" i="6"/>
  <c r="O83" i="6"/>
  <c r="N83" i="6"/>
  <c r="M83"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K77" i="6"/>
  <c r="J77" i="6"/>
  <c r="I77" i="6"/>
  <c r="H77" i="6"/>
  <c r="G77" i="6"/>
  <c r="Q76" i="6"/>
  <c r="P76" i="6"/>
  <c r="O76" i="6"/>
  <c r="N76" i="6"/>
  <c r="M76"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S66" i="6"/>
  <c r="M66" i="6"/>
  <c r="S65" i="6"/>
  <c r="L46" i="8"/>
  <c r="L45" i="8"/>
  <c r="L44" i="8"/>
  <c r="L42" i="8"/>
  <c r="L39" i="8"/>
  <c r="L38" i="8"/>
  <c r="L37" i="8"/>
  <c r="L36" i="8"/>
  <c r="L34" i="8"/>
  <c r="L33" i="8"/>
  <c r="L32" i="8"/>
  <c r="L31" i="8"/>
  <c r="L30" i="8"/>
  <c r="L23" i="8"/>
  <c r="L22" i="8"/>
  <c r="L21" i="8"/>
  <c r="L19" i="8"/>
  <c r="L16" i="8"/>
  <c r="L15" i="8"/>
  <c r="L14" i="8"/>
  <c r="L12" i="8"/>
  <c r="L11" i="8"/>
  <c r="L10" i="8"/>
  <c r="E6" i="15"/>
  <c r="E6" i="13"/>
  <c r="E6" i="12"/>
  <c r="E6" i="11"/>
  <c r="E6" i="9"/>
  <c r="F5" i="8"/>
  <c r="E6" i="7"/>
  <c r="E6" i="14"/>
  <c r="C84" i="12"/>
  <c r="C84" i="11" s="1"/>
  <c r="E47" i="15"/>
  <c r="E45" i="15" s="1"/>
  <c r="E38" i="15"/>
  <c r="E32" i="15"/>
  <c r="E14" i="15"/>
  <c r="E62" i="14"/>
  <c r="E36" i="14"/>
  <c r="H36" i="14" s="1"/>
  <c r="E28" i="14"/>
  <c r="E9" i="14"/>
  <c r="E32" i="14" s="1"/>
  <c r="E36" i="13"/>
  <c r="E29" i="13" s="1"/>
  <c r="E45" i="13" s="1"/>
  <c r="E30" i="13"/>
  <c r="E24" i="13"/>
  <c r="E17" i="13"/>
  <c r="E15" i="13" s="1"/>
  <c r="E14" i="13" s="1"/>
  <c r="E51" i="12"/>
  <c r="E49" i="12" s="1"/>
  <c r="E41" i="12"/>
  <c r="E35" i="12"/>
  <c r="E24" i="12"/>
  <c r="E22" i="12" s="1"/>
  <c r="E15" i="12"/>
  <c r="E10" i="12"/>
  <c r="E51" i="11"/>
  <c r="E41" i="11"/>
  <c r="H41" i="11" s="1"/>
  <c r="E35" i="11"/>
  <c r="E24" i="11"/>
  <c r="E22" i="11" s="1"/>
  <c r="E15" i="11"/>
  <c r="E10" i="11"/>
  <c r="E51" i="9"/>
  <c r="E49" i="9" s="1"/>
  <c r="E41" i="9"/>
  <c r="E35" i="9"/>
  <c r="H35" i="9" s="1"/>
  <c r="D64" i="10"/>
  <c r="D54" i="10"/>
  <c r="D52" i="10" s="1"/>
  <c r="D45" i="10"/>
  <c r="D39" i="10"/>
  <c r="D35" i="10"/>
  <c r="D30" i="10"/>
  <c r="D14" i="9" s="1"/>
  <c r="D24" i="10"/>
  <c r="D13" i="9" s="1"/>
  <c r="D14" i="10"/>
  <c r="D12" i="9" s="1"/>
  <c r="D10" i="10"/>
  <c r="D9" i="10" s="1"/>
  <c r="F43" i="8"/>
  <c r="F41" i="8" s="1"/>
  <c r="F35" i="8"/>
  <c r="F29" i="8"/>
  <c r="F28" i="8" s="1"/>
  <c r="F20" i="8"/>
  <c r="F13" i="8"/>
  <c r="F8" i="8" s="1"/>
  <c r="E44" i="7"/>
  <c r="E42" i="7" s="1"/>
  <c r="E36" i="7"/>
  <c r="E30" i="7"/>
  <c r="E21" i="7"/>
  <c r="E19" i="7"/>
  <c r="E14" i="7"/>
  <c r="E9" i="7" s="1"/>
  <c r="E10" i="7"/>
  <c r="H56" i="10"/>
  <c r="F14" i="9"/>
  <c r="F14" i="10"/>
  <c r="F12" i="9" s="1"/>
  <c r="G14" i="10"/>
  <c r="G12" i="9" s="1"/>
  <c r="I10" i="33"/>
  <c r="I11" i="33"/>
  <c r="I15" i="33"/>
  <c r="D82" i="27"/>
  <c r="C107" i="6"/>
  <c r="C106" i="6"/>
  <c r="C105" i="6"/>
  <c r="C104" i="6"/>
  <c r="C103" i="6"/>
  <c r="C102" i="6"/>
  <c r="C101" i="6"/>
  <c r="C100" i="6"/>
  <c r="C99" i="6"/>
  <c r="C98" i="6"/>
  <c r="C97" i="6"/>
  <c r="C96" i="6"/>
  <c r="C95" i="6"/>
  <c r="C94" i="6"/>
  <c r="C93" i="6"/>
  <c r="C92" i="6"/>
  <c r="C91" i="6"/>
  <c r="C90" i="6"/>
  <c r="C89" i="6"/>
  <c r="C88" i="6"/>
  <c r="C84" i="6"/>
  <c r="C83" i="6"/>
  <c r="C82" i="6"/>
  <c r="C81" i="6"/>
  <c r="C80" i="6"/>
  <c r="C79" i="6"/>
  <c r="C78" i="6"/>
  <c r="C77" i="6"/>
  <c r="C76" i="6"/>
  <c r="C75" i="6"/>
  <c r="C74" i="6"/>
  <c r="C73" i="6"/>
  <c r="C72" i="6"/>
  <c r="C71" i="6"/>
  <c r="C70" i="6"/>
  <c r="C69" i="6"/>
  <c r="C68" i="6"/>
  <c r="C33" i="6"/>
  <c r="C32" i="6"/>
  <c r="C31" i="6"/>
  <c r="C46" i="6"/>
  <c r="C45" i="6"/>
  <c r="C38" i="6"/>
  <c r="C37" i="6"/>
  <c r="C24" i="6"/>
  <c r="C23" i="6"/>
  <c r="C22" i="6"/>
  <c r="C21" i="6"/>
  <c r="C20" i="6"/>
  <c r="C16" i="6"/>
  <c r="C15" i="6"/>
  <c r="C14" i="6"/>
  <c r="C20" i="25"/>
  <c r="C19" i="25"/>
  <c r="C18" i="25"/>
  <c r="C14" i="25"/>
  <c r="C117" i="6"/>
  <c r="C115" i="6"/>
  <c r="C114" i="6"/>
  <c r="C113" i="6"/>
  <c r="C112" i="6"/>
  <c r="C111" i="6"/>
  <c r="G66" i="6"/>
  <c r="C62" i="6"/>
  <c r="C59"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S5" i="6"/>
  <c r="C220" i="32"/>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G211" i="32"/>
  <c r="G189" i="32"/>
  <c r="G6" i="32"/>
  <c r="G182" i="32"/>
  <c r="C38"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1" i="32"/>
  <c r="C219" i="32"/>
  <c r="C217" i="32"/>
  <c r="E210" i="32"/>
  <c r="E209" i="32"/>
  <c r="E208" i="32"/>
  <c r="E207" i="32"/>
  <c r="E206" i="32"/>
  <c r="E205" i="32"/>
  <c r="E204" i="32"/>
  <c r="E203" i="32"/>
  <c r="E202" i="32"/>
  <c r="E201" i="32"/>
  <c r="E200" i="32"/>
  <c r="E199" i="32"/>
  <c r="E198" i="32"/>
  <c r="E197" i="32"/>
  <c r="E196" i="32"/>
  <c r="E195" i="32"/>
  <c r="E194" i="32"/>
  <c r="E193" i="32"/>
  <c r="E192" i="32"/>
  <c r="E191" i="32"/>
  <c r="F189" i="32"/>
  <c r="E188" i="32"/>
  <c r="D188" i="32"/>
  <c r="C188" i="32"/>
  <c r="C185" i="32"/>
  <c r="C183" i="32"/>
  <c r="C176" i="32"/>
  <c r="C210" i="32" s="1"/>
  <c r="C169" i="32"/>
  <c r="C209" i="32" s="1"/>
  <c r="C158" i="32"/>
  <c r="C208" i="32" s="1"/>
  <c r="C145" i="32"/>
  <c r="C207" i="32" s="1"/>
  <c r="C140" i="32"/>
  <c r="C206" i="32" s="1"/>
  <c r="C128" i="32"/>
  <c r="C205" i="32" s="1"/>
  <c r="C119" i="32"/>
  <c r="C204" i="32" s="1"/>
  <c r="C109" i="32"/>
  <c r="C203" i="32" s="1"/>
  <c r="C103" i="32"/>
  <c r="C202" i="32" s="1"/>
  <c r="C92" i="32"/>
  <c r="C201" i="32" s="1"/>
  <c r="C76" i="32"/>
  <c r="C200" i="32" s="1"/>
  <c r="C62" i="32"/>
  <c r="C199" i="32" s="1"/>
  <c r="D61" i="32"/>
  <c r="C55" i="32"/>
  <c r="C198" i="32" s="1"/>
  <c r="C49" i="32"/>
  <c r="C197" i="32" s="1"/>
  <c r="C38" i="32"/>
  <c r="C196" i="32" s="1"/>
  <c r="D29" i="32"/>
  <c r="D194" i="32" s="1"/>
  <c r="D22" i="32"/>
  <c r="D193" i="32" s="1"/>
  <c r="D14" i="32"/>
  <c r="D192" i="32" s="1"/>
  <c r="E9" i="32"/>
  <c r="E8" i="32"/>
  <c r="D8" i="32"/>
  <c r="D191" i="32" s="1"/>
  <c r="C8" i="32"/>
  <c r="C191" i="32" s="1"/>
  <c r="F6" i="32"/>
  <c r="E5" i="32"/>
  <c r="D5" i="32"/>
  <c r="C5" i="32"/>
  <c r="C12" i="8"/>
  <c r="C10" i="28"/>
  <c r="F182" i="32"/>
  <c r="F211" i="32"/>
  <c r="D81" i="27"/>
  <c r="G24" i="13"/>
  <c r="F24" i="13"/>
  <c r="C53" i="14"/>
  <c r="C48" i="14"/>
  <c r="C89" i="28"/>
  <c r="D84" i="28"/>
  <c r="C84" i="28"/>
  <c r="C83" i="28"/>
  <c r="C26" i="17"/>
  <c r="S11" i="28"/>
  <c r="K6" i="18"/>
  <c r="D43" i="8"/>
  <c r="D41" i="8" s="1"/>
  <c r="D35" i="8"/>
  <c r="L35" i="8" s="1"/>
  <c r="D29" i="8"/>
  <c r="L29" i="8" s="1"/>
  <c r="D20" i="8"/>
  <c r="D18" i="8" s="1"/>
  <c r="D55" i="8" s="1"/>
  <c r="D13" i="8"/>
  <c r="D8" i="8" s="1"/>
  <c r="H6" i="10"/>
  <c r="H60" i="10"/>
  <c r="H59" i="10"/>
  <c r="H58" i="10"/>
  <c r="H57"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F35" i="10"/>
  <c r="E64" i="10"/>
  <c r="E54" i="10"/>
  <c r="E52" i="10"/>
  <c r="E45" i="10"/>
  <c r="E35" i="10"/>
  <c r="H35" i="10" s="1"/>
  <c r="E39" i="10"/>
  <c r="E30" i="10"/>
  <c r="E24" i="10"/>
  <c r="E14" i="10"/>
  <c r="E12" i="9" s="1"/>
  <c r="E10" i="10"/>
  <c r="C26" i="4"/>
  <c r="H6" i="7"/>
  <c r="L4" i="8"/>
  <c r="K5" i="18"/>
  <c r="C92" i="17"/>
  <c r="C86" i="28"/>
  <c r="D86" i="28"/>
  <c r="E4" i="4"/>
  <c r="C64" i="28"/>
  <c r="C58" i="28"/>
  <c r="C72" i="28"/>
  <c r="D57" i="28"/>
  <c r="C57" i="28"/>
  <c r="D62" i="28"/>
  <c r="C62" i="28"/>
  <c r="D77" i="28"/>
  <c r="D57" i="20"/>
  <c r="D72" i="28"/>
  <c r="D73" i="28"/>
  <c r="D35" i="20"/>
  <c r="D58" i="20"/>
  <c r="D83" i="28"/>
  <c r="D89" i="28"/>
  <c r="C85" i="28"/>
  <c r="C74" i="28"/>
  <c r="C93" i="28"/>
  <c r="D85" i="28"/>
  <c r="D74"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79" i="14"/>
  <c r="D124" i="27"/>
  <c r="D123" i="27"/>
  <c r="D122" i="27"/>
  <c r="D121" i="27"/>
  <c r="D120" i="27"/>
  <c r="D119" i="27"/>
  <c r="D118" i="27"/>
  <c r="D117" i="27"/>
  <c r="D116" i="27"/>
  <c r="D115" i="27"/>
  <c r="D114" i="27"/>
  <c r="D113" i="27"/>
  <c r="D260" i="27"/>
  <c r="D259" i="27"/>
  <c r="D258" i="27"/>
  <c r="D256" i="27"/>
  <c r="D255" i="27"/>
  <c r="D254" i="27"/>
  <c r="D253" i="27"/>
  <c r="D252" i="27"/>
  <c r="D251" i="27"/>
  <c r="D250" i="27"/>
  <c r="D249" i="27"/>
  <c r="D397" i="27"/>
  <c r="D396" i="27"/>
  <c r="D395" i="27"/>
  <c r="D394" i="27"/>
  <c r="D393" i="27"/>
  <c r="D392" i="27"/>
  <c r="D391" i="27"/>
  <c r="D390" i="27"/>
  <c r="D389" i="27"/>
  <c r="D388" i="27"/>
  <c r="D387" i="27"/>
  <c r="D386" i="27"/>
  <c r="D521" i="27"/>
  <c r="D519" i="27"/>
  <c r="D518" i="27"/>
  <c r="D517" i="27"/>
  <c r="D516" i="27"/>
  <c r="D515" i="27"/>
  <c r="D514" i="27"/>
  <c r="D513" i="27"/>
  <c r="D512" i="27"/>
  <c r="D511" i="27"/>
  <c r="D510" i="27"/>
  <c r="C58" i="8"/>
  <c r="C74" i="9"/>
  <c r="C86" i="12"/>
  <c r="C86" i="11" s="1"/>
  <c r="F39" i="10"/>
  <c r="I39" i="10" s="1"/>
  <c r="G39" i="10"/>
  <c r="H39" i="10" s="1"/>
  <c r="J5" i="10"/>
  <c r="D91" i="28"/>
  <c r="G15" i="11"/>
  <c r="F15" i="11"/>
  <c r="I11" i="10"/>
  <c r="S28" i="28"/>
  <c r="C71" i="28"/>
  <c r="D71" i="28"/>
  <c r="C65" i="28"/>
  <c r="I16" i="13"/>
  <c r="I13" i="13"/>
  <c r="I12" i="13"/>
  <c r="I10" i="13"/>
  <c r="S21" i="28"/>
  <c r="D495" i="27"/>
  <c r="D506" i="27"/>
  <c r="D60" i="28"/>
  <c r="D59" i="28"/>
  <c r="C59" i="28"/>
  <c r="C56" i="28"/>
  <c r="D97" i="27"/>
  <c r="C15" i="10"/>
  <c r="E5" i="28"/>
  <c r="AH39" i="28"/>
  <c r="AH32" i="28"/>
  <c r="AH20" i="28"/>
  <c r="AH19" i="28"/>
  <c r="AH14" i="28"/>
  <c r="AH13" i="28"/>
  <c r="AH11" i="28"/>
  <c r="T39" i="28"/>
  <c r="S39" i="28"/>
  <c r="T32" i="28"/>
  <c r="S32" i="28"/>
  <c r="S26" i="28"/>
  <c r="T20" i="28"/>
  <c r="S20" i="28"/>
  <c r="T19" i="28"/>
  <c r="S19" i="28"/>
  <c r="T14" i="28"/>
  <c r="S14" i="28"/>
  <c r="T13" i="28"/>
  <c r="S13" i="28"/>
  <c r="T11" i="28"/>
  <c r="AG39" i="28"/>
  <c r="AF39" i="28"/>
  <c r="AE39" i="28"/>
  <c r="AD39" i="28"/>
  <c r="AC39" i="28"/>
  <c r="AB39" i="28"/>
  <c r="AA39" i="28"/>
  <c r="Z39" i="28"/>
  <c r="Y39" i="28"/>
  <c r="X39" i="28"/>
  <c r="W39" i="28"/>
  <c r="V39" i="28"/>
  <c r="AG38" i="28"/>
  <c r="AF38" i="28"/>
  <c r="AE38" i="28"/>
  <c r="AD38" i="28"/>
  <c r="AC38" i="28"/>
  <c r="AB38" i="28"/>
  <c r="AA38" i="28"/>
  <c r="Z38" i="28"/>
  <c r="Y38" i="28"/>
  <c r="X38" i="28"/>
  <c r="W38" i="28"/>
  <c r="V38" i="28"/>
  <c r="AG37" i="28"/>
  <c r="AF37" i="28"/>
  <c r="AF36" i="28" s="1"/>
  <c r="AE37" i="28"/>
  <c r="AE36" i="28" s="1"/>
  <c r="AD37" i="28"/>
  <c r="AC37" i="28"/>
  <c r="AC36" i="28" s="1"/>
  <c r="AB37" i="28"/>
  <c r="AB36" i="28" s="1"/>
  <c r="AA37" i="28"/>
  <c r="AA36" i="28" s="1"/>
  <c r="Z37" i="28"/>
  <c r="Y37" i="28"/>
  <c r="Y36" i="28" s="1"/>
  <c r="X37" i="28"/>
  <c r="X36" i="28" s="1"/>
  <c r="W37" i="28"/>
  <c r="W36" i="28" s="1"/>
  <c r="V37" i="28"/>
  <c r="V36" i="28" s="1"/>
  <c r="V34" i="28" s="1"/>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P36" i="28" s="1"/>
  <c r="O37" i="28"/>
  <c r="O36" i="28" s="1"/>
  <c r="N37" i="28"/>
  <c r="N36" i="28" s="1"/>
  <c r="M37" i="28"/>
  <c r="L37" i="28"/>
  <c r="L36" i="28" s="1"/>
  <c r="K37" i="28"/>
  <c r="K36" i="28" s="1"/>
  <c r="J37" i="28"/>
  <c r="J36" i="28" s="1"/>
  <c r="I37" i="28"/>
  <c r="H37" i="28"/>
  <c r="H36" i="28" s="1"/>
  <c r="G37" i="28"/>
  <c r="G36" i="28" s="1"/>
  <c r="AG35" i="28"/>
  <c r="AF35" i="28"/>
  <c r="AE35" i="28"/>
  <c r="AD35" i="28"/>
  <c r="AC35" i="28"/>
  <c r="AB35" i="28"/>
  <c r="AA35" i="28"/>
  <c r="Z35" i="28"/>
  <c r="Y35" i="28"/>
  <c r="X35" i="28"/>
  <c r="W35" i="28"/>
  <c r="W34" i="28" s="1"/>
  <c r="V35" i="28"/>
  <c r="R35" i="28"/>
  <c r="Q35" i="28"/>
  <c r="P35" i="28"/>
  <c r="O35" i="28"/>
  <c r="N35" i="28"/>
  <c r="N34" i="28" s="1"/>
  <c r="M35" i="28"/>
  <c r="L35" i="28"/>
  <c r="K35" i="28"/>
  <c r="K34" i="28" s="1"/>
  <c r="J35" i="28"/>
  <c r="I35" i="28"/>
  <c r="H35" i="28"/>
  <c r="G35" i="28"/>
  <c r="AG33" i="28"/>
  <c r="AF33" i="28"/>
  <c r="AE33" i="28"/>
  <c r="AD33" i="28"/>
  <c r="AC33" i="28"/>
  <c r="AB33" i="28"/>
  <c r="Z33" i="28"/>
  <c r="X33" i="28"/>
  <c r="W33" i="28"/>
  <c r="V33" i="28"/>
  <c r="AG32" i="28"/>
  <c r="AF32" i="28"/>
  <c r="AE32" i="28"/>
  <c r="AD32" i="28"/>
  <c r="AC32" i="28"/>
  <c r="AB32" i="28"/>
  <c r="AA32" i="28"/>
  <c r="Z32" i="28"/>
  <c r="Y32" i="28"/>
  <c r="X32" i="28"/>
  <c r="W32" i="28"/>
  <c r="V32" i="28"/>
  <c r="AG31" i="28"/>
  <c r="AF31" i="28"/>
  <c r="AE31" i="28"/>
  <c r="AD31" i="28"/>
  <c r="AC31" i="28"/>
  <c r="AB31" i="28"/>
  <c r="AA31" i="28"/>
  <c r="Z31" i="28"/>
  <c r="Y31" i="28"/>
  <c r="X31" i="28"/>
  <c r="W31" i="28"/>
  <c r="V31" i="28"/>
  <c r="AG30" i="28"/>
  <c r="AG29" i="28" s="1"/>
  <c r="AF30" i="28"/>
  <c r="AE30" i="28"/>
  <c r="AD30" i="28"/>
  <c r="AC30" i="28"/>
  <c r="AB30" i="28"/>
  <c r="AB29" i="28" s="1"/>
  <c r="AA30" i="28"/>
  <c r="AA29" i="28" s="1"/>
  <c r="Z30" i="28"/>
  <c r="Z29" i="28" s="1"/>
  <c r="Y30" i="28"/>
  <c r="X30" i="28"/>
  <c r="W30" i="28"/>
  <c r="W29" i="28" s="1"/>
  <c r="V30" i="28"/>
  <c r="V29" i="28" s="1"/>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P29" i="28" s="1"/>
  <c r="O30" i="28"/>
  <c r="N30" i="28"/>
  <c r="M30" i="28"/>
  <c r="L30" i="28"/>
  <c r="K30" i="28"/>
  <c r="J30" i="28"/>
  <c r="I30" i="28"/>
  <c r="H30" i="28"/>
  <c r="G30" i="28"/>
  <c r="G29" i="28" s="1"/>
  <c r="AG28" i="28"/>
  <c r="AF28" i="28"/>
  <c r="AE28" i="28"/>
  <c r="AD28" i="28"/>
  <c r="AC28" i="28"/>
  <c r="AB28" i="28"/>
  <c r="AA28" i="28"/>
  <c r="Z28" i="28"/>
  <c r="Y28" i="28"/>
  <c r="X28" i="28"/>
  <c r="W28" i="28"/>
  <c r="V28" i="28"/>
  <c r="AF27" i="28"/>
  <c r="AD27" i="28"/>
  <c r="AC27" i="28"/>
  <c r="AB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B26" i="28"/>
  <c r="AA26" i="28"/>
  <c r="Z26" i="28"/>
  <c r="Y26" i="28"/>
  <c r="X26" i="28"/>
  <c r="W26" i="28"/>
  <c r="R26" i="28"/>
  <c r="Q26" i="28"/>
  <c r="P26" i="28"/>
  <c r="O26" i="28"/>
  <c r="N26" i="28"/>
  <c r="M26" i="28"/>
  <c r="L26" i="28"/>
  <c r="K26" i="28"/>
  <c r="J26" i="28"/>
  <c r="I26" i="28"/>
  <c r="H26" i="28"/>
  <c r="G26" i="28"/>
  <c r="AG21" i="28"/>
  <c r="AF21" i="28"/>
  <c r="AE21" i="28"/>
  <c r="AD21" i="28"/>
  <c r="AC21" i="28"/>
  <c r="AB21" i="28"/>
  <c r="AA21" i="28"/>
  <c r="Z21" i="28"/>
  <c r="Y21" i="28"/>
  <c r="X21" i="28"/>
  <c r="W21" i="28"/>
  <c r="V21" i="28"/>
  <c r="AG20" i="28"/>
  <c r="AF20" i="28"/>
  <c r="AE20" i="28"/>
  <c r="AD20" i="28"/>
  <c r="AC20" i="28"/>
  <c r="AB20" i="28"/>
  <c r="AA20" i="28"/>
  <c r="Z20" i="28"/>
  <c r="Y20" i="28"/>
  <c r="X20" i="28"/>
  <c r="W20" i="28"/>
  <c r="V20" i="28"/>
  <c r="AG19" i="28"/>
  <c r="AG18" i="28" s="1"/>
  <c r="AF19" i="28"/>
  <c r="AF18" i="28" s="1"/>
  <c r="AE19" i="28"/>
  <c r="AD19" i="28"/>
  <c r="AD18" i="28" s="1"/>
  <c r="AC19" i="28"/>
  <c r="AC18" i="28" s="1"/>
  <c r="AB19" i="28"/>
  <c r="AA19" i="28"/>
  <c r="Z19" i="28"/>
  <c r="Z18" i="28" s="1"/>
  <c r="Y19" i="28"/>
  <c r="Y18" i="28" s="1"/>
  <c r="X19" i="28"/>
  <c r="W19" i="28"/>
  <c r="V19" i="28"/>
  <c r="V18" i="28" s="1"/>
  <c r="R21" i="28"/>
  <c r="Q21" i="28"/>
  <c r="P21" i="28"/>
  <c r="O21" i="28"/>
  <c r="N21" i="28"/>
  <c r="M21" i="28"/>
  <c r="L21" i="28"/>
  <c r="K21" i="28"/>
  <c r="J21" i="28"/>
  <c r="I21" i="28"/>
  <c r="H21" i="28"/>
  <c r="G21" i="28"/>
  <c r="R20" i="28"/>
  <c r="Q20" i="28"/>
  <c r="P20" i="28"/>
  <c r="O20" i="28"/>
  <c r="N20" i="28"/>
  <c r="M20" i="28"/>
  <c r="L20" i="28"/>
  <c r="K20" i="28"/>
  <c r="J20" i="28"/>
  <c r="I20" i="28"/>
  <c r="H20" i="28"/>
  <c r="G20" i="28"/>
  <c r="R19" i="28"/>
  <c r="R18" i="28" s="1"/>
  <c r="Q19" i="28"/>
  <c r="Q18" i="28" s="1"/>
  <c r="P19" i="28"/>
  <c r="P17" i="28"/>
  <c r="O19" i="28"/>
  <c r="N19" i="28"/>
  <c r="M19" i="28"/>
  <c r="L19" i="28"/>
  <c r="K19" i="28"/>
  <c r="J19" i="28"/>
  <c r="I19" i="28"/>
  <c r="I18" i="28" s="1"/>
  <c r="H19" i="28"/>
  <c r="G19" i="28"/>
  <c r="AG17" i="28"/>
  <c r="AF17" i="28"/>
  <c r="AE17" i="28"/>
  <c r="AD17" i="28"/>
  <c r="AC17" i="28"/>
  <c r="AB17" i="28"/>
  <c r="AA17" i="28"/>
  <c r="Z17" i="28"/>
  <c r="Y17" i="28"/>
  <c r="X17" i="28"/>
  <c r="W17" i="28"/>
  <c r="V17" i="28"/>
  <c r="R17" i="28"/>
  <c r="Q17" i="28"/>
  <c r="O17" i="28"/>
  <c r="N17" i="28"/>
  <c r="M17" i="28"/>
  <c r="L17" i="28"/>
  <c r="K17" i="28"/>
  <c r="J17" i="28"/>
  <c r="I17" i="28"/>
  <c r="H17" i="28"/>
  <c r="G17" i="28"/>
  <c r="AG15" i="28"/>
  <c r="AF15" i="28"/>
  <c r="AE15" i="28"/>
  <c r="AD15" i="28"/>
  <c r="AC15" i="28"/>
  <c r="AB15" i="28"/>
  <c r="AA15" i="28"/>
  <c r="Z15" i="28"/>
  <c r="Y15" i="28"/>
  <c r="X15" i="28"/>
  <c r="W15" i="28"/>
  <c r="V15" i="28"/>
  <c r="AG14" i="28"/>
  <c r="AF14" i="28"/>
  <c r="AE14" i="28"/>
  <c r="AD14" i="28"/>
  <c r="AC14" i="28"/>
  <c r="AB14" i="28"/>
  <c r="AA14" i="28"/>
  <c r="Z14" i="28"/>
  <c r="Y14" i="28"/>
  <c r="X14" i="28"/>
  <c r="W14" i="28"/>
  <c r="V14" i="28"/>
  <c r="AG13" i="28"/>
  <c r="AG12" i="28" s="1"/>
  <c r="AF13" i="28"/>
  <c r="AE13" i="28"/>
  <c r="AE12" i="28" s="1"/>
  <c r="AD13" i="28"/>
  <c r="AC13" i="28"/>
  <c r="AB13" i="28"/>
  <c r="AA13" i="28"/>
  <c r="AA12" i="28" s="1"/>
  <c r="Z13" i="28"/>
  <c r="Y13" i="28"/>
  <c r="X13" i="28"/>
  <c r="W13" i="28"/>
  <c r="W12" i="28" s="1"/>
  <c r="V13" i="28"/>
  <c r="V12" i="28" s="1"/>
  <c r="R14" i="28"/>
  <c r="Q14" i="28"/>
  <c r="P14" i="28"/>
  <c r="O14" i="28"/>
  <c r="N14" i="28"/>
  <c r="M14" i="28"/>
  <c r="L14" i="28"/>
  <c r="K14" i="28"/>
  <c r="J14" i="28"/>
  <c r="I14" i="28"/>
  <c r="H14" i="28"/>
  <c r="G14" i="28"/>
  <c r="R13" i="28"/>
  <c r="R12" i="28" s="1"/>
  <c r="Q13" i="28"/>
  <c r="P13" i="28"/>
  <c r="O13" i="28"/>
  <c r="O12" i="28" s="1"/>
  <c r="N13" i="28"/>
  <c r="N12" i="28" s="1"/>
  <c r="M13" i="28"/>
  <c r="L13" i="28"/>
  <c r="K13" i="28"/>
  <c r="J13" i="28"/>
  <c r="J12" i="28" s="1"/>
  <c r="I13" i="28"/>
  <c r="H13" i="28"/>
  <c r="G13" i="28"/>
  <c r="G12" i="28" s="1"/>
  <c r="AG11" i="28"/>
  <c r="AF11" i="28"/>
  <c r="AE11" i="28"/>
  <c r="AD11" i="28"/>
  <c r="AC11" i="28"/>
  <c r="AB11" i="28"/>
  <c r="AA11" i="28"/>
  <c r="Z11" i="28"/>
  <c r="Y11" i="28"/>
  <c r="X11" i="28"/>
  <c r="W11" i="28"/>
  <c r="V11" i="28"/>
  <c r="AG10" i="28"/>
  <c r="AF10" i="28"/>
  <c r="AE10" i="28"/>
  <c r="AD10" i="28"/>
  <c r="AC10" i="28"/>
  <c r="AB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B9" i="28"/>
  <c r="AA9" i="28"/>
  <c r="Z9" i="28"/>
  <c r="Y9" i="28"/>
  <c r="X9" i="28"/>
  <c r="W9" i="28"/>
  <c r="V9" i="28"/>
  <c r="R9" i="28"/>
  <c r="Q9" i="28"/>
  <c r="P9" i="28"/>
  <c r="O9" i="28"/>
  <c r="N9" i="28"/>
  <c r="M9" i="28"/>
  <c r="L9" i="28"/>
  <c r="K9" i="28"/>
  <c r="J9" i="28"/>
  <c r="I9" i="28"/>
  <c r="H9" i="28"/>
  <c r="G9" i="28"/>
  <c r="C101" i="28"/>
  <c r="C99" i="28"/>
  <c r="C98" i="28"/>
  <c r="C97" i="28"/>
  <c r="C96" i="28"/>
  <c r="D61" i="28"/>
  <c r="R15" i="28"/>
  <c r="Q15" i="28"/>
  <c r="P15" i="28"/>
  <c r="O15" i="28"/>
  <c r="N15" i="28"/>
  <c r="M15" i="28"/>
  <c r="L15" i="28"/>
  <c r="K15" i="28"/>
  <c r="I15" i="28"/>
  <c r="H15" i="28"/>
  <c r="AH26" i="28"/>
  <c r="T26" i="28"/>
  <c r="D65" i="28"/>
  <c r="D67" i="28"/>
  <c r="D64" i="28"/>
  <c r="AH21" i="28"/>
  <c r="T21" i="28"/>
  <c r="D70" i="28"/>
  <c r="C70" i="28"/>
  <c r="D56" i="28"/>
  <c r="D68" i="28"/>
  <c r="C68"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5" i="17"/>
  <c r="F65" i="17"/>
  <c r="G63" i="17"/>
  <c r="F63"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4" i="17"/>
  <c r="F44" i="17"/>
  <c r="G42" i="17"/>
  <c r="F42" i="17"/>
  <c r="G41" i="17"/>
  <c r="F41" i="17"/>
  <c r="G40" i="17"/>
  <c r="F40" i="17"/>
  <c r="G39" i="17"/>
  <c r="F39" i="17"/>
  <c r="G38" i="17"/>
  <c r="F38" i="17"/>
  <c r="G37" i="17"/>
  <c r="F37" i="17"/>
  <c r="G36" i="17"/>
  <c r="F36" i="17"/>
  <c r="G34" i="17"/>
  <c r="F34" i="17"/>
  <c r="G33" i="17"/>
  <c r="F33" i="17"/>
  <c r="G32" i="17"/>
  <c r="F32" i="17"/>
  <c r="G31" i="17"/>
  <c r="F31" i="17"/>
  <c r="G30" i="17"/>
  <c r="F30" i="17"/>
  <c r="G29" i="17"/>
  <c r="F29" i="17"/>
  <c r="G28" i="17"/>
  <c r="F28" i="17"/>
  <c r="G27" i="17"/>
  <c r="F27" i="17"/>
  <c r="G25" i="17"/>
  <c r="F25" i="17"/>
  <c r="G24" i="17"/>
  <c r="F24" i="17"/>
  <c r="G23" i="17"/>
  <c r="F23" i="17"/>
  <c r="G22" i="17"/>
  <c r="F22" i="17"/>
  <c r="G20" i="17"/>
  <c r="F20" i="17"/>
  <c r="G19" i="17"/>
  <c r="F19" i="17"/>
  <c r="G18" i="17"/>
  <c r="F18" i="17"/>
  <c r="G17" i="17"/>
  <c r="F17" i="17"/>
  <c r="G16" i="17"/>
  <c r="F16" i="17"/>
  <c r="G15" i="17"/>
  <c r="F15" i="17"/>
  <c r="G14" i="17"/>
  <c r="F14" i="17"/>
  <c r="G13" i="17"/>
  <c r="F13" i="17"/>
  <c r="G12" i="17"/>
  <c r="F12" i="17"/>
  <c r="G11" i="17"/>
  <c r="F11" i="17"/>
  <c r="G10" i="17"/>
  <c r="F10" i="17"/>
  <c r="G9" i="17"/>
  <c r="F9" i="17"/>
  <c r="I53" i="10"/>
  <c r="D70" i="27"/>
  <c r="C540" i="27"/>
  <c r="J5" i="15"/>
  <c r="J5" i="14"/>
  <c r="D51" i="12"/>
  <c r="D49" i="12" s="1"/>
  <c r="D41" i="12"/>
  <c r="D35" i="12"/>
  <c r="D24" i="12"/>
  <c r="D22" i="12" s="1"/>
  <c r="D15" i="12"/>
  <c r="D10" i="12"/>
  <c r="D51" i="11"/>
  <c r="D49" i="11" s="1"/>
  <c r="D41" i="11"/>
  <c r="D35" i="11"/>
  <c r="D24" i="11"/>
  <c r="D22" i="11" s="1"/>
  <c r="D15" i="11"/>
  <c r="D10" i="11"/>
  <c r="D51" i="9"/>
  <c r="D49" i="9" s="1"/>
  <c r="D41" i="9"/>
  <c r="D34" i="9" s="1"/>
  <c r="D59" i="9" s="1"/>
  <c r="D63" i="9" s="1"/>
  <c r="D35" i="9"/>
  <c r="G30" i="13"/>
  <c r="G36" i="13"/>
  <c r="F36" i="13"/>
  <c r="F30" i="13"/>
  <c r="I42" i="13"/>
  <c r="I41" i="13"/>
  <c r="I40" i="13"/>
  <c r="I39" i="13"/>
  <c r="I38" i="13"/>
  <c r="I35" i="13"/>
  <c r="I34" i="13"/>
  <c r="I33" i="13"/>
  <c r="I32" i="13"/>
  <c r="I31" i="13"/>
  <c r="I25" i="13"/>
  <c r="I22" i="13"/>
  <c r="I21" i="13"/>
  <c r="I20" i="13"/>
  <c r="I19" i="13"/>
  <c r="I18" i="13"/>
  <c r="F54" i="10"/>
  <c r="F52" i="10" s="1"/>
  <c r="D111" i="27"/>
  <c r="D110" i="27"/>
  <c r="D106" i="27"/>
  <c r="D105" i="27"/>
  <c r="D104" i="27"/>
  <c r="D103" i="27"/>
  <c r="D102" i="27"/>
  <c r="D101" i="27"/>
  <c r="D100" i="27"/>
  <c r="D508" i="27"/>
  <c r="D507" i="27"/>
  <c r="D505" i="27"/>
  <c r="D504" i="27"/>
  <c r="D503" i="27"/>
  <c r="D502" i="27"/>
  <c r="D501" i="27"/>
  <c r="D500" i="27"/>
  <c r="D499" i="27"/>
  <c r="D498" i="27"/>
  <c r="D497" i="27"/>
  <c r="D384" i="27"/>
  <c r="D383" i="27"/>
  <c r="D382" i="27"/>
  <c r="D381" i="27"/>
  <c r="D380" i="27"/>
  <c r="D379" i="27"/>
  <c r="D378" i="27"/>
  <c r="D377" i="27"/>
  <c r="D376" i="27"/>
  <c r="D375" i="27"/>
  <c r="D374" i="27"/>
  <c r="D373" i="27"/>
  <c r="D247" i="27"/>
  <c r="D246" i="27"/>
  <c r="D245" i="27"/>
  <c r="D244" i="27"/>
  <c r="D243" i="27"/>
  <c r="D242" i="27"/>
  <c r="D241" i="27"/>
  <c r="D240" i="27"/>
  <c r="D239" i="27"/>
  <c r="D238" i="27"/>
  <c r="D237" i="27"/>
  <c r="D236" i="27"/>
  <c r="P415" i="27"/>
  <c r="O415" i="27"/>
  <c r="C538" i="27"/>
  <c r="C546" i="27"/>
  <c r="C539" i="27"/>
  <c r="J415" i="27"/>
  <c r="E415" i="27"/>
  <c r="M417" i="27"/>
  <c r="L417" i="27"/>
  <c r="K417" i="27"/>
  <c r="J417" i="27"/>
  <c r="N416" i="27"/>
  <c r="J416" i="27"/>
  <c r="E416" i="27"/>
  <c r="I416" i="27"/>
  <c r="H417" i="27"/>
  <c r="G417" i="27"/>
  <c r="F417" i="27"/>
  <c r="E417" i="27"/>
  <c r="J279" i="27"/>
  <c r="J278" i="27"/>
  <c r="P278" i="27"/>
  <c r="O278" i="27"/>
  <c r="N279" i="27"/>
  <c r="M280" i="27"/>
  <c r="L280" i="27"/>
  <c r="K280" i="27"/>
  <c r="J280" i="27"/>
  <c r="I279" i="27"/>
  <c r="H280" i="27"/>
  <c r="G280" i="27"/>
  <c r="F280" i="27"/>
  <c r="E280" i="27"/>
  <c r="E279" i="27"/>
  <c r="E278" i="27"/>
  <c r="C277" i="27"/>
  <c r="K142" i="27"/>
  <c r="K141" i="27"/>
  <c r="I142" i="27"/>
  <c r="H143" i="27"/>
  <c r="G143" i="27"/>
  <c r="F143" i="27"/>
  <c r="E143" i="27"/>
  <c r="E142" i="27"/>
  <c r="D456" i="27"/>
  <c r="D455" i="27"/>
  <c r="D454" i="27"/>
  <c r="D453" i="27"/>
  <c r="D452" i="27"/>
  <c r="D451" i="27"/>
  <c r="D450" i="27"/>
  <c r="D449" i="27"/>
  <c r="D448" i="27"/>
  <c r="D447" i="27"/>
  <c r="D446" i="27"/>
  <c r="D445" i="27"/>
  <c r="D443" i="27"/>
  <c r="D442" i="27"/>
  <c r="D441" i="27"/>
  <c r="D440" i="27"/>
  <c r="D439" i="27"/>
  <c r="D438" i="27"/>
  <c r="D437" i="27"/>
  <c r="D436" i="27"/>
  <c r="D435" i="27"/>
  <c r="D434" i="27"/>
  <c r="D433" i="27"/>
  <c r="D432" i="27"/>
  <c r="D430" i="27"/>
  <c r="D429" i="27"/>
  <c r="D428" i="27"/>
  <c r="D427" i="27"/>
  <c r="D426" i="27"/>
  <c r="D425" i="27"/>
  <c r="D424" i="27"/>
  <c r="D423" i="27"/>
  <c r="D422" i="27"/>
  <c r="D421" i="27"/>
  <c r="D420" i="27"/>
  <c r="D419"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306" i="27"/>
  <c r="D305" i="27"/>
  <c r="D304" i="27"/>
  <c r="D303" i="27"/>
  <c r="D302" i="27"/>
  <c r="D301" i="27"/>
  <c r="D300" i="27"/>
  <c r="D299" i="27"/>
  <c r="D298" i="27"/>
  <c r="D297" i="27"/>
  <c r="D296" i="27"/>
  <c r="D295" i="27"/>
  <c r="D293" i="27"/>
  <c r="D292" i="27"/>
  <c r="D291" i="27"/>
  <c r="D290" i="27"/>
  <c r="D289" i="27"/>
  <c r="D288" i="27"/>
  <c r="D287" i="27"/>
  <c r="D286" i="27"/>
  <c r="D285" i="27"/>
  <c r="D284" i="27"/>
  <c r="D283" i="27"/>
  <c r="D282"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156" i="27"/>
  <c r="D155" i="27"/>
  <c r="D154" i="27"/>
  <c r="D153" i="27"/>
  <c r="D152" i="27"/>
  <c r="D151" i="27"/>
  <c r="D150" i="27"/>
  <c r="D149" i="27"/>
  <c r="D148" i="27"/>
  <c r="D147" i="27"/>
  <c r="D146" i="27"/>
  <c r="D145"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71" i="27"/>
  <c r="D370" i="27"/>
  <c r="D369" i="27"/>
  <c r="D368" i="27"/>
  <c r="D367" i="27"/>
  <c r="D366" i="27"/>
  <c r="D365" i="27"/>
  <c r="D364" i="27"/>
  <c r="D363" i="27"/>
  <c r="D362" i="27"/>
  <c r="D361" i="27"/>
  <c r="D360"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208" i="27"/>
  <c r="D207" i="27"/>
  <c r="D206" i="27"/>
  <c r="D205" i="27"/>
  <c r="D204" i="27"/>
  <c r="D203" i="27"/>
  <c r="D202" i="27"/>
  <c r="D201" i="27"/>
  <c r="D200" i="27"/>
  <c r="D199" i="27"/>
  <c r="D198" i="27"/>
  <c r="D197"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7" i="18"/>
  <c r="C12" i="18"/>
  <c r="C11" i="18"/>
  <c r="C23" i="18"/>
  <c r="C13" i="18"/>
  <c r="C19" i="18"/>
  <c r="C29" i="18"/>
  <c r="C27" i="18"/>
  <c r="C25" i="18"/>
  <c r="C26" i="18"/>
  <c r="C20" i="18"/>
  <c r="C18" i="18"/>
  <c r="C16" i="18"/>
  <c r="C15" i="18"/>
  <c r="C14" i="18"/>
  <c r="C10" i="18"/>
  <c r="C9" i="18"/>
  <c r="C25" i="17"/>
  <c r="C36" i="17"/>
  <c r="C35" i="17"/>
  <c r="C34" i="17"/>
  <c r="C22" i="17"/>
  <c r="C20" i="17"/>
  <c r="C31"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I18" i="24" s="1"/>
  <c r="F17" i="24"/>
  <c r="E17" i="24"/>
  <c r="F16" i="24"/>
  <c r="E16" i="24"/>
  <c r="F14" i="24"/>
  <c r="I14" i="24" s="1"/>
  <c r="E14" i="24"/>
  <c r="F13" i="24"/>
  <c r="E13" i="24"/>
  <c r="D56" i="20"/>
  <c r="D55" i="20"/>
  <c r="D53" i="20"/>
  <c r="D52" i="20"/>
  <c r="D51" i="20"/>
  <c r="D50" i="20"/>
  <c r="D49" i="20"/>
  <c r="D48" i="20"/>
  <c r="D47" i="20"/>
  <c r="D46" i="20"/>
  <c r="D45" i="20"/>
  <c r="D44" i="20"/>
  <c r="R41" i="20"/>
  <c r="D31" i="20"/>
  <c r="D30" i="20"/>
  <c r="R7" i="20"/>
  <c r="D6" i="20"/>
  <c r="C42" i="19"/>
  <c r="C40" i="19"/>
  <c r="C38" i="19"/>
  <c r="C36" i="19"/>
  <c r="C35" i="19"/>
  <c r="C34" i="19"/>
  <c r="C33" i="19"/>
  <c r="C32" i="19"/>
  <c r="C31" i="19"/>
  <c r="C30" i="19"/>
  <c r="C29" i="19"/>
  <c r="C28" i="19"/>
  <c r="C27" i="19"/>
  <c r="C26" i="19"/>
  <c r="C25" i="19"/>
  <c r="C24" i="19"/>
  <c r="C23" i="19"/>
  <c r="C22" i="19"/>
  <c r="C21" i="19"/>
  <c r="C20" i="19"/>
  <c r="C19" i="19"/>
  <c r="C17" i="19"/>
  <c r="C15" i="19"/>
  <c r="C14" i="19"/>
  <c r="C13" i="19"/>
  <c r="C12" i="19"/>
  <c r="C11" i="19"/>
  <c r="C10" i="19"/>
  <c r="C9" i="19"/>
  <c r="I7" i="19"/>
  <c r="I5" i="19"/>
  <c r="C83" i="17"/>
  <c r="C82" i="17"/>
  <c r="C81" i="17"/>
  <c r="C79" i="17"/>
  <c r="C78" i="17"/>
  <c r="C77" i="17"/>
  <c r="C76" i="17"/>
  <c r="C75" i="17"/>
  <c r="C74" i="17"/>
  <c r="C73" i="17"/>
  <c r="C72" i="17"/>
  <c r="C71" i="17"/>
  <c r="C70" i="17"/>
  <c r="C69" i="17"/>
  <c r="C67" i="17"/>
  <c r="C65" i="17"/>
  <c r="C63" i="17"/>
  <c r="C62" i="17"/>
  <c r="C61" i="17"/>
  <c r="C60" i="17"/>
  <c r="C59" i="17"/>
  <c r="C58" i="17"/>
  <c r="C57" i="17"/>
  <c r="C56" i="17"/>
  <c r="C55" i="17"/>
  <c r="C54" i="17"/>
  <c r="C53" i="17"/>
  <c r="C52" i="17"/>
  <c r="C51" i="17"/>
  <c r="C50" i="17"/>
  <c r="C49" i="17"/>
  <c r="C48" i="17"/>
  <c r="C47" i="17"/>
  <c r="C46" i="17"/>
  <c r="C44" i="17"/>
  <c r="C42" i="17"/>
  <c r="C41" i="17"/>
  <c r="C40" i="17"/>
  <c r="C39" i="17"/>
  <c r="C37" i="17"/>
  <c r="C33" i="17"/>
  <c r="C32" i="17"/>
  <c r="C31" i="17"/>
  <c r="C30" i="17"/>
  <c r="C29" i="17"/>
  <c r="C28" i="17"/>
  <c r="C27" i="17"/>
  <c r="C24" i="17"/>
  <c r="C23" i="17"/>
  <c r="C19" i="17"/>
  <c r="C18" i="17"/>
  <c r="C17" i="17"/>
  <c r="C16" i="17"/>
  <c r="C15" i="17"/>
  <c r="C14" i="17"/>
  <c r="C13" i="17"/>
  <c r="C12" i="17"/>
  <c r="C11" i="17"/>
  <c r="C10" i="17"/>
  <c r="C9" i="17"/>
  <c r="G8" i="17"/>
  <c r="D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1" i="14"/>
  <c r="C77" i="14"/>
  <c r="C76" i="14"/>
  <c r="C75" i="14"/>
  <c r="C73" i="14"/>
  <c r="C72" i="14"/>
  <c r="C71" i="14"/>
  <c r="C70" i="14"/>
  <c r="C68" i="14"/>
  <c r="C66" i="14"/>
  <c r="C64" i="14"/>
  <c r="C63" i="14"/>
  <c r="C62" i="14"/>
  <c r="C61" i="14"/>
  <c r="C60" i="14"/>
  <c r="C59" i="14"/>
  <c r="C58" i="14"/>
  <c r="C57" i="14"/>
  <c r="C56" i="14"/>
  <c r="C55" i="14"/>
  <c r="C54" i="14"/>
  <c r="C52" i="14"/>
  <c r="C51" i="14"/>
  <c r="C50" i="14"/>
  <c r="C47" i="14"/>
  <c r="C46" i="14"/>
  <c r="C45" i="14"/>
  <c r="C44" i="14"/>
  <c r="C43" i="14"/>
  <c r="C42" i="14"/>
  <c r="C41" i="14"/>
  <c r="C40" i="14"/>
  <c r="C39" i="14"/>
  <c r="C38" i="14"/>
  <c r="C37" i="14"/>
  <c r="C36" i="14"/>
  <c r="C35" i="14"/>
  <c r="C34" i="14"/>
  <c r="C32" i="14"/>
  <c r="C30" i="14"/>
  <c r="C29" i="14"/>
  <c r="C28" i="14"/>
  <c r="C27" i="14"/>
  <c r="C26" i="14"/>
  <c r="C23" i="14"/>
  <c r="C22" i="14"/>
  <c r="C19" i="14"/>
  <c r="C18" i="14"/>
  <c r="C17"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F51" i="12"/>
  <c r="F49" i="12" s="1"/>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F10"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I24" i="11" s="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F9" i="11" s="1"/>
  <c r="C10" i="11"/>
  <c r="C9" i="11"/>
  <c r="C74" i="10"/>
  <c r="C70" i="10"/>
  <c r="I68" i="10"/>
  <c r="C68" i="10"/>
  <c r="I67" i="10"/>
  <c r="C67" i="10"/>
  <c r="I66" i="10"/>
  <c r="C66" i="10"/>
  <c r="I65" i="10"/>
  <c r="C65" i="10"/>
  <c r="G64" i="10"/>
  <c r="F64"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C35" i="10"/>
  <c r="I34" i="10"/>
  <c r="C34" i="10"/>
  <c r="I33" i="10"/>
  <c r="C33" i="10"/>
  <c r="I32" i="10"/>
  <c r="C32" i="10"/>
  <c r="I31" i="10"/>
  <c r="C31" i="10"/>
  <c r="C30" i="10"/>
  <c r="C29" i="10"/>
  <c r="C28" i="10"/>
  <c r="I26" i="10"/>
  <c r="C26" i="10"/>
  <c r="I25" i="10"/>
  <c r="C25" i="10"/>
  <c r="G24" i="10"/>
  <c r="G13" i="9" s="1"/>
  <c r="F24" i="10"/>
  <c r="F13" i="9"/>
  <c r="C24" i="10"/>
  <c r="I22" i="10"/>
  <c r="C22" i="10"/>
  <c r="I21" i="10"/>
  <c r="C21" i="10"/>
  <c r="I20" i="10"/>
  <c r="C20" i="10"/>
  <c r="I19" i="10"/>
  <c r="C19" i="10"/>
  <c r="I18" i="10"/>
  <c r="C18" i="10"/>
  <c r="I17" i="10"/>
  <c r="C17" i="10"/>
  <c r="I16" i="10"/>
  <c r="C16" i="10"/>
  <c r="I15" i="10"/>
  <c r="C14" i="10"/>
  <c r="I13" i="10"/>
  <c r="C13" i="10"/>
  <c r="I12" i="10"/>
  <c r="C12" i="10"/>
  <c r="C11" i="10"/>
  <c r="G10" i="10"/>
  <c r="G11" i="9" s="1"/>
  <c r="F10" i="10"/>
  <c r="F11" i="9" s="1"/>
  <c r="C10" i="10"/>
  <c r="C9" i="10"/>
  <c r="J7" i="10"/>
  <c r="I7" i="10"/>
  <c r="G6" i="10"/>
  <c r="C78"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F34" i="9" s="1"/>
  <c r="C35" i="9"/>
  <c r="C34" i="9"/>
  <c r="C32" i="9"/>
  <c r="C30" i="9"/>
  <c r="C29" i="9"/>
  <c r="C28" i="9"/>
  <c r="C27" i="9"/>
  <c r="C26" i="9"/>
  <c r="C25" i="9"/>
  <c r="C24" i="9"/>
  <c r="C23" i="9"/>
  <c r="C22" i="9"/>
  <c r="C21" i="9"/>
  <c r="C20" i="9"/>
  <c r="C19" i="9"/>
  <c r="C18" i="9"/>
  <c r="C17" i="9"/>
  <c r="C16" i="9"/>
  <c r="C15" i="9"/>
  <c r="C14" i="9"/>
  <c r="C13" i="9"/>
  <c r="C12" i="9"/>
  <c r="C11" i="9"/>
  <c r="C10" i="9"/>
  <c r="C9" i="9"/>
  <c r="C62" i="8"/>
  <c r="C56" i="8"/>
  <c r="C55" i="8"/>
  <c r="C54" i="8"/>
  <c r="C53" i="8"/>
  <c r="C52" i="8"/>
  <c r="C51" i="8"/>
  <c r="C49" i="8"/>
  <c r="C47" i="8"/>
  <c r="J46" i="8"/>
  <c r="C46" i="8"/>
  <c r="J45" i="8"/>
  <c r="C45" i="8"/>
  <c r="J44" i="8"/>
  <c r="C44" i="8"/>
  <c r="H43" i="8"/>
  <c r="G43" i="8"/>
  <c r="C43" i="8"/>
  <c r="J42" i="8"/>
  <c r="C42" i="8"/>
  <c r="C41" i="8"/>
  <c r="C40" i="8"/>
  <c r="J39" i="8"/>
  <c r="C39" i="8"/>
  <c r="J38" i="8"/>
  <c r="C38" i="8"/>
  <c r="J37" i="8"/>
  <c r="C37" i="8"/>
  <c r="J36" i="8"/>
  <c r="C36" i="8"/>
  <c r="H35" i="8"/>
  <c r="G35" i="8"/>
  <c r="C35" i="8"/>
  <c r="J34" i="8"/>
  <c r="C34" i="8"/>
  <c r="J33" i="8"/>
  <c r="C33" i="8"/>
  <c r="J32" i="8"/>
  <c r="C32" i="8"/>
  <c r="J31" i="8"/>
  <c r="C31" i="8"/>
  <c r="J30" i="8"/>
  <c r="C30" i="8"/>
  <c r="H29" i="8"/>
  <c r="G29" i="8"/>
  <c r="C29" i="8"/>
  <c r="C28" i="8"/>
  <c r="C26" i="8"/>
  <c r="C24" i="8"/>
  <c r="J23" i="8"/>
  <c r="C23" i="8"/>
  <c r="J22" i="8"/>
  <c r="C22" i="8"/>
  <c r="J21" i="8"/>
  <c r="C21" i="8"/>
  <c r="H20" i="8"/>
  <c r="G20" i="8"/>
  <c r="C20" i="8"/>
  <c r="J19" i="8"/>
  <c r="C19" i="8"/>
  <c r="C18" i="8"/>
  <c r="C17" i="8"/>
  <c r="J16" i="8"/>
  <c r="C16" i="8"/>
  <c r="J15" i="8"/>
  <c r="C15" i="8"/>
  <c r="J14" i="8"/>
  <c r="C14" i="8"/>
  <c r="H13" i="8"/>
  <c r="G13" i="8"/>
  <c r="C13" i="8"/>
  <c r="J12" i="8"/>
  <c r="J11" i="8"/>
  <c r="C11" i="8"/>
  <c r="J10" i="8"/>
  <c r="C10" i="8"/>
  <c r="H9" i="8"/>
  <c r="G9" i="8"/>
  <c r="C9" i="8"/>
  <c r="C8" i="8"/>
  <c r="C67" i="7"/>
  <c r="C61" i="7"/>
  <c r="C60" i="7"/>
  <c r="C59" i="7"/>
  <c r="C58" i="7"/>
  <c r="C57" i="7"/>
  <c r="C56" i="7"/>
  <c r="C55" i="7"/>
  <c r="C54" i="7"/>
  <c r="C52" i="7"/>
  <c r="C50" i="7"/>
  <c r="C48" i="7"/>
  <c r="C47" i="7"/>
  <c r="I46" i="7"/>
  <c r="C46" i="7"/>
  <c r="C45" i="7"/>
  <c r="G44" i="7"/>
  <c r="F44" i="7"/>
  <c r="C44" i="7"/>
  <c r="C43" i="7"/>
  <c r="C42" i="7"/>
  <c r="C41" i="7"/>
  <c r="I40" i="7"/>
  <c r="C40" i="7"/>
  <c r="C39" i="7"/>
  <c r="C38" i="7"/>
  <c r="C37" i="7"/>
  <c r="G36" i="7"/>
  <c r="F36" i="7"/>
  <c r="C36" i="7"/>
  <c r="I34" i="7"/>
  <c r="C34" i="7"/>
  <c r="C33" i="7"/>
  <c r="C32" i="7"/>
  <c r="C31" i="7"/>
  <c r="G30" i="7"/>
  <c r="F30" i="7"/>
  <c r="C30" i="7"/>
  <c r="C29" i="7"/>
  <c r="C27" i="7"/>
  <c r="C25" i="7"/>
  <c r="C24" i="7"/>
  <c r="I23" i="7"/>
  <c r="C23" i="7"/>
  <c r="C22" i="7"/>
  <c r="G21" i="7"/>
  <c r="F21" i="7"/>
  <c r="C21" i="7"/>
  <c r="C20" i="7"/>
  <c r="C19" i="7"/>
  <c r="C18" i="7"/>
  <c r="I17" i="7"/>
  <c r="C17" i="7"/>
  <c r="C16" i="7"/>
  <c r="C15" i="7"/>
  <c r="C14" i="7"/>
  <c r="C13" i="7"/>
  <c r="I12" i="7"/>
  <c r="C12" i="7"/>
  <c r="C11" i="7"/>
  <c r="G10" i="7"/>
  <c r="F10" i="7"/>
  <c r="C10" i="7"/>
  <c r="C9" i="7"/>
  <c r="I7" i="7"/>
  <c r="C2" i="6"/>
  <c r="C7" i="4"/>
  <c r="C6" i="4"/>
  <c r="G4" i="4"/>
  <c r="I16" i="12"/>
  <c r="Q10" i="28"/>
  <c r="G15" i="28"/>
  <c r="H31" i="28"/>
  <c r="J15" i="28"/>
  <c r="I23" i="13"/>
  <c r="I45" i="11"/>
  <c r="F41" i="11"/>
  <c r="F51" i="11"/>
  <c r="G51" i="11"/>
  <c r="I55" i="11"/>
  <c r="I43" i="11"/>
  <c r="G41" i="11"/>
  <c r="I41" i="11" s="1"/>
  <c r="I53" i="11"/>
  <c r="I52" i="11"/>
  <c r="AE27" i="28"/>
  <c r="D199" i="32"/>
  <c r="I55" i="6"/>
  <c r="F20" i="15"/>
  <c r="S30" i="28"/>
  <c r="L13" i="8"/>
  <c r="C5" i="9"/>
  <c r="C5" i="20"/>
  <c r="C5" i="12"/>
  <c r="C5" i="31"/>
  <c r="I22" i="15"/>
  <c r="G20" i="15"/>
  <c r="F19" i="7"/>
  <c r="G9" i="7"/>
  <c r="F9" i="13"/>
  <c r="G69" i="6"/>
  <c r="M9" i="6"/>
  <c r="M69" i="6"/>
  <c r="K29" i="28"/>
  <c r="I101" i="6"/>
  <c r="G35" i="14"/>
  <c r="G34" i="14" s="1"/>
  <c r="Q28" i="20"/>
  <c r="E31" i="15"/>
  <c r="E54" i="15" s="1"/>
  <c r="E58" i="15" s="1"/>
  <c r="E28" i="8"/>
  <c r="G27" i="25"/>
  <c r="I27" i="25" s="1"/>
  <c r="I30" i="10"/>
  <c r="G22" i="12"/>
  <c r="H21" i="7"/>
  <c r="I16" i="24"/>
  <c r="O29" i="28"/>
  <c r="L12" i="28"/>
  <c r="D197" i="32"/>
  <c r="T38" i="28"/>
  <c r="AE18" i="28"/>
  <c r="E70" i="33"/>
  <c r="H32" i="15"/>
  <c r="Q89" i="6"/>
  <c r="E60" i="32"/>
  <c r="E14" i="9"/>
  <c r="H41" i="8"/>
  <c r="I43" i="8"/>
  <c r="E8" i="15"/>
  <c r="I45" i="10"/>
  <c r="D26" i="25"/>
  <c r="G34" i="11"/>
  <c r="N15" i="34"/>
  <c r="D204" i="32"/>
  <c r="AH31" i="28"/>
  <c r="G49" i="9"/>
  <c r="I35" i="10"/>
  <c r="E12" i="24"/>
  <c r="J9" i="8"/>
  <c r="H8" i="8"/>
  <c r="I13" i="8"/>
  <c r="H30" i="13"/>
  <c r="I19" i="9"/>
  <c r="I14" i="7"/>
  <c r="E15" i="24"/>
  <c r="F29" i="7"/>
  <c r="G19" i="7"/>
  <c r="I10" i="7"/>
  <c r="F31" i="15"/>
  <c r="H14" i="14"/>
  <c r="E34" i="12"/>
  <c r="J13" i="8"/>
  <c r="G8" i="8"/>
  <c r="K18" i="24"/>
  <c r="E107" i="32"/>
  <c r="D202" i="32"/>
  <c r="J20" i="8"/>
  <c r="G42" i="7"/>
  <c r="I35" i="11"/>
  <c r="K14" i="24"/>
  <c r="I70" i="9"/>
  <c r="G9" i="10"/>
  <c r="G20" i="9"/>
  <c r="M53" i="20"/>
  <c r="C5" i="18"/>
  <c r="C5" i="10"/>
  <c r="C4" i="8"/>
  <c r="C8" i="24" s="1"/>
  <c r="C5" i="25"/>
  <c r="C6" i="33"/>
  <c r="C65" i="6"/>
  <c r="C5" i="30"/>
  <c r="C5" i="11"/>
  <c r="C5" i="17"/>
  <c r="C5" i="34"/>
  <c r="C5" i="13"/>
  <c r="C5" i="15"/>
  <c r="C5" i="6"/>
  <c r="C5" i="14"/>
  <c r="H19" i="7"/>
  <c r="G56" i="7"/>
  <c r="F14" i="13"/>
  <c r="H14" i="9" l="1"/>
  <c r="C47" i="30"/>
  <c r="H24" i="12"/>
  <c r="I13" i="9"/>
  <c r="H10" i="11"/>
  <c r="I24" i="12"/>
  <c r="D32" i="14"/>
  <c r="H17" i="9"/>
  <c r="G28" i="25"/>
  <c r="I28" i="25" s="1"/>
  <c r="E143" i="32"/>
  <c r="E30" i="32"/>
  <c r="I24" i="10"/>
  <c r="G24" i="9"/>
  <c r="H29" i="9"/>
  <c r="H19" i="9"/>
  <c r="G31" i="25"/>
  <c r="I31" i="25" s="1"/>
  <c r="D208" i="32"/>
  <c r="H14" i="10"/>
  <c r="D34" i="12"/>
  <c r="H54" i="10"/>
  <c r="D209" i="32"/>
  <c r="I54" i="10"/>
  <c r="F68" i="9"/>
  <c r="I29" i="9"/>
  <c r="G9" i="11"/>
  <c r="I18" i="9"/>
  <c r="D34" i="11"/>
  <c r="E34" i="11"/>
  <c r="D38" i="30"/>
  <c r="F15" i="9"/>
  <c r="F24" i="9"/>
  <c r="H27" i="9"/>
  <c r="AG36" i="28"/>
  <c r="AG34" i="28" s="1"/>
  <c r="H29" i="28"/>
  <c r="I29" i="28"/>
  <c r="T33" i="28"/>
  <c r="T76" i="28"/>
  <c r="I47" i="33"/>
  <c r="I23" i="33"/>
  <c r="I16" i="33"/>
  <c r="I24" i="33"/>
  <c r="L18" i="28"/>
  <c r="L16" i="28" s="1"/>
  <c r="L29" i="28"/>
  <c r="AH9" i="28"/>
  <c r="H55" i="28"/>
  <c r="N29" i="28"/>
  <c r="AH38" i="28"/>
  <c r="AH36" i="28" s="1"/>
  <c r="AH33" i="28"/>
  <c r="R36" i="28"/>
  <c r="R34" i="28" s="1"/>
  <c r="S36" i="28"/>
  <c r="S34" i="28" s="1"/>
  <c r="E82" i="33"/>
  <c r="F82" i="33"/>
  <c r="G101" i="6"/>
  <c r="Q78" i="6"/>
  <c r="G14" i="25"/>
  <c r="I14" i="25" s="1"/>
  <c r="D20" i="30"/>
  <c r="D40" i="30" s="1"/>
  <c r="I20" i="30"/>
  <c r="K53" i="20"/>
  <c r="E33" i="25"/>
  <c r="G34" i="25"/>
  <c r="I34" i="25" s="1"/>
  <c r="K55" i="6"/>
  <c r="I29" i="6"/>
  <c r="M29" i="6"/>
  <c r="J29" i="6"/>
  <c r="J50" i="6" s="1"/>
  <c r="G20" i="25"/>
  <c r="I20" i="25" s="1"/>
  <c r="G55" i="6"/>
  <c r="E17" i="25"/>
  <c r="D17" i="25"/>
  <c r="N9" i="6"/>
  <c r="N27" i="6" s="1"/>
  <c r="I9" i="6"/>
  <c r="D9" i="25"/>
  <c r="J69" i="6"/>
  <c r="F45" i="15"/>
  <c r="G45" i="15"/>
  <c r="I32" i="15"/>
  <c r="I9" i="15"/>
  <c r="I36" i="14"/>
  <c r="J19" i="14"/>
  <c r="J29" i="14"/>
  <c r="J15" i="14"/>
  <c r="J25" i="14"/>
  <c r="J30" i="14"/>
  <c r="J9" i="14"/>
  <c r="J11" i="14"/>
  <c r="J28" i="14"/>
  <c r="J23" i="14"/>
  <c r="I30" i="13"/>
  <c r="F29" i="13"/>
  <c r="F8" i="13"/>
  <c r="F27" i="13" s="1"/>
  <c r="G9" i="13"/>
  <c r="H41" i="12"/>
  <c r="H35" i="12"/>
  <c r="F22" i="12"/>
  <c r="I22" i="12" s="1"/>
  <c r="H15" i="12"/>
  <c r="F9" i="12"/>
  <c r="G49" i="11"/>
  <c r="F49" i="11"/>
  <c r="F61" i="11" s="1"/>
  <c r="F66" i="11" s="1"/>
  <c r="F34" i="11"/>
  <c r="F22" i="11"/>
  <c r="F32" i="11"/>
  <c r="J10" i="11" s="1"/>
  <c r="I9" i="11"/>
  <c r="I10" i="11"/>
  <c r="H49" i="9"/>
  <c r="I35" i="9"/>
  <c r="G41" i="8"/>
  <c r="J41" i="8"/>
  <c r="J29" i="8"/>
  <c r="H18" i="8"/>
  <c r="G18" i="8"/>
  <c r="J8" i="8"/>
  <c r="H26" i="8"/>
  <c r="I9" i="8"/>
  <c r="I8" i="8"/>
  <c r="F42" i="7"/>
  <c r="G29" i="7"/>
  <c r="I21" i="7"/>
  <c r="I19" i="7"/>
  <c r="F9" i="7"/>
  <c r="H9" i="7"/>
  <c r="I9" i="7"/>
  <c r="G27" i="7"/>
  <c r="I36" i="7"/>
  <c r="F15" i="24"/>
  <c r="K15" i="24" s="1"/>
  <c r="E60" i="15"/>
  <c r="J43" i="8"/>
  <c r="E13" i="9"/>
  <c r="H13" i="9" s="1"/>
  <c r="H24" i="10"/>
  <c r="H14" i="7"/>
  <c r="H15" i="11"/>
  <c r="I15" i="11"/>
  <c r="E28" i="32"/>
  <c r="C193" i="32"/>
  <c r="E48" i="32"/>
  <c r="D196" i="32"/>
  <c r="E102" i="32"/>
  <c r="D201" i="32"/>
  <c r="E139" i="32"/>
  <c r="D205" i="32"/>
  <c r="F61" i="15"/>
  <c r="G31" i="15"/>
  <c r="H38" i="15"/>
  <c r="H14" i="15"/>
  <c r="G8" i="15"/>
  <c r="H8" i="15" s="1"/>
  <c r="I9" i="14"/>
  <c r="G32" i="14"/>
  <c r="H9" i="14"/>
  <c r="I14" i="9"/>
  <c r="G9" i="12"/>
  <c r="I9" i="12" s="1"/>
  <c r="I10" i="12"/>
  <c r="I51" i="12"/>
  <c r="H51" i="12"/>
  <c r="G49" i="12"/>
  <c r="H49" i="12" s="1"/>
  <c r="D65" i="11"/>
  <c r="F22" i="9"/>
  <c r="H28" i="9"/>
  <c r="I28" i="9"/>
  <c r="G35" i="25"/>
  <c r="I35" i="25" s="1"/>
  <c r="H45" i="15"/>
  <c r="G61" i="15"/>
  <c r="I62" i="14"/>
  <c r="T15" i="28"/>
  <c r="I41" i="12"/>
  <c r="D59" i="11"/>
  <c r="D63" i="11" s="1"/>
  <c r="G18" i="28"/>
  <c r="G16" i="28" s="1"/>
  <c r="H10" i="10"/>
  <c r="G19" i="25"/>
  <c r="I19" i="25" s="1"/>
  <c r="G29" i="25"/>
  <c r="I29" i="25" s="1"/>
  <c r="J17" i="14"/>
  <c r="J22" i="14"/>
  <c r="J10" i="14"/>
  <c r="J26" i="14"/>
  <c r="H35" i="11"/>
  <c r="H47" i="15"/>
  <c r="I11" i="13"/>
  <c r="K78" i="6"/>
  <c r="I20" i="15"/>
  <c r="I15" i="12"/>
  <c r="D9" i="12"/>
  <c r="D64" i="12" s="1"/>
  <c r="AC34" i="28"/>
  <c r="G89" i="6"/>
  <c r="P89" i="6"/>
  <c r="J101" i="6"/>
  <c r="I17" i="13"/>
  <c r="T30" i="28"/>
  <c r="T29" i="28" s="1"/>
  <c r="D27" i="7"/>
  <c r="D29" i="13"/>
  <c r="D45" i="13" s="1"/>
  <c r="H26" i="9"/>
  <c r="P25" i="28"/>
  <c r="E56" i="7"/>
  <c r="AH27" i="28"/>
  <c r="J12" i="14"/>
  <c r="J20" i="14"/>
  <c r="J24" i="14"/>
  <c r="J16" i="14"/>
  <c r="J27" i="14"/>
  <c r="G29" i="10"/>
  <c r="H44" i="7"/>
  <c r="H30" i="10"/>
  <c r="D203" i="32"/>
  <c r="H51" i="9"/>
  <c r="D65" i="12"/>
  <c r="J18" i="28"/>
  <c r="J16" i="28" s="1"/>
  <c r="M18" i="28"/>
  <c r="D66" i="14"/>
  <c r="D68" i="14" s="1"/>
  <c r="D73" i="14" s="1"/>
  <c r="D8" i="13"/>
  <c r="D27" i="13" s="1"/>
  <c r="AH30" i="28"/>
  <c r="AH29" i="28" s="1"/>
  <c r="I14" i="34"/>
  <c r="S76" i="28"/>
  <c r="S27" i="28" s="1"/>
  <c r="L53" i="20"/>
  <c r="G53" i="20"/>
  <c r="H53" i="20"/>
  <c r="Q53" i="20"/>
  <c r="E26" i="8"/>
  <c r="E55" i="8"/>
  <c r="F59" i="11"/>
  <c r="L11" i="34" s="1"/>
  <c r="I29" i="7"/>
  <c r="G55" i="7"/>
  <c r="F50" i="7"/>
  <c r="F56" i="7"/>
  <c r="G54" i="15"/>
  <c r="J18" i="11"/>
  <c r="J23" i="11"/>
  <c r="J15" i="11"/>
  <c r="J12" i="11"/>
  <c r="D32" i="12"/>
  <c r="L8" i="8"/>
  <c r="D26" i="8"/>
  <c r="G66" i="14"/>
  <c r="G64" i="11"/>
  <c r="I45" i="15"/>
  <c r="I51" i="11"/>
  <c r="D11" i="9"/>
  <c r="D10" i="9" s="1"/>
  <c r="N69" i="6"/>
  <c r="I30" i="7"/>
  <c r="D28" i="8"/>
  <c r="D210" i="32"/>
  <c r="F35" i="14"/>
  <c r="K16" i="24"/>
  <c r="I19" i="24"/>
  <c r="AG8" i="28"/>
  <c r="Y29" i="28"/>
  <c r="E27" i="7"/>
  <c r="P69" i="6"/>
  <c r="D56" i="7"/>
  <c r="E15" i="9"/>
  <c r="E24" i="9"/>
  <c r="E22" i="9" s="1"/>
  <c r="E65" i="9" s="1"/>
  <c r="D24" i="9"/>
  <c r="D22" i="9" s="1"/>
  <c r="D65" i="9" s="1"/>
  <c r="O14" i="34"/>
  <c r="F37" i="32"/>
  <c r="F183" i="32" s="1"/>
  <c r="F213" i="32" s="1"/>
  <c r="I14" i="14"/>
  <c r="F54" i="15"/>
  <c r="F54" i="8"/>
  <c r="G28" i="10"/>
  <c r="G62" i="10" s="1"/>
  <c r="H69" i="6"/>
  <c r="I38" i="15"/>
  <c r="F64" i="11"/>
  <c r="F12" i="24"/>
  <c r="I12" i="24" s="1"/>
  <c r="J89" i="6"/>
  <c r="H11" i="13"/>
  <c r="H25" i="28"/>
  <c r="AG16" i="28"/>
  <c r="AA18" i="28"/>
  <c r="AA16" i="28" s="1"/>
  <c r="E11" i="9"/>
  <c r="H11" i="9" s="1"/>
  <c r="I12" i="9"/>
  <c r="I41" i="8"/>
  <c r="E34" i="9"/>
  <c r="E59" i="9" s="1"/>
  <c r="E63" i="9" s="1"/>
  <c r="E35" i="14"/>
  <c r="E34" i="14" s="1"/>
  <c r="G37" i="25"/>
  <c r="H55" i="6"/>
  <c r="I14" i="10"/>
  <c r="I26" i="9"/>
  <c r="H30" i="7"/>
  <c r="I44" i="7"/>
  <c r="D29" i="15"/>
  <c r="I35" i="12"/>
  <c r="Q55" i="6"/>
  <c r="K114" i="6" s="1"/>
  <c r="E37" i="32"/>
  <c r="G28" i="8"/>
  <c r="I16" i="28"/>
  <c r="H18" i="28"/>
  <c r="AC16" i="28"/>
  <c r="AC47" i="28" s="1"/>
  <c r="X34" i="28"/>
  <c r="L43" i="8"/>
  <c r="M50" i="6"/>
  <c r="G21" i="25"/>
  <c r="M78" i="6"/>
  <c r="R44" i="20"/>
  <c r="O53" i="20"/>
  <c r="G22" i="9"/>
  <c r="H22" i="9" s="1"/>
  <c r="H55" i="8"/>
  <c r="G15" i="9"/>
  <c r="T27" i="28"/>
  <c r="G34" i="12"/>
  <c r="I10" i="10"/>
  <c r="D54" i="15"/>
  <c r="D58" i="15" s="1"/>
  <c r="E9" i="10"/>
  <c r="H9" i="10" s="1"/>
  <c r="I52" i="10"/>
  <c r="P34" i="28"/>
  <c r="Y34" i="28"/>
  <c r="AE34" i="28"/>
  <c r="H101" i="6"/>
  <c r="D61" i="15"/>
  <c r="K12" i="24"/>
  <c r="I15" i="24"/>
  <c r="L8" i="28"/>
  <c r="J27" i="28"/>
  <c r="AD29" i="28"/>
  <c r="AD25" i="28" s="1"/>
  <c r="H10" i="7"/>
  <c r="E9" i="11"/>
  <c r="E49" i="8"/>
  <c r="E53" i="8" s="1"/>
  <c r="D68" i="9"/>
  <c r="G36" i="25"/>
  <c r="I36" i="25" s="1"/>
  <c r="F34" i="12"/>
  <c r="I47" i="15"/>
  <c r="H62" i="14"/>
  <c r="AH10" i="28"/>
  <c r="AH15" i="28"/>
  <c r="S18" i="28"/>
  <c r="S16" i="28" s="1"/>
  <c r="I64" i="10"/>
  <c r="F29" i="10"/>
  <c r="I71" i="9"/>
  <c r="F20" i="9"/>
  <c r="I20" i="9" s="1"/>
  <c r="I17" i="9"/>
  <c r="F9" i="10"/>
  <c r="I53" i="20"/>
  <c r="P53" i="20"/>
  <c r="E13" i="32"/>
  <c r="S55" i="28"/>
  <c r="AH12" i="28"/>
  <c r="AH18" i="28"/>
  <c r="AH16" i="28" s="1"/>
  <c r="I80" i="33"/>
  <c r="I62" i="33"/>
  <c r="I13" i="33"/>
  <c r="N101" i="6"/>
  <c r="G29" i="6"/>
  <c r="E44" i="25"/>
  <c r="G78" i="6"/>
  <c r="M27" i="6"/>
  <c r="M55" i="6"/>
  <c r="G13" i="25"/>
  <c r="I13" i="25" s="1"/>
  <c r="I69" i="6"/>
  <c r="P101" i="6"/>
  <c r="E55" i="6"/>
  <c r="O101" i="6"/>
  <c r="E29" i="6"/>
  <c r="E50" i="6" s="1"/>
  <c r="G32" i="25"/>
  <c r="P29" i="6"/>
  <c r="H29" i="6"/>
  <c r="M89" i="6"/>
  <c r="K29" i="6"/>
  <c r="K54" i="6" s="1"/>
  <c r="N55" i="6"/>
  <c r="N78" i="6"/>
  <c r="S55" i="6"/>
  <c r="H78" i="6"/>
  <c r="J55" i="6"/>
  <c r="S27" i="6"/>
  <c r="S54" i="6"/>
  <c r="I27" i="6"/>
  <c r="P9" i="6"/>
  <c r="H9" i="6"/>
  <c r="G15" i="25"/>
  <c r="I15" i="25" s="1"/>
  <c r="D10" i="25"/>
  <c r="G9" i="6"/>
  <c r="E10" i="25"/>
  <c r="J9" i="6"/>
  <c r="E9" i="6"/>
  <c r="H34" i="11"/>
  <c r="I17" i="24"/>
  <c r="K17" i="24"/>
  <c r="E49" i="11"/>
  <c r="E59" i="11" s="1"/>
  <c r="H51" i="11"/>
  <c r="V25" i="28"/>
  <c r="AA25" i="28"/>
  <c r="J50" i="11"/>
  <c r="J56" i="11"/>
  <c r="J38" i="11"/>
  <c r="H41" i="9"/>
  <c r="G34" i="9"/>
  <c r="I41" i="9"/>
  <c r="I11" i="9"/>
  <c r="F10" i="9"/>
  <c r="I20" i="8"/>
  <c r="F18" i="8"/>
  <c r="L20" i="8"/>
  <c r="L25" i="28"/>
  <c r="H54" i="15"/>
  <c r="I24" i="9"/>
  <c r="D60" i="15"/>
  <c r="I54" i="6"/>
  <c r="E64" i="11"/>
  <c r="H31" i="15"/>
  <c r="G54" i="8"/>
  <c r="F65" i="11"/>
  <c r="I11" i="25"/>
  <c r="I13" i="24"/>
  <c r="K13" i="24"/>
  <c r="E22" i="24"/>
  <c r="L13" i="24" s="1"/>
  <c r="Q69" i="6"/>
  <c r="K69" i="6"/>
  <c r="Q9" i="6"/>
  <c r="J39" i="11"/>
  <c r="F49" i="8"/>
  <c r="L41" i="8"/>
  <c r="E65" i="12"/>
  <c r="H22" i="12"/>
  <c r="H35" i="14"/>
  <c r="N89" i="6"/>
  <c r="H89" i="6"/>
  <c r="N29" i="6"/>
  <c r="H17" i="13"/>
  <c r="H42" i="7"/>
  <c r="I42" i="7"/>
  <c r="F49" i="9"/>
  <c r="I51" i="9"/>
  <c r="F63" i="11"/>
  <c r="D20" i="9"/>
  <c r="D29" i="10"/>
  <c r="D28" i="10" s="1"/>
  <c r="D62" i="10" s="1"/>
  <c r="I22" i="9"/>
  <c r="J54" i="11"/>
  <c r="E59" i="12"/>
  <c r="E63" i="12" s="1"/>
  <c r="J42" i="7"/>
  <c r="I34" i="11"/>
  <c r="J14" i="14"/>
  <c r="F22" i="24"/>
  <c r="G55" i="8"/>
  <c r="F32" i="12"/>
  <c r="J47" i="11"/>
  <c r="J44" i="11"/>
  <c r="G50" i="7"/>
  <c r="H24" i="11"/>
  <c r="G22" i="11"/>
  <c r="J24" i="11"/>
  <c r="H12" i="9"/>
  <c r="G10" i="9"/>
  <c r="H36" i="7"/>
  <c r="E29" i="7"/>
  <c r="K25" i="28"/>
  <c r="K41" i="28" s="1"/>
  <c r="K106" i="28" s="1"/>
  <c r="K27" i="6"/>
  <c r="J35" i="8"/>
  <c r="I35" i="8"/>
  <c r="H23" i="9"/>
  <c r="I23" i="9"/>
  <c r="H22" i="15"/>
  <c r="E20" i="15"/>
  <c r="H45" i="10"/>
  <c r="E20" i="9"/>
  <c r="H20" i="9" s="1"/>
  <c r="E29" i="10"/>
  <c r="I24" i="13"/>
  <c r="H24" i="13"/>
  <c r="I36" i="13"/>
  <c r="H36" i="13"/>
  <c r="G29" i="13"/>
  <c r="D59" i="12"/>
  <c r="D63" i="12" s="1"/>
  <c r="D61" i="12"/>
  <c r="K12" i="28"/>
  <c r="K8" i="28" s="1"/>
  <c r="D33" i="25"/>
  <c r="K101" i="6"/>
  <c r="Q101" i="6"/>
  <c r="D207" i="32"/>
  <c r="E157" i="32"/>
  <c r="D9" i="11"/>
  <c r="AE8" i="28"/>
  <c r="S50" i="6"/>
  <c r="S53" i="6" s="1"/>
  <c r="O9" i="6"/>
  <c r="O69" i="6"/>
  <c r="T10" i="28"/>
  <c r="I16" i="9"/>
  <c r="H16" i="9"/>
  <c r="H25" i="9"/>
  <c r="I25" i="9"/>
  <c r="E8" i="13"/>
  <c r="E27" i="13" s="1"/>
  <c r="E47" i="13" s="1"/>
  <c r="E51" i="13" s="1"/>
  <c r="H9" i="13"/>
  <c r="F8" i="15"/>
  <c r="I14" i="15"/>
  <c r="H28" i="14"/>
  <c r="I28" i="14"/>
  <c r="H28" i="8"/>
  <c r="I29" i="8"/>
  <c r="R29" i="28"/>
  <c r="R25" i="28" s="1"/>
  <c r="Z25" i="28"/>
  <c r="AE29" i="28"/>
  <c r="AE25" i="28" s="1"/>
  <c r="Q29" i="6"/>
  <c r="E26" i="25"/>
  <c r="G26" i="25" s="1"/>
  <c r="K89" i="6"/>
  <c r="J21" i="14"/>
  <c r="J18" i="14"/>
  <c r="AB18" i="28"/>
  <c r="AB16" i="28" s="1"/>
  <c r="H10" i="12"/>
  <c r="E9" i="12"/>
  <c r="E54" i="8"/>
  <c r="E21" i="32"/>
  <c r="C192" i="32"/>
  <c r="E36" i="32"/>
  <c r="E91" i="32"/>
  <c r="J78" i="6"/>
  <c r="P55" i="6"/>
  <c r="P78" i="6"/>
  <c r="J8" i="28"/>
  <c r="H16" i="28"/>
  <c r="O29" i="6"/>
  <c r="I89" i="6"/>
  <c r="O89" i="6"/>
  <c r="D29" i="7"/>
  <c r="D15" i="9"/>
  <c r="D9" i="9" s="1"/>
  <c r="G82" i="33"/>
  <c r="O15" i="34"/>
  <c r="I15" i="34"/>
  <c r="O55" i="6"/>
  <c r="O78" i="6"/>
  <c r="I78" i="6"/>
  <c r="E53" i="20"/>
  <c r="G183" i="32"/>
  <c r="G213" i="32" s="1"/>
  <c r="I38" i="30"/>
  <c r="I40" i="30" s="1"/>
  <c r="O25" i="28"/>
  <c r="M12" i="28"/>
  <c r="M8" i="28" s="1"/>
  <c r="O18" i="28"/>
  <c r="O16" i="28" s="1"/>
  <c r="W18" i="28"/>
  <c r="W16" i="28" s="1"/>
  <c r="W47" i="28" s="1"/>
  <c r="G25" i="28"/>
  <c r="M29" i="28"/>
  <c r="N25" i="28"/>
  <c r="N41" i="28" s="1"/>
  <c r="N49" i="28" s="1"/>
  <c r="Q36" i="28"/>
  <c r="Q34" i="28" s="1"/>
  <c r="AF34" i="28"/>
  <c r="O8" i="28"/>
  <c r="O46" i="28" s="1"/>
  <c r="Q16" i="28"/>
  <c r="Y16" i="28"/>
  <c r="X18" i="28"/>
  <c r="X16" i="28" s="1"/>
  <c r="X47" i="28" s="1"/>
  <c r="Y25" i="28"/>
  <c r="AB25" i="28"/>
  <c r="H34" i="28"/>
  <c r="H41" i="28" s="1"/>
  <c r="H106" i="28" s="1"/>
  <c r="R28" i="20"/>
  <c r="I12" i="28"/>
  <c r="J29" i="28"/>
  <c r="X29" i="28"/>
  <c r="X25" i="28" s="1"/>
  <c r="X41" i="28" s="1"/>
  <c r="O34" i="28"/>
  <c r="M36" i="28"/>
  <c r="M34" i="28" s="1"/>
  <c r="AB34" i="28"/>
  <c r="AE16" i="28"/>
  <c r="L34" i="28"/>
  <c r="L41" i="28" s="1"/>
  <c r="W8" i="28"/>
  <c r="X12" i="28"/>
  <c r="X8" i="28" s="1"/>
  <c r="M16" i="28"/>
  <c r="N18" i="28"/>
  <c r="N16" i="28" s="1"/>
  <c r="N47" i="28" s="1"/>
  <c r="R16" i="28"/>
  <c r="AG25" i="28"/>
  <c r="AC29" i="28"/>
  <c r="AC25" i="28" s="1"/>
  <c r="AC41" i="28" s="1"/>
  <c r="J34" i="28"/>
  <c r="AF16" i="28"/>
  <c r="V8" i="28"/>
  <c r="Z12" i="28"/>
  <c r="Z8" i="28" s="1"/>
  <c r="Z46" i="28" s="1"/>
  <c r="Z36" i="28"/>
  <c r="Z34" i="28" s="1"/>
  <c r="AA8" i="28"/>
  <c r="AA23" i="28" s="1"/>
  <c r="Y12" i="28"/>
  <c r="AC12" i="28"/>
  <c r="AC8" i="28" s="1"/>
  <c r="W25" i="28"/>
  <c r="W41" i="28" s="1"/>
  <c r="AD16" i="28"/>
  <c r="AF29" i="28"/>
  <c r="AF25" i="28" s="1"/>
  <c r="AD36" i="28"/>
  <c r="AD34" i="28" s="1"/>
  <c r="AD12" i="28"/>
  <c r="AD8" i="28" s="1"/>
  <c r="AF12" i="28"/>
  <c r="AF8" i="28" s="1"/>
  <c r="T12" i="28"/>
  <c r="T18" i="28"/>
  <c r="T16" i="28" s="1"/>
  <c r="T36" i="28"/>
  <c r="P18" i="28"/>
  <c r="P16" i="28" s="1"/>
  <c r="P47" i="28" s="1"/>
  <c r="G34" i="28"/>
  <c r="I36" i="28"/>
  <c r="I34" i="28" s="1"/>
  <c r="Q12" i="28"/>
  <c r="H12" i="28"/>
  <c r="H8" i="28" s="1"/>
  <c r="P12" i="28"/>
  <c r="P8" i="28" s="1"/>
  <c r="S12" i="28"/>
  <c r="S8" i="28" s="1"/>
  <c r="L46" i="28"/>
  <c r="I55" i="28"/>
  <c r="Q55" i="28"/>
  <c r="N55" i="28"/>
  <c r="W55" i="28"/>
  <c r="AH55" i="28"/>
  <c r="Z55" i="28"/>
  <c r="AA55" i="28"/>
  <c r="O55" i="28"/>
  <c r="G55" i="28"/>
  <c r="P55" i="28"/>
  <c r="AE55" i="28"/>
  <c r="M55" i="28"/>
  <c r="AF55" i="28"/>
  <c r="AC55" i="28"/>
  <c r="R55" i="28"/>
  <c r="AB55" i="28"/>
  <c r="V55" i="28"/>
  <c r="I8" i="28"/>
  <c r="R8" i="28"/>
  <c r="N8" i="28"/>
  <c r="AD55" i="28"/>
  <c r="Q8" i="28"/>
  <c r="AB12" i="28"/>
  <c r="AB8" i="28" s="1"/>
  <c r="V16" i="28"/>
  <c r="V47" i="28" s="1"/>
  <c r="Z16" i="28"/>
  <c r="K18" i="28"/>
  <c r="K16" i="28" s="1"/>
  <c r="I25" i="28"/>
  <c r="M25" i="28"/>
  <c r="M41" i="28" s="1"/>
  <c r="Q29" i="28"/>
  <c r="Q25" i="28" s="1"/>
  <c r="AA34" i="28"/>
  <c r="AA41" i="28" s="1"/>
  <c r="Y47" i="28"/>
  <c r="S29" i="28"/>
  <c r="G8" i="28"/>
  <c r="Y8" i="28"/>
  <c r="Y55" i="28"/>
  <c r="L55" i="28"/>
  <c r="AG55" i="28"/>
  <c r="J55" i="28"/>
  <c r="X55" i="28"/>
  <c r="K55" i="28"/>
  <c r="H14" i="34"/>
  <c r="J18" i="13" l="1"/>
  <c r="J25" i="13"/>
  <c r="H24" i="9"/>
  <c r="I49" i="11"/>
  <c r="J45" i="11"/>
  <c r="F65" i="12"/>
  <c r="J40" i="11"/>
  <c r="G65" i="9"/>
  <c r="J20" i="11"/>
  <c r="J19" i="11"/>
  <c r="J28" i="11"/>
  <c r="J17" i="11"/>
  <c r="J9" i="11"/>
  <c r="I29" i="10"/>
  <c r="I49" i="12"/>
  <c r="J11" i="34"/>
  <c r="J29" i="11"/>
  <c r="J11" i="11"/>
  <c r="J26" i="11"/>
  <c r="G59" i="11"/>
  <c r="G17" i="25"/>
  <c r="I17" i="25" s="1"/>
  <c r="E61" i="11"/>
  <c r="J16" i="11"/>
  <c r="J25" i="11"/>
  <c r="J13" i="11"/>
  <c r="J14" i="11"/>
  <c r="J27" i="11"/>
  <c r="AG41" i="28"/>
  <c r="AG47" i="28"/>
  <c r="AE47" i="28"/>
  <c r="O41" i="28"/>
  <c r="O106" i="28" s="1"/>
  <c r="G41" i="28"/>
  <c r="AB47" i="28"/>
  <c r="J25" i="28"/>
  <c r="J41" i="28" s="1"/>
  <c r="J49" i="28" s="1"/>
  <c r="L23" i="28"/>
  <c r="L105" i="28" s="1"/>
  <c r="V41" i="28"/>
  <c r="AH25" i="28"/>
  <c r="O47" i="28"/>
  <c r="AE41" i="28"/>
  <c r="P41" i="28"/>
  <c r="M23" i="28"/>
  <c r="T25" i="28"/>
  <c r="S25" i="28"/>
  <c r="S41" i="28" s="1"/>
  <c r="S47" i="28"/>
  <c r="R47" i="28"/>
  <c r="K50" i="6"/>
  <c r="D39" i="25" s="1"/>
  <c r="M53" i="6"/>
  <c r="G88" i="6"/>
  <c r="M54" i="6"/>
  <c r="I50" i="6"/>
  <c r="I52" i="6" s="1"/>
  <c r="G114" i="6"/>
  <c r="H68" i="6"/>
  <c r="M52" i="6"/>
  <c r="I31" i="15"/>
  <c r="G58" i="15"/>
  <c r="I54" i="15"/>
  <c r="G60" i="15"/>
  <c r="G29" i="15"/>
  <c r="G68" i="14"/>
  <c r="F45" i="13"/>
  <c r="F47" i="13"/>
  <c r="F51" i="13" s="1"/>
  <c r="J21" i="13"/>
  <c r="J10" i="13"/>
  <c r="J22" i="13"/>
  <c r="J24" i="13"/>
  <c r="J16" i="13"/>
  <c r="J13" i="13"/>
  <c r="J11" i="13"/>
  <c r="I9" i="13"/>
  <c r="J20" i="13"/>
  <c r="G65" i="12"/>
  <c r="H34" i="12"/>
  <c r="F64" i="12"/>
  <c r="G32" i="12"/>
  <c r="J49" i="11"/>
  <c r="J35" i="11"/>
  <c r="J51" i="11"/>
  <c r="J41" i="11"/>
  <c r="J52" i="11"/>
  <c r="J37" i="11"/>
  <c r="J46" i="11"/>
  <c r="J43" i="11"/>
  <c r="J53" i="11"/>
  <c r="J34" i="11"/>
  <c r="F73" i="11"/>
  <c r="F65" i="9"/>
  <c r="G49" i="8"/>
  <c r="G26" i="8"/>
  <c r="J18" i="8"/>
  <c r="K9" i="34"/>
  <c r="J30" i="7"/>
  <c r="H27" i="7"/>
  <c r="F27" i="7"/>
  <c r="F55" i="7"/>
  <c r="I41" i="28"/>
  <c r="O49" i="28"/>
  <c r="N106" i="28"/>
  <c r="E51" i="8"/>
  <c r="E56" i="8" s="1"/>
  <c r="D56" i="15"/>
  <c r="AG23" i="28"/>
  <c r="AG105" i="28" s="1"/>
  <c r="I32" i="14"/>
  <c r="H32" i="14"/>
  <c r="Z41" i="28"/>
  <c r="J9" i="13"/>
  <c r="J19" i="13"/>
  <c r="J17" i="13"/>
  <c r="J38" i="15"/>
  <c r="D47" i="13"/>
  <c r="D51" i="13" s="1"/>
  <c r="I27" i="7"/>
  <c r="K8" i="34"/>
  <c r="J23" i="28"/>
  <c r="K49" i="28"/>
  <c r="AB41" i="28"/>
  <c r="K46" i="28"/>
  <c r="R53" i="20"/>
  <c r="D49" i="8"/>
  <c r="D53" i="8" s="1"/>
  <c r="L28" i="8"/>
  <c r="M13" i="34"/>
  <c r="S52" i="6"/>
  <c r="H15" i="9"/>
  <c r="I15" i="9"/>
  <c r="E10" i="9"/>
  <c r="E9" i="9" s="1"/>
  <c r="L9" i="34"/>
  <c r="K35" i="8"/>
  <c r="K32" i="8"/>
  <c r="K37" i="8"/>
  <c r="J42" i="11"/>
  <c r="J55" i="11"/>
  <c r="J36" i="11"/>
  <c r="G61" i="12"/>
  <c r="I34" i="12"/>
  <c r="G59" i="12"/>
  <c r="J42" i="15"/>
  <c r="J37" i="15"/>
  <c r="L13" i="34"/>
  <c r="J33" i="15"/>
  <c r="J48" i="15"/>
  <c r="J32" i="15"/>
  <c r="J51" i="15"/>
  <c r="J44" i="15"/>
  <c r="J40" i="15"/>
  <c r="J52" i="15"/>
  <c r="J43" i="15"/>
  <c r="J46" i="15"/>
  <c r="J41" i="15"/>
  <c r="J39" i="15"/>
  <c r="J36" i="15"/>
  <c r="J47" i="15"/>
  <c r="J35" i="15"/>
  <c r="J34" i="15"/>
  <c r="J50" i="15"/>
  <c r="F58" i="15"/>
  <c r="J49" i="15"/>
  <c r="V46" i="28"/>
  <c r="J47" i="28"/>
  <c r="T55" i="28"/>
  <c r="L17" i="24"/>
  <c r="G56" i="15"/>
  <c r="G59" i="15" s="1"/>
  <c r="F59" i="12"/>
  <c r="J51" i="12" s="1"/>
  <c r="F34" i="14"/>
  <c r="I35" i="14"/>
  <c r="D51" i="8"/>
  <c r="D56" i="8" s="1"/>
  <c r="J47" i="7"/>
  <c r="J39" i="7"/>
  <c r="F54" i="7"/>
  <c r="J40" i="7"/>
  <c r="J45" i="7"/>
  <c r="J38" i="7"/>
  <c r="L8" i="34"/>
  <c r="J35" i="7"/>
  <c r="J43" i="7"/>
  <c r="J37" i="7"/>
  <c r="J32" i="7"/>
  <c r="J33" i="7"/>
  <c r="J36" i="7"/>
  <c r="J46" i="7"/>
  <c r="F52" i="7"/>
  <c r="J34" i="7"/>
  <c r="J31" i="7"/>
  <c r="Y41" i="28"/>
  <c r="Y49" i="28" s="1"/>
  <c r="L47" i="28"/>
  <c r="M47" i="28"/>
  <c r="Q47" i="28"/>
  <c r="AE23" i="28"/>
  <c r="AE105" i="28" s="1"/>
  <c r="J23" i="13"/>
  <c r="J12" i="13"/>
  <c r="P68" i="6"/>
  <c r="H9" i="11"/>
  <c r="E32" i="11"/>
  <c r="J44" i="7"/>
  <c r="G64" i="12"/>
  <c r="D54" i="8"/>
  <c r="J29" i="7"/>
  <c r="O23" i="28"/>
  <c r="I47" i="28"/>
  <c r="W23" i="28"/>
  <c r="W43" i="28" s="1"/>
  <c r="F61" i="12"/>
  <c r="G10" i="25"/>
  <c r="I10" i="25" s="1"/>
  <c r="J45" i="15"/>
  <c r="H58" i="15"/>
  <c r="J31" i="15"/>
  <c r="S23" i="28"/>
  <c r="F28" i="10"/>
  <c r="I28" i="10" s="1"/>
  <c r="F9" i="9"/>
  <c r="F32" i="9" s="1"/>
  <c r="J10" i="9" s="1"/>
  <c r="I9" i="10"/>
  <c r="F62" i="10"/>
  <c r="I62" i="10" s="1"/>
  <c r="AF41" i="28"/>
  <c r="AF49" i="28" s="1"/>
  <c r="AF47" i="28"/>
  <c r="I70" i="33"/>
  <c r="I82" i="33" s="1"/>
  <c r="G50" i="6"/>
  <c r="M88" i="6"/>
  <c r="P27" i="6"/>
  <c r="J68" i="6"/>
  <c r="S56" i="6"/>
  <c r="N54" i="6"/>
  <c r="P50" i="6"/>
  <c r="P88" i="6"/>
  <c r="D25" i="25"/>
  <c r="D43" i="25" s="1"/>
  <c r="J88" i="6"/>
  <c r="H50" i="6"/>
  <c r="J53" i="6"/>
  <c r="I114" i="6"/>
  <c r="J114" i="6"/>
  <c r="H114" i="6"/>
  <c r="E54" i="6"/>
  <c r="E27" i="6"/>
  <c r="M68" i="6"/>
  <c r="G68" i="6"/>
  <c r="G27" i="6"/>
  <c r="G54" i="6"/>
  <c r="H54" i="6"/>
  <c r="H27" i="6"/>
  <c r="J27" i="6"/>
  <c r="J54" i="6"/>
  <c r="P54" i="6"/>
  <c r="N68" i="6"/>
  <c r="X49" i="28"/>
  <c r="X106" i="28"/>
  <c r="H23" i="28"/>
  <c r="H46" i="28"/>
  <c r="O27" i="6"/>
  <c r="I68" i="6"/>
  <c r="O68" i="6"/>
  <c r="O54" i="6"/>
  <c r="J47" i="12"/>
  <c r="J37" i="12"/>
  <c r="L12" i="34"/>
  <c r="AG46" i="28"/>
  <c r="J106" i="28"/>
  <c r="W46" i="28"/>
  <c r="H29" i="7"/>
  <c r="E50" i="7"/>
  <c r="H50" i="7" s="1"/>
  <c r="E55" i="7"/>
  <c r="H34" i="14"/>
  <c r="E66" i="14"/>
  <c r="K9" i="8"/>
  <c r="K20" i="8"/>
  <c r="K13" i="8"/>
  <c r="K19" i="8"/>
  <c r="K11" i="8"/>
  <c r="G51" i="8"/>
  <c r="K14" i="8"/>
  <c r="K21" i="8"/>
  <c r="K22" i="8"/>
  <c r="K10" i="8"/>
  <c r="K16" i="8"/>
  <c r="K23" i="8"/>
  <c r="K12" i="8"/>
  <c r="K15" i="8"/>
  <c r="K8" i="8"/>
  <c r="K18" i="8"/>
  <c r="J9" i="34"/>
  <c r="D55" i="7"/>
  <c r="D50" i="7"/>
  <c r="E25" i="25"/>
  <c r="Q88" i="6"/>
  <c r="Q50" i="6"/>
  <c r="K88" i="6"/>
  <c r="D64" i="11"/>
  <c r="D61" i="11"/>
  <c r="D32" i="11"/>
  <c r="D44" i="25"/>
  <c r="G44" i="25" s="1"/>
  <c r="G33" i="25"/>
  <c r="E64" i="9"/>
  <c r="E32" i="9"/>
  <c r="E61" i="9" s="1"/>
  <c r="E66" i="9" s="1"/>
  <c r="H22" i="11"/>
  <c r="G32" i="11"/>
  <c r="G65" i="11"/>
  <c r="J22" i="11"/>
  <c r="G61" i="11"/>
  <c r="I22" i="11"/>
  <c r="AA46" i="28"/>
  <c r="E53" i="6"/>
  <c r="D66" i="12"/>
  <c r="D73" i="12"/>
  <c r="F73" i="12"/>
  <c r="I22" i="24"/>
  <c r="K22" i="24"/>
  <c r="F21" i="24"/>
  <c r="E9" i="25"/>
  <c r="Q27" i="6"/>
  <c r="Q54" i="6"/>
  <c r="K113" i="6" s="1"/>
  <c r="K68" i="6"/>
  <c r="Q68" i="6"/>
  <c r="F55" i="8"/>
  <c r="F26" i="8"/>
  <c r="I18" i="8"/>
  <c r="L18" i="8"/>
  <c r="H34" i="9"/>
  <c r="I34" i="9"/>
  <c r="G59" i="9"/>
  <c r="E63" i="11"/>
  <c r="H59" i="11"/>
  <c r="J46" i="28"/>
  <c r="O50" i="6"/>
  <c r="I88" i="6"/>
  <c r="O88" i="6"/>
  <c r="R41" i="28"/>
  <c r="F60" i="15"/>
  <c r="F29" i="15"/>
  <c r="E28" i="10"/>
  <c r="H29" i="10"/>
  <c r="H20" i="15"/>
  <c r="E61" i="15"/>
  <c r="E29" i="15"/>
  <c r="H10" i="9"/>
  <c r="G9" i="9"/>
  <c r="I10" i="9"/>
  <c r="M56" i="6"/>
  <c r="G52" i="7"/>
  <c r="I50" i="7"/>
  <c r="G54" i="7"/>
  <c r="M8" i="34"/>
  <c r="J18" i="12"/>
  <c r="J15" i="12"/>
  <c r="J10" i="12"/>
  <c r="J14" i="12"/>
  <c r="J25" i="12"/>
  <c r="J22" i="12"/>
  <c r="J29" i="12"/>
  <c r="J20" i="12"/>
  <c r="J11" i="12"/>
  <c r="J12" i="12"/>
  <c r="J17" i="12"/>
  <c r="J16" i="12"/>
  <c r="J13" i="12"/>
  <c r="J12" i="34"/>
  <c r="J9" i="12"/>
  <c r="J27" i="12"/>
  <c r="I32" i="12"/>
  <c r="J24" i="12"/>
  <c r="J26" i="12"/>
  <c r="J23" i="12"/>
  <c r="J28" i="12"/>
  <c r="J19" i="12"/>
  <c r="O13" i="34"/>
  <c r="H88" i="6"/>
  <c r="N50" i="6"/>
  <c r="N88" i="6"/>
  <c r="Q41" i="28"/>
  <c r="Q106" i="28" s="1"/>
  <c r="H47" i="28"/>
  <c r="H29" i="13"/>
  <c r="I29" i="13"/>
  <c r="J29" i="13"/>
  <c r="G45" i="13"/>
  <c r="J16" i="34"/>
  <c r="K52" i="6"/>
  <c r="D23" i="25"/>
  <c r="H49" i="11"/>
  <c r="E65" i="11"/>
  <c r="AD41" i="28"/>
  <c r="AD49" i="28" s="1"/>
  <c r="AG49" i="28"/>
  <c r="AG106" i="28"/>
  <c r="D64" i="9"/>
  <c r="D32" i="9"/>
  <c r="D61" i="9" s="1"/>
  <c r="D66" i="9" s="1"/>
  <c r="E32" i="12"/>
  <c r="H32" i="12" s="1"/>
  <c r="E61" i="12"/>
  <c r="H9" i="12"/>
  <c r="E64" i="12"/>
  <c r="I26" i="25"/>
  <c r="J28" i="8"/>
  <c r="K28" i="8"/>
  <c r="I28" i="8"/>
  <c r="H49" i="8"/>
  <c r="H54" i="8"/>
  <c r="E73" i="11"/>
  <c r="E66" i="11"/>
  <c r="I8" i="15"/>
  <c r="F59" i="9"/>
  <c r="I49" i="9"/>
  <c r="H15" i="13"/>
  <c r="J15" i="13"/>
  <c r="G14" i="13"/>
  <c r="I15" i="13"/>
  <c r="L49" i="8"/>
  <c r="F53" i="8"/>
  <c r="L53" i="8" s="1"/>
  <c r="L18" i="24"/>
  <c r="L12" i="24"/>
  <c r="L16" i="24"/>
  <c r="L14" i="24"/>
  <c r="L15" i="24"/>
  <c r="E21" i="24"/>
  <c r="H11" i="34"/>
  <c r="W49" i="28"/>
  <c r="W106" i="28"/>
  <c r="X23" i="28"/>
  <c r="X46" i="28"/>
  <c r="AB49" i="28"/>
  <c r="AB106" i="28"/>
  <c r="AC23" i="28"/>
  <c r="AC46" i="28"/>
  <c r="AC49" i="28"/>
  <c r="AC106" i="28"/>
  <c r="AD23" i="28"/>
  <c r="AD46" i="28"/>
  <c r="AE106" i="28"/>
  <c r="AE49" i="28"/>
  <c r="AD47" i="28"/>
  <c r="AF106" i="28"/>
  <c r="AE46" i="28"/>
  <c r="P23" i="28"/>
  <c r="P105" i="28" s="1"/>
  <c r="P46" i="28"/>
  <c r="G106" i="28"/>
  <c r="G49" i="28"/>
  <c r="H49" i="28"/>
  <c r="T34" i="28"/>
  <c r="T47" i="28" s="1"/>
  <c r="G47" i="28"/>
  <c r="AF46" i="28"/>
  <c r="AF23" i="28"/>
  <c r="AA106" i="28"/>
  <c r="AA49" i="28"/>
  <c r="I106" i="28"/>
  <c r="I49" i="28"/>
  <c r="AB46" i="28"/>
  <c r="AB23" i="28"/>
  <c r="R46" i="28"/>
  <c r="R23" i="28"/>
  <c r="H105" i="28"/>
  <c r="H43" i="28"/>
  <c r="S46" i="28"/>
  <c r="L106" i="28"/>
  <c r="L43" i="28"/>
  <c r="L49" i="28"/>
  <c r="AA43" i="28"/>
  <c r="AA105" i="28"/>
  <c r="G46" i="28"/>
  <c r="T8" i="28"/>
  <c r="G23" i="28"/>
  <c r="V106" i="28"/>
  <c r="V49" i="28"/>
  <c r="K47" i="28"/>
  <c r="K23" i="28"/>
  <c r="Q46" i="28"/>
  <c r="Q23" i="28"/>
  <c r="I46" i="28"/>
  <c r="I23" i="28"/>
  <c r="V23" i="28"/>
  <c r="M46" i="28"/>
  <c r="AH34" i="28"/>
  <c r="Z106" i="28"/>
  <c r="Z49" i="28"/>
  <c r="M43" i="28"/>
  <c r="M105" i="28"/>
  <c r="AH8" i="28"/>
  <c r="P49" i="28"/>
  <c r="P106" i="28"/>
  <c r="Z47" i="28"/>
  <c r="Z23" i="28"/>
  <c r="Y23" i="28"/>
  <c r="Y46" i="28"/>
  <c r="M49" i="28"/>
  <c r="M106" i="28"/>
  <c r="N46" i="28"/>
  <c r="N23" i="28"/>
  <c r="AA47" i="28"/>
  <c r="O43" i="28"/>
  <c r="O105" i="28"/>
  <c r="S105" i="28"/>
  <c r="J43" i="28"/>
  <c r="J105" i="28"/>
  <c r="G25" i="25" l="1"/>
  <c r="M11" i="34"/>
  <c r="O11" i="34" s="1"/>
  <c r="I59" i="11"/>
  <c r="G63" i="11"/>
  <c r="I63" i="11" s="1"/>
  <c r="F64" i="9"/>
  <c r="Q49" i="28"/>
  <c r="W105" i="28"/>
  <c r="S43" i="28"/>
  <c r="S48" i="28" s="1"/>
  <c r="S106" i="28"/>
  <c r="S49" i="28"/>
  <c r="Y106" i="28"/>
  <c r="AG43" i="28"/>
  <c r="K53" i="6"/>
  <c r="L16" i="34"/>
  <c r="H16" i="34" s="1"/>
  <c r="I53" i="6"/>
  <c r="H86" i="6"/>
  <c r="I58" i="15"/>
  <c r="J8" i="15"/>
  <c r="G68" i="15"/>
  <c r="K13" i="34"/>
  <c r="I13" i="34" s="1"/>
  <c r="G73" i="14"/>
  <c r="J30" i="13"/>
  <c r="J37" i="13"/>
  <c r="J41" i="13"/>
  <c r="J35" i="13"/>
  <c r="J38" i="13"/>
  <c r="J39" i="13"/>
  <c r="J40" i="13"/>
  <c r="J31" i="13"/>
  <c r="J43" i="13"/>
  <c r="J34" i="13"/>
  <c r="J36" i="13"/>
  <c r="J32" i="13"/>
  <c r="J42" i="13"/>
  <c r="J33" i="13"/>
  <c r="J50" i="12"/>
  <c r="I59" i="12"/>
  <c r="J55" i="12"/>
  <c r="J35" i="12"/>
  <c r="J49" i="12"/>
  <c r="J36" i="12"/>
  <c r="J52" i="12"/>
  <c r="J46" i="12"/>
  <c r="J45" i="12"/>
  <c r="J56" i="12"/>
  <c r="J43" i="12"/>
  <c r="J44" i="12"/>
  <c r="J53" i="12"/>
  <c r="F63" i="12"/>
  <c r="F66" i="12"/>
  <c r="K12" i="34"/>
  <c r="N12" i="34" s="1"/>
  <c r="J34" i="9"/>
  <c r="K29" i="8"/>
  <c r="K41" i="8"/>
  <c r="G53" i="8"/>
  <c r="K42" i="8"/>
  <c r="K31" i="8"/>
  <c r="K33" i="8"/>
  <c r="K44" i="8"/>
  <c r="K38" i="8"/>
  <c r="K43" i="8"/>
  <c r="K45" i="8"/>
  <c r="K34" i="8"/>
  <c r="K39" i="8"/>
  <c r="K36" i="8"/>
  <c r="K30" i="8"/>
  <c r="K46" i="8"/>
  <c r="J26" i="8"/>
  <c r="G56" i="8"/>
  <c r="J23" i="7"/>
  <c r="J11" i="7"/>
  <c r="J22" i="7"/>
  <c r="J8" i="34"/>
  <c r="H8" i="34" s="1"/>
  <c r="J20" i="7"/>
  <c r="J21" i="7"/>
  <c r="J12" i="7"/>
  <c r="J24" i="7"/>
  <c r="J9" i="7"/>
  <c r="J15" i="7"/>
  <c r="J19" i="7"/>
  <c r="J13" i="7"/>
  <c r="J17" i="7"/>
  <c r="J14" i="7"/>
  <c r="J16" i="7"/>
  <c r="J10" i="7"/>
  <c r="F57" i="7"/>
  <c r="G57" i="7"/>
  <c r="D59" i="15"/>
  <c r="D68" i="15"/>
  <c r="J49" i="9"/>
  <c r="J41" i="12"/>
  <c r="J38" i="12"/>
  <c r="J54" i="12"/>
  <c r="J42" i="12"/>
  <c r="F66" i="14"/>
  <c r="J34" i="14" s="1"/>
  <c r="I34" i="14"/>
  <c r="G73" i="12"/>
  <c r="G66" i="12"/>
  <c r="AE43" i="28"/>
  <c r="AD106" i="28"/>
  <c r="H12" i="34"/>
  <c r="J40" i="12"/>
  <c r="J34" i="12"/>
  <c r="J39" i="12"/>
  <c r="G63" i="12"/>
  <c r="M12" i="34"/>
  <c r="H59" i="12"/>
  <c r="J9" i="10"/>
  <c r="J25" i="10"/>
  <c r="J52" i="10"/>
  <c r="J10" i="10"/>
  <c r="J49" i="10"/>
  <c r="J56" i="10"/>
  <c r="J38" i="10"/>
  <c r="J12" i="10"/>
  <c r="J20" i="10"/>
  <c r="J45" i="10"/>
  <c r="J54" i="10"/>
  <c r="J50" i="10"/>
  <c r="J59" i="10"/>
  <c r="J18" i="10"/>
  <c r="J43" i="10"/>
  <c r="J41" i="10"/>
  <c r="J29" i="10"/>
  <c r="J32" i="10"/>
  <c r="J31" i="10"/>
  <c r="J46" i="10"/>
  <c r="J48" i="10"/>
  <c r="J15" i="10"/>
  <c r="J55" i="10"/>
  <c r="J34" i="10"/>
  <c r="J47" i="10"/>
  <c r="J58" i="10"/>
  <c r="J53" i="10"/>
  <c r="J57" i="10"/>
  <c r="J19" i="10"/>
  <c r="J13" i="10"/>
  <c r="J24" i="10"/>
  <c r="J30" i="10"/>
  <c r="J14" i="10"/>
  <c r="J21" i="10"/>
  <c r="J44" i="10"/>
  <c r="J35" i="10"/>
  <c r="J11" i="10"/>
  <c r="J37" i="10"/>
  <c r="J40" i="10"/>
  <c r="J28" i="10"/>
  <c r="J36" i="10"/>
  <c r="J16" i="10"/>
  <c r="J33" i="10"/>
  <c r="J22" i="10"/>
  <c r="J17" i="10"/>
  <c r="J39" i="10"/>
  <c r="J26" i="10"/>
  <c r="J42" i="10"/>
  <c r="P52" i="6"/>
  <c r="G53" i="6"/>
  <c r="G109" i="6"/>
  <c r="M109" i="6"/>
  <c r="K56" i="6"/>
  <c r="P53" i="6"/>
  <c r="J109" i="6"/>
  <c r="H53" i="6"/>
  <c r="P109" i="6"/>
  <c r="E52" i="6"/>
  <c r="E56" i="6"/>
  <c r="J113" i="6"/>
  <c r="J52" i="6"/>
  <c r="J56" i="6"/>
  <c r="I113" i="6"/>
  <c r="P86" i="6"/>
  <c r="H113" i="6"/>
  <c r="G113" i="6"/>
  <c r="J86" i="6"/>
  <c r="H52" i="6"/>
  <c r="N86" i="6"/>
  <c r="G86" i="6"/>
  <c r="G52" i="6"/>
  <c r="M86" i="6"/>
  <c r="G63" i="9"/>
  <c r="M10" i="34"/>
  <c r="I59" i="9"/>
  <c r="H59" i="9"/>
  <c r="F51" i="8"/>
  <c r="F56" i="8" s="1"/>
  <c r="L26" i="8"/>
  <c r="I26" i="8"/>
  <c r="E43" i="25"/>
  <c r="G43" i="25" s="1"/>
  <c r="G9" i="25"/>
  <c r="E68" i="14"/>
  <c r="E73" i="14" s="1"/>
  <c r="H66" i="14"/>
  <c r="G8" i="13"/>
  <c r="J14" i="13"/>
  <c r="I14" i="13"/>
  <c r="H14" i="13"/>
  <c r="J18" i="25"/>
  <c r="J17" i="25"/>
  <c r="J16" i="25"/>
  <c r="J15" i="25"/>
  <c r="J14" i="25"/>
  <c r="D41" i="25"/>
  <c r="D45" i="25" s="1"/>
  <c r="J19" i="25"/>
  <c r="J20" i="25"/>
  <c r="J12" i="25"/>
  <c r="J21" i="25"/>
  <c r="J10" i="25"/>
  <c r="J11" i="25"/>
  <c r="J13" i="25"/>
  <c r="H109" i="6"/>
  <c r="N53" i="6"/>
  <c r="N109" i="6"/>
  <c r="N52" i="6"/>
  <c r="G64" i="9"/>
  <c r="G32" i="9"/>
  <c r="J9" i="9"/>
  <c r="H9" i="9"/>
  <c r="I9" i="9"/>
  <c r="H28" i="10"/>
  <c r="E62" i="10"/>
  <c r="H62" i="10" s="1"/>
  <c r="I21" i="24"/>
  <c r="L21" i="24"/>
  <c r="K21" i="24"/>
  <c r="G66" i="11"/>
  <c r="G73" i="11"/>
  <c r="H9" i="34"/>
  <c r="N9" i="34"/>
  <c r="P43" i="28"/>
  <c r="P103" i="28" s="1"/>
  <c r="E73" i="12"/>
  <c r="E66" i="12"/>
  <c r="O53" i="6"/>
  <c r="I109" i="6"/>
  <c r="O109" i="6"/>
  <c r="I33" i="25"/>
  <c r="J33" i="25"/>
  <c r="K109" i="6"/>
  <c r="E39" i="25"/>
  <c r="Q53" i="6"/>
  <c r="Q56" i="6" s="1"/>
  <c r="Q109" i="6"/>
  <c r="M16" i="34"/>
  <c r="J13" i="9"/>
  <c r="J29" i="9"/>
  <c r="J24" i="9"/>
  <c r="J12" i="9"/>
  <c r="J15" i="9"/>
  <c r="J23" i="9"/>
  <c r="J19" i="9"/>
  <c r="J18" i="9"/>
  <c r="J25" i="9"/>
  <c r="J14" i="9"/>
  <c r="J28" i="9"/>
  <c r="J17" i="9"/>
  <c r="J16" i="9"/>
  <c r="J27" i="9"/>
  <c r="J20" i="9"/>
  <c r="J26" i="9"/>
  <c r="J10" i="34"/>
  <c r="F61" i="9"/>
  <c r="J22" i="9"/>
  <c r="J11" i="9"/>
  <c r="I8" i="34"/>
  <c r="O8" i="34"/>
  <c r="H29" i="15"/>
  <c r="E56" i="15"/>
  <c r="J26" i="15"/>
  <c r="J18" i="15"/>
  <c r="J13" i="15"/>
  <c r="J25" i="15"/>
  <c r="J13" i="34"/>
  <c r="J15" i="15"/>
  <c r="J16" i="15"/>
  <c r="J27" i="15"/>
  <c r="J21" i="15"/>
  <c r="J14" i="15"/>
  <c r="J22" i="15"/>
  <c r="J12" i="15"/>
  <c r="J24" i="15"/>
  <c r="J9" i="15"/>
  <c r="F56" i="15"/>
  <c r="J10" i="15"/>
  <c r="I29" i="15"/>
  <c r="J19" i="15"/>
  <c r="J11" i="15"/>
  <c r="J17" i="15"/>
  <c r="J23" i="15"/>
  <c r="J20" i="15"/>
  <c r="E54" i="7"/>
  <c r="H54" i="7" s="1"/>
  <c r="E52" i="7"/>
  <c r="E57" i="7" s="1"/>
  <c r="J31" i="25"/>
  <c r="D42" i="25"/>
  <c r="J29" i="25"/>
  <c r="J32" i="25"/>
  <c r="J34" i="25"/>
  <c r="J35" i="25"/>
  <c r="J30" i="25"/>
  <c r="J37" i="25"/>
  <c r="J27" i="25"/>
  <c r="J36" i="25"/>
  <c r="J28" i="25"/>
  <c r="J54" i="7"/>
  <c r="I54" i="7"/>
  <c r="I32" i="11"/>
  <c r="K11" i="34"/>
  <c r="H32" i="11"/>
  <c r="J25" i="25"/>
  <c r="I25" i="25"/>
  <c r="I49" i="8"/>
  <c r="H53" i="8"/>
  <c r="M9" i="34"/>
  <c r="J49" i="8"/>
  <c r="H51" i="8"/>
  <c r="J56" i="9"/>
  <c r="J36" i="9"/>
  <c r="L10" i="34"/>
  <c r="J38" i="9"/>
  <c r="J55" i="9"/>
  <c r="J42" i="9"/>
  <c r="J47" i="9"/>
  <c r="J43" i="9"/>
  <c r="J35" i="9"/>
  <c r="J53" i="9"/>
  <c r="F63" i="9"/>
  <c r="J46" i="9"/>
  <c r="J44" i="9"/>
  <c r="J37" i="9"/>
  <c r="J45" i="9"/>
  <c r="J39" i="9"/>
  <c r="J52" i="9"/>
  <c r="J40" i="9"/>
  <c r="J50" i="9"/>
  <c r="J54" i="9"/>
  <c r="J51" i="9"/>
  <c r="J41" i="9"/>
  <c r="J26" i="25"/>
  <c r="H45" i="13"/>
  <c r="I45" i="13"/>
  <c r="R106" i="28"/>
  <c r="R49" i="28"/>
  <c r="Q86" i="6"/>
  <c r="Q52" i="6"/>
  <c r="K16" i="34"/>
  <c r="E23" i="25"/>
  <c r="K86" i="6"/>
  <c r="D73" i="11"/>
  <c r="D66" i="11"/>
  <c r="D54" i="7"/>
  <c r="D52" i="7"/>
  <c r="D57" i="7" s="1"/>
  <c r="O86" i="6"/>
  <c r="O52" i="6"/>
  <c r="O56" i="6"/>
  <c r="I86" i="6"/>
  <c r="X105" i="28"/>
  <c r="X43" i="28"/>
  <c r="AC105" i="28"/>
  <c r="AC43" i="28"/>
  <c r="AD105" i="28"/>
  <c r="AD43" i="28"/>
  <c r="T41" i="28"/>
  <c r="T106" i="28" s="1"/>
  <c r="K105" i="28"/>
  <c r="K43" i="28"/>
  <c r="Z43" i="28"/>
  <c r="Z105" i="28"/>
  <c r="T23" i="28"/>
  <c r="T46" i="28"/>
  <c r="R105" i="28"/>
  <c r="R43" i="28"/>
  <c r="Q43" i="28"/>
  <c r="Q105" i="28"/>
  <c r="N105" i="28"/>
  <c r="N43" i="28"/>
  <c r="AH41" i="28"/>
  <c r="AH49" i="28" s="1"/>
  <c r="AH47" i="28"/>
  <c r="V43" i="28"/>
  <c r="V105" i="28"/>
  <c r="H104" i="28"/>
  <c r="H103" i="28"/>
  <c r="H48" i="28"/>
  <c r="AB105" i="28"/>
  <c r="AB43" i="28"/>
  <c r="AH23" i="28"/>
  <c r="AH46" i="28"/>
  <c r="I105" i="28"/>
  <c r="I43" i="28"/>
  <c r="AA48" i="28"/>
  <c r="AA103" i="28"/>
  <c r="AA104" i="28"/>
  <c r="O48" i="28"/>
  <c r="O103" i="28"/>
  <c r="O104" i="28"/>
  <c r="AF105" i="28"/>
  <c r="AF43" i="28"/>
  <c r="J104" i="28"/>
  <c r="J48" i="28"/>
  <c r="J103" i="28"/>
  <c r="Y105" i="28"/>
  <c r="Y43" i="28"/>
  <c r="G105" i="28"/>
  <c r="G43" i="28"/>
  <c r="W104" i="28"/>
  <c r="W103" i="28"/>
  <c r="W48" i="28"/>
  <c r="S104" i="28"/>
  <c r="M48" i="28"/>
  <c r="M104" i="28"/>
  <c r="M103" i="28"/>
  <c r="L103" i="28"/>
  <c r="L48" i="28"/>
  <c r="L104" i="28"/>
  <c r="H63" i="11" l="1"/>
  <c r="S103" i="28"/>
  <c r="AG48" i="28"/>
  <c r="AG104" i="28"/>
  <c r="AG103" i="28"/>
  <c r="O16" i="34"/>
  <c r="K115" i="6"/>
  <c r="G56" i="6"/>
  <c r="G115" i="6" s="1"/>
  <c r="I56" i="6"/>
  <c r="H56" i="6"/>
  <c r="J112" i="6"/>
  <c r="H63" i="12"/>
  <c r="I12" i="34"/>
  <c r="F66" i="9"/>
  <c r="H56" i="8"/>
  <c r="N8" i="34"/>
  <c r="I63" i="12"/>
  <c r="O10" i="34"/>
  <c r="AE104" i="28"/>
  <c r="AE103" i="28"/>
  <c r="AE48" i="28"/>
  <c r="H10" i="34"/>
  <c r="T49" i="28"/>
  <c r="O12" i="34"/>
  <c r="J60" i="14"/>
  <c r="J59" i="14"/>
  <c r="J42" i="14"/>
  <c r="J47" i="14"/>
  <c r="J45" i="14"/>
  <c r="J57" i="14"/>
  <c r="J38" i="14"/>
  <c r="J44" i="14"/>
  <c r="F68" i="14"/>
  <c r="J41" i="14"/>
  <c r="J46" i="14"/>
  <c r="J51" i="14"/>
  <c r="J64" i="14"/>
  <c r="J61" i="14"/>
  <c r="J39" i="14"/>
  <c r="J37" i="14"/>
  <c r="J40" i="14"/>
  <c r="J54" i="14"/>
  <c r="J49" i="14"/>
  <c r="J56" i="14"/>
  <c r="J48" i="14"/>
  <c r="J62" i="14"/>
  <c r="J63" i="14"/>
  <c r="J50" i="14"/>
  <c r="J53" i="14"/>
  <c r="J52" i="14"/>
  <c r="J43" i="14"/>
  <c r="J55" i="14"/>
  <c r="J36" i="14"/>
  <c r="J35" i="14"/>
  <c r="I66" i="14"/>
  <c r="M112" i="6"/>
  <c r="G112" i="6"/>
  <c r="P112" i="6"/>
  <c r="P56" i="6"/>
  <c r="K111" i="6"/>
  <c r="G111" i="6"/>
  <c r="J111" i="6"/>
  <c r="I111" i="6"/>
  <c r="H111" i="6"/>
  <c r="E59" i="15"/>
  <c r="E68" i="15"/>
  <c r="O9" i="34"/>
  <c r="I9" i="34"/>
  <c r="N11" i="34"/>
  <c r="I11" i="34"/>
  <c r="H13" i="34"/>
  <c r="N13" i="34"/>
  <c r="H32" i="9"/>
  <c r="I32" i="9"/>
  <c r="G61" i="9"/>
  <c r="K10" i="34"/>
  <c r="P104" i="28"/>
  <c r="K53" i="8"/>
  <c r="J53" i="8"/>
  <c r="I53" i="8"/>
  <c r="K112" i="6"/>
  <c r="Q112" i="6"/>
  <c r="I9" i="25"/>
  <c r="J9" i="25"/>
  <c r="J8" i="13"/>
  <c r="G27" i="13"/>
  <c r="I8" i="13"/>
  <c r="H8" i="13"/>
  <c r="P48" i="28"/>
  <c r="E41" i="25"/>
  <c r="G23" i="25"/>
  <c r="I23" i="25" s="1"/>
  <c r="F59" i="15"/>
  <c r="F68" i="15"/>
  <c r="E42" i="25"/>
  <c r="G42" i="25" s="1"/>
  <c r="I42" i="25" s="1"/>
  <c r="G39" i="25"/>
  <c r="I39" i="25" s="1"/>
  <c r="O112" i="6"/>
  <c r="I112" i="6"/>
  <c r="N112" i="6"/>
  <c r="H112" i="6"/>
  <c r="N56" i="6"/>
  <c r="I16" i="34"/>
  <c r="N16" i="34"/>
  <c r="H63" i="9"/>
  <c r="I63" i="9"/>
  <c r="AC104" i="28"/>
  <c r="AC48" i="28"/>
  <c r="AC103" i="28"/>
  <c r="X103" i="28"/>
  <c r="X104" i="28"/>
  <c r="X48" i="28"/>
  <c r="AD104" i="28"/>
  <c r="AD48" i="28"/>
  <c r="AD103" i="28"/>
  <c r="N103" i="28"/>
  <c r="N104" i="28"/>
  <c r="N48" i="28"/>
  <c r="K48" i="28"/>
  <c r="K103" i="28"/>
  <c r="K104" i="28"/>
  <c r="Y104" i="28"/>
  <c r="Y103" i="28"/>
  <c r="Y48" i="28"/>
  <c r="AH43" i="28"/>
  <c r="AH105" i="28"/>
  <c r="R48" i="28"/>
  <c r="R104" i="28"/>
  <c r="R103" i="28"/>
  <c r="AF48" i="28"/>
  <c r="AF104" i="28"/>
  <c r="AF103" i="28"/>
  <c r="I104" i="28"/>
  <c r="I48" i="28"/>
  <c r="I103" i="28"/>
  <c r="AB48" i="28"/>
  <c r="AB104" i="28"/>
  <c r="AB103" i="28"/>
  <c r="AH106" i="28"/>
  <c r="Z48" i="28"/>
  <c r="Z103" i="28"/>
  <c r="Z104" i="28"/>
  <c r="G48" i="28"/>
  <c r="G103" i="28"/>
  <c r="G104" i="28"/>
  <c r="V103" i="28"/>
  <c r="V48" i="28"/>
  <c r="V104" i="28"/>
  <c r="Q103" i="28"/>
  <c r="Q48" i="28"/>
  <c r="Q104" i="28"/>
  <c r="T105" i="28"/>
  <c r="T43" i="28"/>
  <c r="I115" i="6" l="1"/>
  <c r="F73" i="14"/>
  <c r="G66" i="9"/>
  <c r="J115" i="6"/>
  <c r="H115" i="6"/>
  <c r="H27" i="13"/>
  <c r="G47" i="13"/>
  <c r="G51" i="13" s="1"/>
  <c r="I27" i="13"/>
  <c r="I10" i="34"/>
  <c r="N10" i="34"/>
  <c r="E45" i="25"/>
  <c r="G45" i="25" s="1"/>
  <c r="G41" i="25"/>
  <c r="T48" i="28"/>
  <c r="T103" i="28"/>
  <c r="T104" i="28"/>
  <c r="AH48" i="28"/>
  <c r="AH104" i="28"/>
  <c r="AH103" i="28"/>
</calcChain>
</file>

<file path=xl/sharedStrings.xml><?xml version="1.0" encoding="utf-8"?>
<sst xmlns="http://schemas.openxmlformats.org/spreadsheetml/2006/main" count="360" uniqueCount="119">
  <si>
    <t>Escolher Língua :
Choose Language :</t>
  </si>
  <si>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</si>
  <si>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</si>
  <si>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</si>
  <si>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</si>
  <si>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Os montantes de “ativos financeiros líquidos de reembolsos” e “passivos financeiros líquidos de amortizações” relativos à execução final de 2016 e à previsão inicial de 2017 foram revistos na edição relativa a julho de 2017, em consequência da retificação dos valores correspondentes ao subsetor da Segurança Social.</t>
  </si>
  <si>
    <t>In the edition published in august 2017, the 2016 final implementation and the 2017 initial prediction amounts of “financial assets net of reimbursements” and “financial liabilities net of amortizations” were revised, following the rectification of the corresponding values in the Social Security subsector.</t>
  </si>
  <si>
    <t>Os valores da execução final de 2016 correspondem aos valores divulgados na Conta Geral do Estado, ajustados aos critérios de consolidação adotados em 2017 (os quais, face a 2016, foram alargados a subsídios, ativos financeiros e passivos financeiros).</t>
  </si>
  <si>
    <t xml:space="preserve"> </t>
  </si>
  <si>
    <t>Os valores da execução provisória de 2016 foram atualizados para os valores finais divulgados na Conta Geral do Estado, ajustados aos critérios de consolidação adotados em 2017 (os quais, face a 2016, foram alargados a subsídios, ativos financeiros e passivos financeiros).</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</si>
  <si>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</si>
  <si>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</si>
  <si>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</si>
  <si>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</si>
  <si>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</si>
  <si>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</si>
  <si>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</si>
  <si>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</si>
  <si>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</si>
  <si>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</si>
  <si>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</si>
  <si>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</si>
  <si>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</si>
  <si>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</si>
  <si>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</si>
  <si>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</si>
  <si>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</si>
  <si>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</si>
  <si>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</si>
  <si>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</si>
  <si>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</si>
  <si>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</si>
  <si>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</si>
  <si>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</si>
  <si>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</si>
  <si>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</si>
  <si>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D0404 e D0405 e D04.03univ comp</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</si>
  <si>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</si>
  <si>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</si>
  <si>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</si>
  <si>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</si>
  <si>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</si>
  <si>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</si>
  <si>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</si>
  <si>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</si>
  <si>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</si>
  <si>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</si>
  <si>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</si>
  <si>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</si>
  <si>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</si>
  <si>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</si>
  <si>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</si>
  <si>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</si>
  <si>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</si>
  <si>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</si>
  <si>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</si>
  <si>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</si>
  <si>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</si>
  <si>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</si>
  <si>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</si>
  <si>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</si>
  <si>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</si>
  <si>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</si>
  <si>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</si>
  <si>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</si>
  <si>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enquanto que, para o ano letivo de 2018/2019, os correspondentes encargos foram assumidos pelos Estabelecimentos de Educação e Ensinos Básico e Secundário, tendo sido relevados em outras despesas correntes.</t>
  </si>
  <si>
    <t>2020</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</si>
  <si>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</si>
  <si>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</si>
  <si>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(b) In the 2019/2020 school year, spending on schoolbooks made by the Institute for Financial Management of Education was accounted in the economic classification category “acquisition of current goods and services”, while in the 2018/2019 school year, the corresponding charges were paid by the elementary and secondary schools, having been recorded in the expenditure category “other current expenditures”.</t>
  </si>
  <si>
    <t>Compensation mechanism between 2019 and 2021 for the part of the transfers not delivered in 2018, due to the maximum growth limitation mechanism for each municipality and parish in the previous version of the Local Finances Law (capital transfers)</t>
  </si>
  <si>
    <t>Compensation mechanism between 2019 and 2021 for the part of the transfers not delivered in 2018, due to the maximum growth limitation mechanism for each municipality and parish in the previous version of the Local Finances Law (current transfers)</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</si>
  <si>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</si>
  <si>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Valores mensais negativos resultam do registo, pelas entidades, de valores acumulados inferiores aos do mês precedente.</t>
  </si>
  <si>
    <t>(b) In March 2020, the amount of 18.6 M€ was incorrectly recorded in another funding source by the Centro Hospitalar Universitário de Lisboa Central. Hence, this was added to the amounts recorded in the central information systems of the budget implementation.</t>
  </si>
  <si>
    <t>Notas:</t>
  </si>
  <si>
    <t>Municipality participation of 7.5% of the VAT charged in the sectors of accommodation, catering, communications, electricity, water and gas, settled in the territorial area - Article 25 of Law No. 73/2013, of 3/09, in the current wording</t>
  </si>
  <si>
    <t>TOTAL</t>
  </si>
  <si>
    <t>(2)</t>
  </si>
  <si>
    <t>(1)</t>
  </si>
  <si>
    <t>Total</t>
  </si>
  <si>
    <t>21 - Utilização condicionada das dotações orçamentais</t>
  </si>
  <si>
    <t>21 - Frozen allocations</t>
  </si>
  <si>
    <t>2021</t>
  </si>
  <si>
    <t>Fundo de Compensação do Serviço Universal de Comunicações Eletrónicas.</t>
  </si>
  <si>
    <t>ESCOLA NACIONAL DE BOMBEIROS</t>
  </si>
  <si>
    <t>Execução acumulada</t>
  </si>
  <si>
    <t>Variação homóloga acumulada</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</si>
  <si>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</si>
  <si>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</si>
  <si>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</si>
  <si>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quando antes esta unidade de saúde se encontrava sob um contrato de gestão celebrado ao abrigo do regime de parceria público-privada. Desse modo, esta nova entidade pública integrou o perímetro orçamental da Administração Central em 2020. Porém, uma vez que em 2019 ocorreram eleições legislativas em outubro, o OE20 entrou em vigor em abril de 2020, pelo que, para os três primeiros meses, devem excluir-se, para efeitos de comparabilidade, as verbas do contrato programa afetas àquela unidade hospitalar.</t>
  </si>
  <si>
    <t>(b) The Decree-Law no. 75/2019, of 30 May, determined the constitution of a new State-owned enterprise, the Braga Hospital, from 1 September 2019 onwards, while previously this health unit was under a management contract concluded under the public-private partnership regime. Accordingly, this new public entity joined the Central Government perimeter in 2020. However, since in 2019 legislative elections took place in October, the 2020 State Budget Law came into force in April 2020, so, for the first three months, the funds of the program contract allocated to that hospital unit should be removed for purposes of comparability.</t>
  </si>
  <si>
    <t/>
  </si>
  <si>
    <t>Reconciliation payment to the Hospital Beatriz Ângelo's public-private partnership, made in January 2020, which consists of a portion of the annual remuneration usually paid in the following year, but which, in this case, refers to if to the year 2018.</t>
  </si>
  <si>
    <t>Reclassification, from financial assets to transfers, of payments made by the Resolution Fund (FdR) to Novo Banco under the contingent capitalization mechanism from the 2020 final accounts.</t>
  </si>
  <si>
    <t>Transfer of the contribution on the banking sector to the Single Resolution Fund by the National Resolution Fund.</t>
  </si>
  <si>
    <t>For the entities identified above an estimate is being used for the months without report. From July´s edition onward, the estimate corresponds to the 2021 monthly budget implementation prediction.</t>
  </si>
  <si>
    <t>Para as entidades identificadas considera-se na execução orçamental uma estimativa de execução para os meses em falta. A partir da edição relativa a julho de 2021, esta estimativa consiste na correspondente previsão mensal.</t>
  </si>
  <si>
    <t>A partir da edição relativa a julho de 2021, as estimativas de execução consistem na correspondente previsão mensal inicial de execução do Orçamento para 2021. Estas estimativas são adicionadas à Conta da Administração Central para minimizar o efeito da falta de reporte de execução. Apenas inclui informação das entidades que disponibilizaram previsão de execução para os meses em causa.</t>
  </si>
  <si>
    <t>From July's edition onward, estimated amounts correspond to the 2021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</si>
  <si>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Return from the European Financial Stabilization Fund to the Portuguese State of the profitability of the prepaid margins retained when the loan was initially disbursed.</t>
  </si>
  <si>
    <t>nov</t>
  </si>
  <si>
    <t>a) Additional 2021 budget implementation data sent by the entities, or the respective coordinating entity, to complete missing information that, due to technical reasons, was not fully transposed from the local to the central budget information systems"</t>
  </si>
  <si>
    <t>dez</t>
  </si>
  <si>
    <t>Por motivos de ordem técnica, a execução orçamental do Exército, relativa a dezembro de 2021, não foi apropriada integralmente pelos sistemas orçamentais centrais, tendo a entidade, ou a respetiva entidade coordenadora, enviado, posteriormente, a devida informação.</t>
  </si>
  <si>
    <t>Due to technical reasons,  the budget implementation data regarding the Army for December 2021, was not fully transposed from the local to the central budget information systems. The required information was later sent by the aforementioned entitie or the respective coordinating entity.</t>
  </si>
  <si>
    <t>Banif, S.A.; Cooperativa António Sérgio para a Economia Social; Escola Nacional de Bombeiros; Nortrem - Aluguer de Material Ferroviário, A.C.E.</t>
  </si>
  <si>
    <t>BANIF, S.A.</t>
  </si>
  <si>
    <t>COOPERATIVA ANTÓNIO SÉRGIO PARA A ECONOMIA SOCIAL</t>
  </si>
  <si>
    <t>EXÉRCITO a)</t>
  </si>
  <si>
    <t>a) Dados disponibilizados pelas entidades, ou pela respetiva entidade coordenadora, de modo a suprir faltas de informação respeitantes à execução orçamental de dezembro de 2021, devido a motivos de ordem técnica na transposição dos sistemas orçamentais locais para os centrais.</t>
  </si>
  <si>
    <t>Programa Adaptar Turismo</t>
  </si>
  <si>
    <t>O valor do impacto orçamental da medida de isenção de pagamento da Taxa Social Única consiste numa estimativa apurada pelo Instituto de Gestão Financeira da Segurança Social, I.P.. O valor deste impacto referente a decembro, não se encontra disponivel, tendo-se publicado o montante relativo a novembro, atualizado.</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</si>
  <si>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</si>
  <si>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NORTREM - ALUGUER DE MATERIAL FERROVIÁRIO, A.C.E.</t>
  </si>
  <si>
    <t>Directorate General for National Defence Resources - Payment made in December 2021, as a financial compensation for the use of public buildings, but which refers to the year 2020.</t>
  </si>
  <si>
    <t>In the consolidated accounts presented above the process of consolidating interest revenue and expenditure was altered, in which concerns the Final Execution of 2020 and the 2021 State Budget forecast. In particular, regarding interests paid by the State subsector to Social Security and accounted as such by the former, the Social Security revenue is now considered identical to the expenditure recorded by the State subsector, which was not done in previous disclosures of the Budget Outturn Report (it was recorded as interests paid to bank and other financial institutions).</t>
  </si>
  <si>
    <t>Nas contas consolidadas acima apresentadas, referentes à Conta Geral do Estado de 2020 e ao Orçamento do Estado para 2021, em relação ao processo de consolidação de juros pagos pelo Estado à Segurança Social, passou a considerar-se a receita da Segurança Social idêntica à despesa registada pelo Estado, o que não se efetuou em anteriores divulgações dos referidos exercícios.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</si>
</sst>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s>
  <fonts count="239">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sz val="8"/>
      <color theme="0" tint="-0.34998626667073579"/>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11"/>
      <color theme="0"/>
      <name val="Calibri"/>
      <family val="2"/>
      <scheme val="minor"/>
    </font>
    <font>
      <sz val="10"/>
      <color theme="0"/>
      <name val="Calibri"/>
      <family val="2"/>
    </font>
    <font>
      <sz val="7.5"/>
      <color rgb="FFFF0000"/>
      <name val="Verdana"/>
      <family val="2"/>
    </font>
    <font>
      <sz val="10"/>
      <color theme="1" tint="0.499984740745262"/>
      <name val="Calibri"/>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family val="2"/>
      <scheme val="minor"/>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7"/>
      <color theme="0"/>
      <name val="Calibri"/>
      <family val="2"/>
    </font>
    <font>
      <b/>
      <sz val="10"/>
      <color theme="0"/>
      <name val="Calibri"/>
      <family val="2"/>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8">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right style="dashed">
        <color indexed="12"/>
      </right>
      <top style="thin">
        <color indexed="12"/>
      </top>
      <bottom style="thin">
        <color indexed="64"/>
      </bottom>
      <diagonal/>
    </border>
    <border>
      <left/>
      <right style="dashed">
        <color indexed="12"/>
      </right>
      <top/>
      <bottom style="thin">
        <color rgb="FF3015D5"/>
      </bottom>
      <diagonal/>
    </border>
    <border>
      <left style="dashed">
        <color indexed="12"/>
      </left>
      <right/>
      <top style="thin">
        <color indexed="12"/>
      </top>
      <bottom style="thin">
        <color indexed="64"/>
      </bottom>
      <diagonal/>
    </border>
    <border>
      <left style="dotted">
        <color rgb="FF0000FF"/>
      </left>
      <right style="dotted">
        <color rgb="FF0000FF"/>
      </right>
      <top/>
      <bottom style="thin">
        <color rgb="FF0000FF"/>
      </bottom>
      <diagonal/>
    </border>
    <border>
      <left/>
      <right style="dashed">
        <color indexed="12"/>
      </right>
      <top/>
      <bottom style="thin">
        <color indexed="12"/>
      </bottom>
      <diagonal/>
    </border>
    <border>
      <left style="dashed">
        <color indexed="12"/>
      </left>
      <right/>
      <top/>
      <bottom style="thin">
        <color indexed="12"/>
      </bottom>
      <diagonal/>
    </border>
    <border>
      <left style="dashed">
        <color rgb="FF3015D5"/>
      </left>
      <right style="dashed">
        <color rgb="FF3015D5"/>
      </right>
      <top/>
      <bottom/>
      <diagonal/>
    </border>
  </borders>
  <cellStyleXfs count="2612">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2" borderId="0" applyNumberFormat="0" applyBorder="0" applyAlignment="0" applyProtection="0"/>
    <xf numFmtId="0" fontId="98" fillId="12" borderId="0" applyNumberFormat="0" applyBorder="0" applyAlignment="0" applyProtection="0"/>
    <xf numFmtId="0" fontId="98" fillId="12" borderId="0" applyNumberFormat="0" applyBorder="0" applyAlignment="0" applyProtection="0"/>
    <xf numFmtId="0" fontId="97" fillId="13" borderId="0" applyNumberFormat="0" applyBorder="0" applyAlignment="0" applyProtection="0"/>
    <xf numFmtId="0" fontId="98" fillId="13" borderId="0" applyNumberFormat="0" applyBorder="0" applyAlignment="0" applyProtection="0"/>
    <xf numFmtId="0" fontId="98" fillId="13" borderId="0" applyNumberFormat="0" applyBorder="0" applyAlignment="0" applyProtection="0"/>
    <xf numFmtId="0" fontId="90" fillId="11"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7"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7" fillId="16" borderId="0" applyNumberFormat="0" applyBorder="0" applyAlignment="0" applyProtection="0"/>
    <xf numFmtId="0" fontId="98" fillId="16" borderId="0" applyNumberFormat="0" applyBorder="0" applyAlignment="0" applyProtection="0"/>
    <xf numFmtId="0" fontId="98" fillId="16" borderId="0" applyNumberFormat="0" applyBorder="0" applyAlignment="0" applyProtection="0"/>
    <xf numFmtId="0" fontId="97" fillId="17" borderId="0" applyNumberFormat="0" applyBorder="0" applyAlignment="0" applyProtection="0"/>
    <xf numFmtId="0" fontId="98" fillId="17" borderId="0" applyNumberFormat="0" applyBorder="0" applyAlignment="0" applyProtection="0"/>
    <xf numFmtId="0" fontId="98"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7"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7"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7"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7"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7"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7" fillId="21" borderId="0" applyNumberFormat="0" applyBorder="0" applyAlignment="0" applyProtection="0"/>
    <xf numFmtId="0" fontId="98" fillId="21" borderId="0" applyNumberFormat="0" applyBorder="0" applyAlignment="0" applyProtection="0"/>
    <xf numFmtId="0" fontId="98" fillId="21" borderId="0" applyNumberFormat="0" applyBorder="0" applyAlignment="0" applyProtection="0"/>
    <xf numFmtId="0" fontId="99" fillId="22"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25" borderId="0" applyNumberFormat="0" applyBorder="0" applyAlignment="0" applyProtection="0"/>
    <xf numFmtId="0" fontId="99"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99"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99"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99"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99"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99"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100" fillId="28" borderId="0" applyNumberFormat="0" applyBorder="0" applyAlignment="0" applyProtection="0"/>
    <xf numFmtId="0" fontId="100" fillId="29" borderId="0" applyNumberFormat="0" applyBorder="0" applyAlignment="0" applyProtection="0"/>
    <xf numFmtId="0" fontId="98" fillId="30" borderId="0" applyNumberFormat="0" applyBorder="0" applyAlignment="0" applyProtection="0"/>
    <xf numFmtId="0" fontId="98" fillId="31"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98" fillId="30" borderId="0" applyNumberFormat="0" applyBorder="0" applyAlignment="0" applyProtection="0"/>
    <xf numFmtId="0" fontId="98" fillId="34" borderId="0" applyNumberFormat="0" applyBorder="0" applyAlignment="0" applyProtection="0"/>
    <xf numFmtId="0" fontId="100" fillId="31" borderId="0" applyNumberFormat="0" applyBorder="0" applyAlignment="0" applyProtection="0"/>
    <xf numFmtId="0" fontId="100" fillId="26" borderId="0" applyNumberFormat="0" applyBorder="0" applyAlignment="0" applyProtection="0"/>
    <xf numFmtId="0" fontId="98" fillId="27" borderId="0" applyNumberFormat="0" applyBorder="0" applyAlignment="0" applyProtection="0"/>
    <xf numFmtId="0" fontId="98" fillId="31" borderId="0" applyNumberFormat="0" applyBorder="0" applyAlignment="0" applyProtection="0"/>
    <xf numFmtId="0" fontId="100" fillId="31" borderId="0" applyNumberFormat="0" applyBorder="0" applyAlignment="0" applyProtection="0"/>
    <xf numFmtId="0" fontId="100" fillId="35" borderId="0" applyNumberFormat="0" applyBorder="0" applyAlignment="0" applyProtection="0"/>
    <xf numFmtId="0" fontId="98" fillId="36" borderId="0" applyNumberFormat="0" applyBorder="0" applyAlignment="0" applyProtection="0"/>
    <xf numFmtId="0" fontId="98" fillId="27" borderId="0" applyNumberFormat="0" applyBorder="0" applyAlignment="0" applyProtection="0"/>
    <xf numFmtId="0" fontId="100" fillId="28" borderId="0" applyNumberFormat="0" applyBorder="0" applyAlignment="0" applyProtection="0"/>
    <xf numFmtId="0" fontId="100" fillId="37" borderId="0" applyNumberFormat="0" applyBorder="0" applyAlignment="0" applyProtection="0"/>
    <xf numFmtId="0" fontId="98" fillId="30" borderId="0" applyNumberFormat="0" applyBorder="0" applyAlignment="0" applyProtection="0"/>
    <xf numFmtId="0" fontId="98" fillId="38" borderId="0" applyNumberFormat="0" applyBorder="0" applyAlignment="0" applyProtection="0"/>
    <xf numFmtId="0" fontId="100" fillId="38" borderId="0" applyNumberFormat="0" applyBorder="0" applyAlignment="0" applyProtection="0"/>
    <xf numFmtId="201" fontId="101" fillId="0" borderId="44">
      <alignment horizontal="center" vertical="center"/>
    </xf>
    <xf numFmtId="0" fontId="102"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3" fillId="0" borderId="0" applyNumberFormat="0" applyFill="0" applyBorder="0" applyAlignment="0" applyProtection="0"/>
    <xf numFmtId="0" fontId="104" fillId="0" borderId="45"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200" fontId="105" fillId="0" borderId="46"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0" fontId="107" fillId="0" borderId="47"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200" fontId="108" fillId="0" borderId="48" applyNumberFormat="0" applyFill="0" applyAlignment="0" applyProtection="0"/>
    <xf numFmtId="0" fontId="109" fillId="0" borderId="47" applyNumberFormat="0" applyFill="0" applyAlignment="0" applyProtection="0"/>
    <xf numFmtId="0" fontId="109" fillId="0" borderId="47"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200" fontId="92" fillId="0" borderId="39"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0" fontId="110" fillId="0" borderId="49"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200" fontId="111" fillId="0" borderId="50" applyNumberFormat="0" applyFill="0" applyAlignment="0" applyProtection="0"/>
    <xf numFmtId="0" fontId="112" fillId="0" borderId="49" applyNumberFormat="0" applyFill="0" applyAlignment="0" applyProtection="0"/>
    <xf numFmtId="0" fontId="112" fillId="0" borderId="49"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200" fontId="93" fillId="0" borderId="40" applyNumberFormat="0" applyFill="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0" fontId="110"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20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200" fontId="93"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3" fillId="45" borderId="53" applyNumberFormat="0" applyAlignment="0" applyProtection="0"/>
    <xf numFmtId="0" fontId="113" fillId="45" borderId="53" applyNumberFormat="0" applyAlignment="0" applyProtection="0"/>
    <xf numFmtId="0" fontId="114" fillId="9" borderId="41" applyNumberFormat="0" applyAlignment="0" applyProtection="0"/>
    <xf numFmtId="0" fontId="115" fillId="46" borderId="53" applyNumberFormat="0" applyAlignment="0" applyProtection="0"/>
    <xf numFmtId="0" fontId="115" fillId="46" borderId="53" applyNumberFormat="0" applyAlignment="0" applyProtection="0"/>
    <xf numFmtId="200" fontId="95" fillId="0" borderId="42" applyNumberFormat="0" applyFill="0" applyAlignment="0" applyProtection="0"/>
    <xf numFmtId="200" fontId="95" fillId="0" borderId="42" applyNumberFormat="0" applyFill="0" applyAlignment="0" applyProtection="0"/>
    <xf numFmtId="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0" fontId="117" fillId="0" borderId="54" applyNumberFormat="0" applyFill="0" applyAlignment="0" applyProtection="0"/>
    <xf numFmtId="0" fontId="117" fillId="0" borderId="54" applyNumberFormat="0" applyFill="0" applyAlignment="0" applyProtection="0"/>
    <xf numFmtId="200" fontId="95" fillId="0" borderId="42" applyNumberFormat="0" applyFill="0" applyAlignment="0" applyProtection="0"/>
    <xf numFmtId="200" fontId="95" fillId="0" borderId="42" applyNumberFormat="0" applyFill="0" applyAlignment="0" applyProtection="0"/>
    <xf numFmtId="200" fontId="95" fillId="0" borderId="42" applyNumberFormat="0" applyFill="0" applyAlignment="0" applyProtection="0"/>
    <xf numFmtId="200" fontId="95" fillId="0" borderId="42" applyNumberFormat="0" applyFill="0" applyAlignment="0" applyProtection="0"/>
    <xf numFmtId="200" fontId="95" fillId="0" borderId="42" applyNumberFormat="0" applyFill="0" applyAlignment="0" applyProtection="0"/>
    <xf numFmtId="0" fontId="118" fillId="32" borderId="55" applyNumberFormat="0" applyAlignment="0" applyProtection="0"/>
    <xf numFmtId="165" fontId="119"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3" fontId="11" fillId="0" borderId="0" applyFill="0" applyBorder="0" applyAlignment="0" applyProtection="0"/>
    <xf numFmtId="0" fontId="99"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99"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99" fillId="48"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99"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99"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99"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20" fillId="2"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9"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9" fillId="0" borderId="0" applyFill="0" applyBorder="0" applyAlignment="0" applyProtection="0"/>
    <xf numFmtId="17" fontId="123" fillId="0" borderId="0" applyFill="0" applyBorder="0">
      <alignment horizontal="right"/>
    </xf>
    <xf numFmtId="201" fontId="124" fillId="0" borderId="56" applyBorder="0">
      <alignment vertical="center"/>
    </xf>
    <xf numFmtId="0" fontId="125" fillId="49" borderId="0" applyNumberFormat="0" applyBorder="0" applyAlignment="0" applyProtection="0"/>
    <xf numFmtId="0" fontId="125" fillId="50" borderId="0" applyNumberFormat="0" applyBorder="0" applyAlignment="0" applyProtection="0"/>
    <xf numFmtId="0" fontId="125" fillId="51" borderId="0" applyNumberFormat="0" applyBorder="0" applyAlignment="0" applyProtection="0"/>
    <xf numFmtId="200" fontId="94" fillId="8" borderId="41" applyNumberFormat="0" applyAlignment="0" applyProtection="0"/>
    <xf numFmtId="200" fontId="94" fillId="8" borderId="41" applyNumberFormat="0" applyAlignment="0" applyProtection="0"/>
    <xf numFmtId="0" fontId="126" fillId="8" borderId="41"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200" fontId="127" fillId="52" borderId="53" applyNumberFormat="0" applyAlignment="0" applyProtection="0"/>
    <xf numFmtId="0" fontId="128" fillId="17" borderId="53" applyNumberFormat="0" applyAlignment="0" applyProtection="0"/>
    <xf numFmtId="0" fontId="128" fillId="17" borderId="53" applyNumberFormat="0" applyAlignment="0" applyProtection="0"/>
    <xf numFmtId="200" fontId="94" fillId="8" borderId="41" applyNumberFormat="0" applyAlignment="0" applyProtection="0"/>
    <xf numFmtId="200" fontId="94" fillId="8" borderId="41" applyNumberFormat="0" applyAlignment="0" applyProtection="0"/>
    <xf numFmtId="200" fontId="94" fillId="8" borderId="41" applyNumberFormat="0" applyAlignment="0" applyProtection="0"/>
    <xf numFmtId="200" fontId="94" fillId="8" borderId="41" applyNumberFormat="0" applyAlignment="0" applyProtection="0"/>
    <xf numFmtId="200" fontId="94"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9" fillId="53" borderId="57" applyNumberFormat="0"/>
    <xf numFmtId="0" fontId="130" fillId="0" borderId="0" applyNumberFormat="0" applyFill="0" applyBorder="0" applyAlignment="0" applyProtection="0"/>
    <xf numFmtId="201" fontId="28" fillId="44" borderId="58" applyNumberFormat="0">
      <alignment vertical="center"/>
    </xf>
    <xf numFmtId="2" fontId="119" fillId="0" borderId="0" applyFill="0" applyBorder="0" applyAlignment="0" applyProtection="0"/>
    <xf numFmtId="0" fontId="121" fillId="14" borderId="0" applyNumberFormat="0" applyBorder="0" applyAlignment="0" applyProtection="0"/>
    <xf numFmtId="38" fontId="59" fillId="44" borderId="0" applyNumberFormat="0" applyFont="0" applyBorder="0" applyAlignment="0">
      <protection hidden="1"/>
    </xf>
    <xf numFmtId="201" fontId="131" fillId="44" borderId="59" applyNumberFormat="0">
      <alignment vertical="center"/>
    </xf>
    <xf numFmtId="0" fontId="104" fillId="0" borderId="45" applyNumberFormat="0" applyFill="0" applyAlignment="0" applyProtection="0"/>
    <xf numFmtId="0" fontId="107" fillId="0" borderId="47" applyNumberFormat="0" applyFill="0" applyAlignment="0" applyProtection="0"/>
    <xf numFmtId="0" fontId="110" fillId="0" borderId="49" applyNumberFormat="0" applyFill="0" applyAlignment="0" applyProtection="0"/>
    <xf numFmtId="0" fontId="110" fillId="0" borderId="0" applyNumberFormat="0" applyFill="0" applyBorder="0" applyAlignment="0" applyProtection="0"/>
    <xf numFmtId="0" fontId="10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91" fillId="0" borderId="0" applyNumberFormat="0" applyFill="0" applyBorder="0" applyAlignment="0" applyProtection="0"/>
    <xf numFmtId="0" fontId="135" fillId="0" borderId="0" applyNumberFormat="0" applyFill="0" applyBorder="0" applyAlignment="0" applyProtection="0"/>
    <xf numFmtId="0" fontId="136" fillId="13" borderId="0" applyNumberFormat="0" applyBorder="0" applyAlignment="0" applyProtection="0"/>
    <xf numFmtId="0" fontId="137" fillId="13" borderId="0" applyNumberFormat="0" applyBorder="0" applyAlignment="0" applyProtection="0"/>
    <xf numFmtId="0" fontId="137" fillId="13" borderId="0" applyNumberFormat="0" applyBorder="0" applyAlignment="0" applyProtection="0"/>
    <xf numFmtId="0" fontId="127" fillId="17" borderId="53" applyNumberFormat="0" applyAlignment="0" applyProtection="0"/>
    <xf numFmtId="202" fontId="138" fillId="54" borderId="60" applyNumberFormat="0">
      <alignment vertical="center"/>
    </xf>
    <xf numFmtId="0" fontId="127"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6"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8" fillId="41" borderId="61" applyNumberFormat="0">
      <alignment vertical="center"/>
      <protection locked="0"/>
    </xf>
    <xf numFmtId="201" fontId="139" fillId="0" borderId="0" applyNumberFormat="0" applyBorder="0">
      <alignment horizontal="left" vertical="top"/>
    </xf>
    <xf numFmtId="0" fontId="140" fillId="55" borderId="0" applyNumberFormat="0" applyBorder="0" applyAlignment="0" applyProtection="0"/>
    <xf numFmtId="0" fontId="141" fillId="7"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222"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90" fillId="0" borderId="0"/>
    <xf numFmtId="1" fontId="143"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7" fillId="0" borderId="0"/>
    <xf numFmtId="0" fontId="11" fillId="0" borderId="0"/>
    <xf numFmtId="0" fontId="97" fillId="0" borderId="0"/>
    <xf numFmtId="0" fontId="11" fillId="0" borderId="0"/>
    <xf numFmtId="0" fontId="97" fillId="0" borderId="0"/>
    <xf numFmtId="0" fontId="11" fillId="0" borderId="0"/>
    <xf numFmtId="0" fontId="11" fillId="0" borderId="0"/>
    <xf numFmtId="0" fontId="97" fillId="0" borderId="0"/>
    <xf numFmtId="0" fontId="11" fillId="0" borderId="0"/>
    <xf numFmtId="0" fontId="97" fillId="0" borderId="0"/>
    <xf numFmtId="0" fontId="11" fillId="0" borderId="0"/>
    <xf numFmtId="0" fontId="97" fillId="0" borderId="0"/>
    <xf numFmtId="0" fontId="11" fillId="0" borderId="0"/>
    <xf numFmtId="0" fontId="97" fillId="0" borderId="0"/>
    <xf numFmtId="0" fontId="11" fillId="0" borderId="0"/>
    <xf numFmtId="0" fontId="97" fillId="0" borderId="0"/>
    <xf numFmtId="0" fontId="11" fillId="0" borderId="0"/>
    <xf numFmtId="0" fontId="97" fillId="0" borderId="0"/>
    <xf numFmtId="0" fontId="8" fillId="0" borderId="0"/>
    <xf numFmtId="0" fontId="8" fillId="0" borderId="0"/>
    <xf numFmtId="0" fontId="11" fillId="0" borderId="0"/>
    <xf numFmtId="0" fontId="8" fillId="0" borderId="0"/>
    <xf numFmtId="0" fontId="5" fillId="0" borderId="0"/>
    <xf numFmtId="222" fontId="144" fillId="0" borderId="0"/>
    <xf numFmtId="222" fontId="144" fillId="0" borderId="0"/>
    <xf numFmtId="222" fontId="144"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7" fillId="0" borderId="0"/>
    <xf numFmtId="0" fontId="145" fillId="0" borderId="0"/>
    <xf numFmtId="0" fontId="97" fillId="0" borderId="0"/>
    <xf numFmtId="0" fontId="11" fillId="0" borderId="0"/>
    <xf numFmtId="0" fontId="97" fillId="0" borderId="0"/>
    <xf numFmtId="0" fontId="11" fillId="0" borderId="0"/>
    <xf numFmtId="0" fontId="97" fillId="0" borderId="0"/>
    <xf numFmtId="0" fontId="11" fillId="0" borderId="0"/>
    <xf numFmtId="0" fontId="97" fillId="0" borderId="0"/>
    <xf numFmtId="0" fontId="5" fillId="0" borderId="0"/>
    <xf numFmtId="0" fontId="5" fillId="0" borderId="0"/>
    <xf numFmtId="0" fontId="5" fillId="0" borderId="0"/>
    <xf numFmtId="0" fontId="11" fillId="0" borderId="0"/>
    <xf numFmtId="202" fontId="144"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4" fillId="0" borderId="0"/>
    <xf numFmtId="166" fontId="144" fillId="0" borderId="0"/>
    <xf numFmtId="166" fontId="144" fillId="0" borderId="0"/>
    <xf numFmtId="166" fontId="144" fillId="0" borderId="0"/>
    <xf numFmtId="166" fontId="144" fillId="0" borderId="0"/>
    <xf numFmtId="0" fontId="5" fillId="0" borderId="0"/>
    <xf numFmtId="0" fontId="5" fillId="0" borderId="0"/>
    <xf numFmtId="0" fontId="5" fillId="0" borderId="0"/>
    <xf numFmtId="0" fontId="5" fillId="0" borderId="0"/>
    <xf numFmtId="0" fontId="5" fillId="0" borderId="0"/>
    <xf numFmtId="0" fontId="97" fillId="0" borderId="0"/>
    <xf numFmtId="0" fontId="5" fillId="0" borderId="0"/>
    <xf numFmtId="0" fontId="5" fillId="0" borderId="0"/>
    <xf numFmtId="0" fontId="9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7"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4" fillId="0" borderId="0"/>
    <xf numFmtId="166" fontId="144" fillId="0" borderId="0"/>
    <xf numFmtId="166" fontId="144"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5" fillId="0" borderId="0"/>
    <xf numFmtId="0" fontId="5" fillId="0" borderId="0"/>
    <xf numFmtId="0" fontId="146"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7" fillId="0" borderId="0"/>
    <xf numFmtId="0" fontId="5" fillId="0" borderId="0"/>
    <xf numFmtId="0" fontId="5" fillId="0" borderId="0"/>
    <xf numFmtId="0" fontId="97" fillId="0" borderId="0"/>
    <xf numFmtId="0" fontId="5" fillId="0" borderId="0"/>
    <xf numFmtId="0" fontId="11" fillId="0" borderId="0"/>
    <xf numFmtId="0" fontId="97" fillId="0" borderId="0"/>
    <xf numFmtId="0" fontId="5" fillId="0" borderId="0"/>
    <xf numFmtId="0" fontId="5" fillId="0" borderId="0"/>
    <xf numFmtId="0" fontId="97"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5" fillId="0" borderId="0"/>
    <xf numFmtId="216" fontId="123" fillId="0" borderId="0" applyNumberFormat="0" applyFill="0" applyBorder="0" applyAlignment="0" applyProtection="0"/>
    <xf numFmtId="165" fontId="147"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8" fillId="56" borderId="62" applyNumberFormat="0" applyFont="0" applyAlignment="0" applyProtection="0"/>
    <xf numFmtId="0" fontId="98"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8" fillId="0" borderId="63" applyNumberFormat="0" applyFill="0" applyBorder="0" applyProtection="0">
      <alignment vertical="top" wrapText="1"/>
    </xf>
    <xf numFmtId="0" fontId="149" fillId="45" borderId="58" applyNumberFormat="0" applyAlignment="0" applyProtection="0"/>
    <xf numFmtId="0" fontId="149"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0" fillId="0" borderId="0" applyFont="0" applyFill="0" applyBorder="0" applyAlignment="0" applyProtection="0"/>
    <xf numFmtId="9" fontId="1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9" fillId="0" borderId="0" applyFont="0" applyFill="0" applyBorder="0" applyAlignment="0" applyProtection="0">
      <alignment horizontal="right"/>
    </xf>
    <xf numFmtId="216" fontId="139" fillId="0" borderId="0" applyNumberFormat="0" applyFill="0" applyBorder="0" applyAlignment="0" applyProtection="0">
      <alignment horizontal="left"/>
    </xf>
    <xf numFmtId="0" fontId="123" fillId="57" borderId="65" applyNumberFormat="0" applyFont="0" applyBorder="0" applyAlignment="0">
      <alignment vertical="top" wrapText="1"/>
    </xf>
    <xf numFmtId="0" fontId="151" fillId="46" borderId="58" applyNumberFormat="0" applyAlignment="0" applyProtection="0"/>
    <xf numFmtId="0" fontId="149" fillId="46" borderId="58" applyNumberFormat="0" applyAlignment="0" applyProtection="0"/>
    <xf numFmtId="0" fontId="149" fillId="46" borderId="58" applyNumberFormat="0" applyAlignment="0" applyProtection="0"/>
    <xf numFmtId="0" fontId="152"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6" fillId="0" borderId="0" applyNumberFormat="0" applyFill="0" applyBorder="0" applyAlignment="0" applyProtection="0"/>
    <xf numFmtId="200" fontId="96" fillId="0" borderId="0" applyNumberFormat="0" applyFill="0" applyBorder="0" applyAlignment="0" applyProtection="0"/>
    <xf numFmtId="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200" fontId="96" fillId="0" borderId="0" applyNumberFormat="0" applyFill="0" applyBorder="0" applyAlignment="0" applyProtection="0"/>
    <xf numFmtId="200" fontId="96" fillId="0" borderId="0" applyNumberFormat="0" applyFill="0" applyBorder="0" applyAlignment="0" applyProtection="0"/>
    <xf numFmtId="200" fontId="96" fillId="0" borderId="0" applyNumberFormat="0" applyFill="0" applyBorder="0" applyAlignment="0" applyProtection="0"/>
    <xf numFmtId="200" fontId="96" fillId="0" borderId="0" applyNumberFormat="0" applyFill="0" applyBorder="0" applyAlignment="0" applyProtection="0"/>
    <xf numFmtId="200" fontId="96" fillId="0" borderId="0" applyNumberFormat="0" applyFill="0" applyBorder="0" applyAlignment="0" applyProtection="0"/>
    <xf numFmtId="0" fontId="13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202" fontId="157" fillId="58" borderId="0" applyNumberFormat="0">
      <alignment vertical="center"/>
    </xf>
    <xf numFmtId="202" fontId="158" fillId="0" borderId="0" applyNumberFormat="0">
      <alignment vertical="center"/>
    </xf>
    <xf numFmtId="202" fontId="159" fillId="0" borderId="0" applyNumberFormat="0">
      <alignment vertical="center"/>
    </xf>
    <xf numFmtId="201" fontId="160" fillId="0" borderId="0">
      <alignment vertical="center"/>
    </xf>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61" fillId="0" borderId="67"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0" fontId="151" fillId="0" borderId="66" applyNumberFormat="0" applyFill="0" applyAlignment="0" applyProtection="0"/>
    <xf numFmtId="0" fontId="161" fillId="0" borderId="66" applyNumberFormat="0" applyFill="0" applyAlignment="0" applyProtection="0"/>
    <xf numFmtId="0" fontId="161" fillId="0" borderId="66" applyNumberFormat="0" applyFill="0" applyAlignment="0" applyProtection="0"/>
    <xf numFmtId="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200" fontId="151" fillId="0" borderId="66" applyNumberFormat="0" applyFill="0" applyAlignment="0" applyProtection="0"/>
    <xf numFmtId="0" fontId="125" fillId="0" borderId="67" applyNumberFormat="0" applyFill="0" applyAlignment="0" applyProtection="0"/>
    <xf numFmtId="0" fontId="125" fillId="0" borderId="67"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51" fillId="0" borderId="66" applyNumberFormat="0" applyFill="0" applyAlignment="0" applyProtection="0"/>
    <xf numFmtId="0" fontId="162" fillId="59" borderId="55" applyNumberFormat="0" applyAlignment="0" applyProtection="0"/>
    <xf numFmtId="0" fontId="118" fillId="59" borderId="55" applyNumberFormat="0" applyAlignment="0" applyProtection="0"/>
    <xf numFmtId="0" fontId="118" fillId="59" borderId="55" applyNumberFormat="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3"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5" fillId="0" borderId="0" applyFont="0" applyFill="0" applyBorder="0" applyAlignment="0" applyProtection="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3" fillId="0" borderId="0" applyNumberFormat="0" applyFill="0" applyBorder="0" applyAlignment="0" applyProtection="0"/>
    <xf numFmtId="0" fontId="11" fillId="0" borderId="0"/>
    <xf numFmtId="0" fontId="11" fillId="0" borderId="0"/>
    <xf numFmtId="0" fontId="97" fillId="14" borderId="0" applyNumberFormat="0" applyBorder="0" applyAlignment="0" applyProtection="0"/>
    <xf numFmtId="0" fontId="90" fillId="11" borderId="0" applyNumberFormat="0" applyBorder="0" applyAlignment="0" applyProtection="0"/>
    <xf numFmtId="0" fontId="97" fillId="14" borderId="0" applyNumberFormat="0" applyBorder="0" applyAlignment="0" applyProtection="0"/>
    <xf numFmtId="0" fontId="90" fillId="11" borderId="0" applyNumberFormat="0" applyBorder="0" applyAlignment="0" applyProtection="0"/>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13" fillId="45" borderId="53" applyNumberFormat="0" applyAlignment="0" applyProtection="0"/>
    <xf numFmtId="0" fontId="113" fillId="45" borderId="53" applyNumberFormat="0" applyAlignment="0" applyProtection="0"/>
    <xf numFmtId="0" fontId="169" fillId="46" borderId="53" applyNumberFormat="0" applyAlignment="0" applyProtection="0"/>
    <xf numFmtId="0" fontId="169" fillId="46" borderId="53" applyNumberFormat="0" applyAlignment="0" applyProtection="0"/>
    <xf numFmtId="0" fontId="169" fillId="46" borderId="53" applyNumberFormat="0" applyAlignment="0" applyProtection="0"/>
    <xf numFmtId="0" fontId="169" fillId="46" borderId="53" applyNumberFormat="0" applyAlignment="0" applyProtection="0"/>
    <xf numFmtId="0" fontId="121" fillId="14" borderId="0" applyNumberFormat="0" applyBorder="0" applyAlignment="0" applyProtection="0"/>
    <xf numFmtId="228" fontId="170" fillId="0" borderId="0">
      <protection locked="0"/>
    </xf>
    <xf numFmtId="0" fontId="127" fillId="17" borderId="53" applyNumberFormat="0" applyAlignment="0" applyProtection="0"/>
    <xf numFmtId="0" fontId="127" fillId="17" borderId="53" applyNumberFormat="0" applyAlignment="0" applyProtection="0"/>
    <xf numFmtId="0" fontId="127" fillId="17" borderId="53" applyNumberFormat="0" applyAlignment="0" applyProtection="0"/>
    <xf numFmtId="0" fontId="127" fillId="17" borderId="53" applyNumberFormat="0" applyAlignment="0" applyProtection="0"/>
    <xf numFmtId="0" fontId="98" fillId="0" borderId="0">
      <alignment vertical="top"/>
    </xf>
    <xf numFmtId="44" fontId="8" fillId="0" borderId="0" applyFont="0" applyFill="0" applyBorder="0" applyAlignment="0" applyProtection="0"/>
    <xf numFmtId="228" fontId="170" fillId="0" borderId="0">
      <protection locked="0"/>
    </xf>
    <xf numFmtId="0" fontId="122" fillId="34" borderId="0" applyNumberFormat="0" applyBorder="0" applyAlignment="0" applyProtection="0"/>
    <xf numFmtId="0" fontId="171" fillId="0" borderId="69" applyNumberFormat="0" applyFill="0" applyAlignment="0" applyProtection="0"/>
    <xf numFmtId="0" fontId="172" fillId="0" borderId="47" applyNumberFormat="0" applyFill="0" applyAlignment="0" applyProtection="0"/>
    <xf numFmtId="0" fontId="173" fillId="0" borderId="70" applyNumberFormat="0" applyFill="0" applyAlignment="0" applyProtection="0"/>
    <xf numFmtId="0" fontId="173" fillId="0" borderId="0" applyNumberFormat="0" applyFill="0" applyBorder="0" applyAlignment="0" applyProtection="0"/>
    <xf numFmtId="228" fontId="174" fillId="0" borderId="0">
      <protection locked="0"/>
    </xf>
    <xf numFmtId="228" fontId="174" fillId="0" borderId="0">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28" fillId="38" borderId="53" applyNumberFormat="0" applyAlignment="0" applyProtection="0"/>
    <xf numFmtId="0" fontId="128" fillId="38" borderId="53" applyNumberFormat="0" applyAlignment="0" applyProtection="0"/>
    <xf numFmtId="0" fontId="128" fillId="38" borderId="53" applyNumberFormat="0" applyAlignment="0" applyProtection="0"/>
    <xf numFmtId="0" fontId="128" fillId="38" borderId="53" applyNumberFormat="0" applyAlignment="0" applyProtection="0"/>
    <xf numFmtId="224" fontId="175" fillId="0" borderId="20" applyNumberFormat="0" applyFont="0" applyFill="0" applyAlignment="0" applyProtection="0"/>
    <xf numFmtId="0" fontId="176" fillId="0" borderId="54" applyNumberFormat="0" applyFill="0" applyAlignment="0" applyProtection="0"/>
    <xf numFmtId="0" fontId="177" fillId="52" borderId="0" applyNumberFormat="0" applyBorder="0" applyAlignment="0" applyProtection="0"/>
    <xf numFmtId="0" fontId="145"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5"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9" fillId="45" borderId="58" applyNumberFormat="0" applyAlignment="0" applyProtection="0"/>
    <xf numFmtId="0" fontId="149"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1" fillId="46" borderId="58" applyNumberFormat="0" applyAlignment="0" applyProtection="0"/>
    <xf numFmtId="0" fontId="151" fillId="46" borderId="58" applyNumberFormat="0" applyAlignment="0" applyProtection="0"/>
    <xf numFmtId="0" fontId="151" fillId="46" borderId="58" applyNumberFormat="0" applyAlignment="0" applyProtection="0"/>
    <xf numFmtId="224" fontId="175" fillId="0" borderId="0"/>
    <xf numFmtId="0" fontId="161" fillId="0" borderId="67" applyNumberFormat="0" applyFill="0" applyAlignment="0" applyProtection="0"/>
    <xf numFmtId="0" fontId="161" fillId="0" borderId="67" applyNumberFormat="0" applyFill="0" applyAlignment="0" applyProtection="0"/>
    <xf numFmtId="0" fontId="161"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54" fillId="0" borderId="0" applyNumberFormat="0" applyFill="0" applyBorder="0" applyAlignment="0" applyProtection="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1" fillId="0" borderId="0"/>
    <xf numFmtId="0" fontId="179" fillId="0" borderId="0"/>
    <xf numFmtId="0" fontId="98" fillId="0" borderId="0"/>
    <xf numFmtId="0" fontId="5" fillId="0" borderId="0"/>
    <xf numFmtId="0" fontId="5" fillId="0" borderId="0"/>
    <xf numFmtId="0" fontId="5" fillId="0" borderId="0"/>
    <xf numFmtId="0" fontId="11" fillId="0" borderId="0"/>
    <xf numFmtId="0" fontId="11" fillId="0" borderId="0"/>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5" fillId="0" borderId="0" applyFont="0" applyFill="0" applyBorder="0" applyAlignment="0" applyProtection="0"/>
    <xf numFmtId="43" fontId="97" fillId="0" borderId="0" applyFont="0" applyFill="0" applyBorder="0" applyAlignment="0" applyProtection="0"/>
    <xf numFmtId="0" fontId="90" fillId="0" borderId="0"/>
    <xf numFmtId="43" fontId="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13" fillId="45" borderId="53" applyNumberFormat="0" applyAlignment="0" applyProtection="0"/>
    <xf numFmtId="0" fontId="113" fillId="45" borderId="53" applyNumberFormat="0" applyAlignment="0" applyProtection="0"/>
    <xf numFmtId="0" fontId="113" fillId="45" borderId="53" applyNumberFormat="0" applyAlignment="0" applyProtection="0"/>
    <xf numFmtId="0" fontId="113" fillId="45" borderId="53" applyNumberFormat="0" applyAlignment="0" applyProtection="0"/>
    <xf numFmtId="0" fontId="169"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4" fillId="0" borderId="56" applyBorder="0">
      <alignment vertical="center"/>
    </xf>
    <xf numFmtId="0" fontId="127" fillId="17" borderId="53" applyNumberFormat="0" applyAlignment="0" applyProtection="0"/>
    <xf numFmtId="44" fontId="8" fillId="0" borderId="0" applyFont="0" applyFill="0" applyBorder="0" applyAlignment="0" applyProtection="0"/>
    <xf numFmtId="0" fontId="104" fillId="0" borderId="45" applyNumberFormat="0" applyFill="0" applyAlignment="0" applyProtection="0"/>
    <xf numFmtId="0" fontId="127" fillId="17" borderId="53" applyNumberFormat="0" applyAlignment="0" applyProtection="0"/>
    <xf numFmtId="0" fontId="127" fillId="17" borderId="53" applyNumberFormat="0" applyAlignment="0" applyProtection="0"/>
    <xf numFmtId="0" fontId="127" fillId="17" borderId="53" applyNumberFormat="0" applyAlignment="0" applyProtection="0"/>
    <xf numFmtId="0" fontId="127"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5"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4" fillId="0" borderId="68" applyBorder="0">
      <alignment vertical="center"/>
    </xf>
    <xf numFmtId="201" fontId="124"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90"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8"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9" fillId="45" borderId="58" applyNumberFormat="0" applyAlignment="0" applyProtection="0"/>
    <xf numFmtId="0" fontId="149" fillId="45" borderId="58" applyNumberFormat="0" applyAlignment="0" applyProtection="0"/>
    <xf numFmtId="0" fontId="149" fillId="45" borderId="58" applyNumberFormat="0" applyAlignment="0" applyProtection="0"/>
    <xf numFmtId="0" fontId="149" fillId="45" borderId="58" applyNumberFormat="0" applyAlignment="0" applyProtection="0"/>
    <xf numFmtId="9" fontId="5" fillId="0" borderId="0" applyFont="0" applyFill="0" applyBorder="0" applyAlignment="0" applyProtection="0"/>
    <xf numFmtId="0" fontId="168"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1" fillId="46" borderId="58" applyNumberFormat="0" applyAlignment="0" applyProtection="0"/>
    <xf numFmtId="0" fontId="151" fillId="46" borderId="58" applyNumberFormat="0" applyAlignment="0" applyProtection="0"/>
    <xf numFmtId="0" fontId="161" fillId="0" borderId="67" applyNumberFormat="0" applyFill="0" applyAlignment="0" applyProtection="0"/>
    <xf numFmtId="0" fontId="161" fillId="0" borderId="67" applyNumberFormat="0" applyFill="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3" fillId="0" borderId="0" applyFont="0" applyFill="0" applyBorder="0" applyAlignment="0" applyProtection="0"/>
    <xf numFmtId="229" fontId="145"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5" fillId="0" borderId="0" applyFont="0" applyFill="0" applyBorder="0" applyAlignment="0" applyProtection="0"/>
    <xf numFmtId="169" fontId="145"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90" fillId="0" borderId="0"/>
    <xf numFmtId="0" fontId="5" fillId="0" borderId="0"/>
    <xf numFmtId="0" fontId="5" fillId="0" borderId="0"/>
    <xf numFmtId="44" fontId="146"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9" fillId="22"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25" borderId="0" applyNumberFormat="0" applyBorder="0" applyAlignment="0" applyProtection="0"/>
    <xf numFmtId="0" fontId="180" fillId="0" borderId="0"/>
    <xf numFmtId="0" fontId="180" fillId="0" borderId="0"/>
    <xf numFmtId="0" fontId="180" fillId="0" borderId="0"/>
    <xf numFmtId="0" fontId="180" fillId="0" borderId="0"/>
    <xf numFmtId="0" fontId="180" fillId="0" borderId="0"/>
    <xf numFmtId="0" fontId="99" fillId="47" borderId="0" applyNumberFormat="0" applyBorder="0" applyAlignment="0" applyProtection="0"/>
    <xf numFmtId="0" fontId="99" fillId="33" borderId="0" applyNumberFormat="0" applyBorder="0" applyAlignment="0" applyProtection="0"/>
    <xf numFmtId="0" fontId="99" fillId="48"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39" borderId="0" applyNumberFormat="0" applyBorder="0" applyAlignment="0" applyProtection="0"/>
    <xf numFmtId="0" fontId="121" fillId="14" borderId="0" applyNumberFormat="0" applyBorder="0" applyAlignment="0" applyProtection="0"/>
    <xf numFmtId="200" fontId="104" fillId="0" borderId="45" applyNumberFormat="0" applyFill="0" applyAlignment="0" applyProtection="0"/>
    <xf numFmtId="200" fontId="104" fillId="0" borderId="45" applyNumberFormat="0" applyFill="0" applyAlignment="0" applyProtection="0"/>
    <xf numFmtId="0" fontId="104" fillId="0" borderId="45" applyNumberFormat="0" applyFill="0" applyAlignment="0" applyProtection="0"/>
    <xf numFmtId="0" fontId="104" fillId="0" borderId="45" applyNumberFormat="0" applyFill="0" applyAlignment="0" applyProtection="0"/>
    <xf numFmtId="200" fontId="104" fillId="0" borderId="45" applyNumberFormat="0" applyFill="0" applyAlignment="0" applyProtection="0"/>
    <xf numFmtId="200" fontId="104" fillId="0" borderId="45" applyNumberFormat="0" applyFill="0" applyAlignment="0" applyProtection="0"/>
    <xf numFmtId="200" fontId="104" fillId="0" borderId="45" applyNumberFormat="0" applyFill="0" applyAlignment="0" applyProtection="0"/>
    <xf numFmtId="200" fontId="104" fillId="0" borderId="45" applyNumberFormat="0" applyFill="0" applyAlignment="0" applyProtection="0"/>
    <xf numFmtId="200" fontId="107" fillId="0" borderId="47" applyNumberFormat="0" applyFill="0" applyAlignment="0" applyProtection="0"/>
    <xf numFmtId="200" fontId="107" fillId="0" borderId="47" applyNumberFormat="0" applyFill="0" applyAlignment="0" applyProtection="0"/>
    <xf numFmtId="0" fontId="107" fillId="0" borderId="47" applyNumberFormat="0" applyFill="0" applyAlignment="0" applyProtection="0"/>
    <xf numFmtId="0" fontId="168" fillId="0" borderId="56" applyNumberFormat="0" applyBorder="0" applyProtection="0">
      <alignment horizontal="center"/>
    </xf>
    <xf numFmtId="0" fontId="107" fillId="0" borderId="47" applyNumberFormat="0" applyFill="0" applyAlignment="0" applyProtection="0"/>
    <xf numFmtId="0" fontId="168" fillId="0" borderId="56" applyNumberFormat="0" applyBorder="0" applyProtection="0">
      <alignment horizontal="center"/>
    </xf>
    <xf numFmtId="200" fontId="107" fillId="0" borderId="47" applyNumberFormat="0" applyFill="0" applyAlignment="0" applyProtection="0"/>
    <xf numFmtId="200" fontId="107" fillId="0" borderId="47" applyNumberFormat="0" applyFill="0" applyAlignment="0" applyProtection="0"/>
    <xf numFmtId="200" fontId="107" fillId="0" borderId="47" applyNumberFormat="0" applyFill="0" applyAlignment="0" applyProtection="0"/>
    <xf numFmtId="200" fontId="107" fillId="0" borderId="47" applyNumberFormat="0" applyFill="0" applyAlignment="0" applyProtection="0"/>
    <xf numFmtId="200" fontId="107" fillId="0" borderId="47" applyNumberFormat="0" applyFill="0" applyAlignment="0" applyProtection="0"/>
    <xf numFmtId="200" fontId="110" fillId="0" borderId="49" applyNumberFormat="0" applyFill="0" applyAlignment="0" applyProtection="0"/>
    <xf numFmtId="200" fontId="110" fillId="0" borderId="49" applyNumberFormat="0" applyFill="0" applyAlignment="0" applyProtection="0"/>
    <xf numFmtId="0" fontId="110" fillId="0" borderId="49" applyNumberFormat="0" applyFill="0" applyAlignment="0" applyProtection="0"/>
    <xf numFmtId="0" fontId="168" fillId="0" borderId="56" applyNumberFormat="0" applyBorder="0" applyProtection="0">
      <alignment horizontal="center"/>
    </xf>
    <xf numFmtId="0" fontId="110" fillId="0" borderId="49" applyNumberFormat="0" applyFill="0" applyAlignment="0" applyProtection="0"/>
    <xf numFmtId="0" fontId="168" fillId="0" borderId="56" applyNumberFormat="0" applyBorder="0" applyProtection="0">
      <alignment horizontal="center"/>
    </xf>
    <xf numFmtId="200" fontId="110" fillId="0" borderId="49" applyNumberFormat="0" applyFill="0" applyAlignment="0" applyProtection="0"/>
    <xf numFmtId="200" fontId="110" fillId="0" borderId="49" applyNumberFormat="0" applyFill="0" applyAlignment="0" applyProtection="0"/>
    <xf numFmtId="200" fontId="110" fillId="0" borderId="49" applyNumberFormat="0" applyFill="0" applyAlignment="0" applyProtection="0"/>
    <xf numFmtId="200" fontId="110" fillId="0" borderId="49" applyNumberFormat="0" applyFill="0" applyAlignment="0" applyProtection="0"/>
    <xf numFmtId="200" fontId="110" fillId="0" borderId="49" applyNumberFormat="0" applyFill="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0" fillId="0" borderId="0" applyNumberFormat="0" applyFill="0" applyBorder="0" applyAlignment="0" applyProtection="0"/>
    <xf numFmtId="0" fontId="168" fillId="0" borderId="56" applyNumberFormat="0" applyBorder="0" applyProtection="0">
      <alignment horizontal="center"/>
    </xf>
    <xf numFmtId="0" fontId="110" fillId="0" borderId="0" applyNumberFormat="0" applyFill="0" applyBorder="0" applyAlignment="0" applyProtection="0"/>
    <xf numFmtId="0" fontId="168" fillId="0" borderId="56" applyNumberFormat="0" applyBorder="0" applyProtection="0">
      <alignment horizontal="center"/>
    </xf>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165" fontId="10" fillId="0" borderId="72"/>
    <xf numFmtId="231" fontId="98" fillId="0" borderId="0" applyFill="0" applyBorder="0" applyAlignment="0"/>
    <xf numFmtId="232" fontId="98" fillId="0" borderId="0" applyFill="0" applyBorder="0" applyAlignment="0"/>
    <xf numFmtId="233" fontId="98" fillId="0" borderId="0" applyFill="0" applyBorder="0" applyAlignment="0"/>
    <xf numFmtId="234" fontId="98" fillId="0" borderId="0" applyFill="0" applyBorder="0" applyAlignment="0"/>
    <xf numFmtId="235" fontId="98" fillId="0" borderId="0" applyFill="0" applyBorder="0" applyAlignment="0"/>
    <xf numFmtId="231" fontId="98" fillId="0" borderId="0" applyFill="0" applyBorder="0" applyAlignment="0"/>
    <xf numFmtId="236" fontId="98" fillId="0" borderId="0" applyFill="0" applyBorder="0" applyAlignment="0"/>
    <xf numFmtId="232" fontId="98" fillId="0" borderId="0" applyFill="0" applyBorder="0" applyAlignment="0"/>
    <xf numFmtId="0" fontId="169" fillId="46" borderId="53" applyNumberFormat="0" applyAlignment="0" applyProtection="0"/>
    <xf numFmtId="0" fontId="162" fillId="59" borderId="55" applyNumberFormat="0" applyAlignment="0" applyProtection="0"/>
    <xf numFmtId="200" fontId="116" fillId="0" borderId="54" applyNumberFormat="0" applyFill="0" applyAlignment="0" applyProtection="0"/>
    <xf numFmtId="200" fontId="116" fillId="0" borderId="54" applyNumberFormat="0" applyFill="0" applyAlignment="0" applyProtection="0"/>
    <xf numFmtId="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200" fontId="116" fillId="0" borderId="54" applyNumberFormat="0" applyFill="0" applyAlignment="0" applyProtection="0"/>
    <xf numFmtId="0" fontId="116"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227" fontId="11" fillId="0" borderId="0" applyFont="0" applyFill="0" applyBorder="0" applyAlignment="0" applyProtection="0"/>
    <xf numFmtId="200" fontId="121" fillId="14" borderId="0" applyNumberFormat="0" applyBorder="0" applyAlignment="0" applyProtection="0"/>
    <xf numFmtId="200" fontId="121" fillId="14" borderId="0" applyNumberFormat="0" applyBorder="0" applyAlignment="0" applyProtection="0"/>
    <xf numFmtId="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00" fontId="121" fillId="14" borderId="0" applyNumberFormat="0" applyBorder="0" applyAlignment="0" applyProtection="0"/>
    <xf numFmtId="232" fontId="11"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14" fontId="98" fillId="0" borderId="0" applyFill="0" applyBorder="0" applyAlignment="0"/>
    <xf numFmtId="0" fontId="99" fillId="47" borderId="0" applyNumberFormat="0" applyBorder="0" applyAlignment="0" applyProtection="0"/>
    <xf numFmtId="0" fontId="99" fillId="33" borderId="0" applyNumberFormat="0" applyBorder="0" applyAlignment="0" applyProtection="0"/>
    <xf numFmtId="0" fontId="99" fillId="48"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99" fillId="39" borderId="0" applyNumberFormat="0" applyBorder="0" applyAlignment="0" applyProtection="0"/>
    <xf numFmtId="231" fontId="182" fillId="0" borderId="0" applyFill="0" applyBorder="0" applyAlignment="0"/>
    <xf numFmtId="232" fontId="182" fillId="0" borderId="0" applyFill="0" applyBorder="0" applyAlignment="0"/>
    <xf numFmtId="231" fontId="182" fillId="0" borderId="0" applyFill="0" applyBorder="0" applyAlignment="0"/>
    <xf numFmtId="236" fontId="182" fillId="0" borderId="0" applyFill="0" applyBorder="0" applyAlignment="0"/>
    <xf numFmtId="232" fontId="182" fillId="0" borderId="0" applyFill="0" applyBorder="0" applyAlignment="0"/>
    <xf numFmtId="200" fontId="127" fillId="17" borderId="53" applyNumberFormat="0" applyAlignment="0" applyProtection="0"/>
    <xf numFmtId="200" fontId="127" fillId="17" borderId="53" applyNumberFormat="0" applyAlignment="0" applyProtection="0"/>
    <xf numFmtId="0" fontId="127" fillId="17" borderId="53" applyNumberFormat="0" applyAlignment="0" applyProtection="0"/>
    <xf numFmtId="200" fontId="127" fillId="17" borderId="53" applyNumberFormat="0" applyAlignment="0" applyProtection="0"/>
    <xf numFmtId="200" fontId="127" fillId="17" borderId="53" applyNumberFormat="0" applyAlignment="0" applyProtection="0"/>
    <xf numFmtId="200" fontId="127" fillId="17" borderId="53" applyNumberFormat="0" applyAlignment="0" applyProtection="0"/>
    <xf numFmtId="200" fontId="127" fillId="17" borderId="53" applyNumberFormat="0" applyAlignment="0" applyProtection="0"/>
    <xf numFmtId="200" fontId="127" fillId="17" borderId="53" applyNumberFormat="0" applyAlignment="0" applyProtection="0"/>
    <xf numFmtId="0" fontId="11" fillId="0" borderId="0"/>
    <xf numFmtId="0" fontId="132" fillId="0" borderId="73" applyNumberFormat="0" applyAlignment="0" applyProtection="0">
      <alignment horizontal="left" vertical="center"/>
    </xf>
    <xf numFmtId="0" fontId="132" fillId="0" borderId="71">
      <alignment horizontal="left" vertical="center"/>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alignment vertical="top"/>
      <protection locked="0"/>
    </xf>
    <xf numFmtId="0" fontId="136" fillId="13" borderId="0" applyNumberFormat="0" applyBorder="0" applyAlignment="0" applyProtection="0"/>
    <xf numFmtId="10" fontId="59" fillId="42" borderId="65" applyNumberFormat="0" applyBorder="0" applyAlignment="0" applyProtection="0"/>
    <xf numFmtId="0" fontId="127" fillId="17" borderId="53" applyNumberFormat="0" applyAlignment="0" applyProtection="0"/>
    <xf numFmtId="231" fontId="185" fillId="0" borderId="0" applyFill="0" applyBorder="0" applyAlignment="0"/>
    <xf numFmtId="232" fontId="185" fillId="0" borderId="0" applyFill="0" applyBorder="0" applyAlignment="0"/>
    <xf numFmtId="231" fontId="185" fillId="0" borderId="0" applyFill="0" applyBorder="0" applyAlignment="0"/>
    <xf numFmtId="236" fontId="185" fillId="0" borderId="0" applyFill="0" applyBorder="0" applyAlignment="0"/>
    <xf numFmtId="232" fontId="185" fillId="0" borderId="0" applyFill="0" applyBorder="0" applyAlignment="0"/>
    <xf numFmtId="44" fontId="97" fillId="0" borderId="0" applyFont="0" applyFill="0" applyBorder="0" applyAlignment="0" applyProtection="0"/>
    <xf numFmtId="44" fontId="97" fillId="0" borderId="0" applyFont="0" applyFill="0" applyBorder="0" applyAlignment="0" applyProtection="0"/>
    <xf numFmtId="0" fontId="177" fillId="52" borderId="0" applyNumberFormat="0" applyBorder="0" applyAlignment="0" applyProtection="0"/>
    <xf numFmtId="0" fontId="14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1"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86" fillId="0" borderId="0"/>
    <xf numFmtId="0" fontId="18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8" fillId="0" borderId="0"/>
    <xf numFmtId="0" fontId="11"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200" fontId="97" fillId="56" borderId="62" applyNumberFormat="0" applyFont="0" applyAlignment="0" applyProtection="0"/>
    <xf numFmtId="200" fontId="97" fillId="56" borderId="62" applyNumberFormat="0" applyFont="0" applyAlignment="0" applyProtection="0"/>
    <xf numFmtId="0" fontId="11" fillId="56" borderId="62" applyNumberFormat="0" applyFont="0" applyAlignment="0" applyProtection="0"/>
    <xf numFmtId="200" fontId="97" fillId="56" borderId="62" applyNumberFormat="0" applyFont="0" applyAlignment="0" applyProtection="0"/>
    <xf numFmtId="200" fontId="97" fillId="56" borderId="62" applyNumberFormat="0" applyFont="0" applyAlignment="0" applyProtection="0"/>
    <xf numFmtId="200" fontId="97" fillId="56" borderId="62" applyNumberFormat="0" applyFont="0" applyAlignment="0" applyProtection="0"/>
    <xf numFmtId="200" fontId="97" fillId="56" borderId="62" applyNumberFormat="0" applyFont="0" applyAlignment="0" applyProtection="0"/>
    <xf numFmtId="200" fontId="97" fillId="56" borderId="62" applyNumberFormat="0" applyFont="0" applyAlignment="0" applyProtection="0"/>
    <xf numFmtId="0" fontId="11" fillId="56" borderId="62" applyNumberFormat="0" applyFont="0" applyAlignment="0" applyProtection="0"/>
    <xf numFmtId="0" fontId="168" fillId="60" borderId="65" applyNumberFormat="0" applyBorder="0" applyProtection="0">
      <alignment horizontal="center"/>
    </xf>
    <xf numFmtId="0" fontId="151"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231" fontId="154" fillId="0" borderId="0" applyFill="0" applyBorder="0" applyAlignment="0"/>
    <xf numFmtId="232" fontId="154" fillId="0" borderId="0" applyFill="0" applyBorder="0" applyAlignment="0"/>
    <xf numFmtId="231" fontId="154" fillId="0" borderId="0" applyFill="0" applyBorder="0" applyAlignment="0"/>
    <xf numFmtId="236" fontId="154" fillId="0" borderId="0" applyFill="0" applyBorder="0" applyAlignment="0"/>
    <xf numFmtId="232" fontId="154" fillId="0" borderId="0" applyFill="0" applyBorder="0" applyAlignment="0"/>
    <xf numFmtId="49" fontId="98" fillId="0" borderId="0" applyFill="0" applyBorder="0" applyAlignment="0"/>
    <xf numFmtId="240" fontId="98" fillId="0" borderId="0" applyFill="0" applyBorder="0" applyAlignment="0"/>
    <xf numFmtId="241" fontId="98" fillId="0" borderId="0" applyFill="0" applyBorder="0" applyAlignment="0"/>
    <xf numFmtId="200" fontId="153" fillId="0" borderId="0" applyNumberFormat="0" applyFill="0" applyBorder="0" applyAlignment="0" applyProtection="0"/>
    <xf numFmtId="200" fontId="153" fillId="0" borderId="0" applyNumberFormat="0" applyFill="0" applyBorder="0" applyAlignment="0" applyProtection="0"/>
    <xf numFmtId="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200" fontId="153" fillId="0" borderId="0" applyNumberFormat="0" applyFill="0" applyBorder="0" applyAlignment="0" applyProtection="0"/>
    <xf numFmtId="0" fontId="152" fillId="0" borderId="0" applyNumberFormat="0" applyFill="0" applyBorder="0" applyAlignment="0" applyProtection="0"/>
    <xf numFmtId="0" fontId="104" fillId="0" borderId="45" applyNumberFormat="0" applyFill="0" applyAlignment="0" applyProtection="0"/>
    <xf numFmtId="0" fontId="161" fillId="0" borderId="67" applyNumberFormat="0" applyFill="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0" fontId="168"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1"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3"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8"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68"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91"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23" fillId="0" borderId="0"/>
    <xf numFmtId="0" fontId="223"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xf numFmtId="0" fontId="1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5" fillId="0" borderId="0" applyFont="0" applyFill="0" applyBorder="0" applyAlignment="0" applyProtection="0"/>
    <xf numFmtId="43" fontId="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11" fillId="0" borderId="0"/>
    <xf numFmtId="0" fontId="11" fillId="0" borderId="0"/>
    <xf numFmtId="0" fontId="11" fillId="0" borderId="0"/>
  </cellStyleXfs>
  <cellXfs count="1688">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15" fillId="0" borderId="0" xfId="7" applyFont="1"/>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5" fontId="29" fillId="0" borderId="0" xfId="11" applyNumberFormat="1" applyFont="1" applyFill="1" applyProtection="1">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87" fillId="0" borderId="0" xfId="15" applyNumberFormat="1" applyFont="1" applyFill="1" applyAlignment="1">
      <alignment vertical="center"/>
    </xf>
    <xf numFmtId="165" fontId="21" fillId="0" borderId="0" xfId="15" applyNumberFormat="1" applyFont="1" applyFill="1" applyAlignment="1">
      <alignment horizontal="lef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83" fontId="21"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8" fillId="0" borderId="0" xfId="18" applyFont="1" applyAlignment="1">
      <alignment horizontal="center" vertical="center"/>
    </xf>
    <xf numFmtId="165" fontId="89"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43" fontId="44" fillId="0" borderId="0" xfId="42" applyFont="1" applyFill="1" applyAlignment="1">
      <alignment vertical="center"/>
    </xf>
    <xf numFmtId="43" fontId="44" fillId="0" borderId="0" xfId="42" applyFont="1" applyFill="1" applyBorder="1" applyAlignment="1">
      <alignment vertical="center"/>
    </xf>
    <xf numFmtId="165" fontId="166" fillId="0" borderId="0" xfId="5" applyNumberFormat="1" applyFont="1" applyFill="1" applyAlignment="1">
      <alignment vertical="center"/>
    </xf>
    <xf numFmtId="0" fontId="165" fillId="3" borderId="0" xfId="18" applyFont="1" applyFill="1"/>
    <xf numFmtId="165" fontId="167" fillId="0" borderId="0" xfId="18" applyNumberFormat="1" applyFont="1" applyFill="1" applyAlignment="1">
      <alignment vertical="center"/>
    </xf>
    <xf numFmtId="3" fontId="167"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90" fillId="0" borderId="0" xfId="5" applyNumberFormat="1" applyFont="1" applyFill="1" applyAlignment="1">
      <alignment vertical="center"/>
    </xf>
    <xf numFmtId="165" fontId="190" fillId="3" borderId="0" xfId="5" applyNumberFormat="1" applyFont="1" applyFill="1" applyBorder="1" applyAlignment="1">
      <alignment vertical="center"/>
    </xf>
    <xf numFmtId="0" fontId="191" fillId="0" borderId="0" xfId="18" applyFont="1" applyFill="1"/>
    <xf numFmtId="0" fontId="191" fillId="3" borderId="0" xfId="18" applyFont="1" applyFill="1"/>
    <xf numFmtId="0" fontId="195" fillId="0" borderId="0" xfId="18" applyFont="1"/>
    <xf numFmtId="165" fontId="188" fillId="4" borderId="0" xfId="5" applyNumberFormat="1" applyFont="1" applyFill="1" applyAlignment="1">
      <alignment vertical="center"/>
    </xf>
    <xf numFmtId="165" fontId="188" fillId="0" borderId="0" xfId="5" applyNumberFormat="1" applyFont="1" applyFill="1" applyAlignment="1">
      <alignment vertical="center"/>
    </xf>
    <xf numFmtId="165" fontId="195" fillId="0" borderId="0" xfId="18" applyNumberFormat="1" applyFont="1" applyAlignment="1">
      <alignment horizontal="center"/>
    </xf>
    <xf numFmtId="4" fontId="188" fillId="4" borderId="0" xfId="5" applyNumberFormat="1" applyFont="1" applyFill="1" applyAlignment="1">
      <alignment vertical="center"/>
    </xf>
    <xf numFmtId="165" fontId="195" fillId="0" borderId="0" xfId="18" applyNumberFormat="1" applyFont="1"/>
    <xf numFmtId="165" fontId="195" fillId="0" borderId="0" xfId="18" applyNumberFormat="1" applyFont="1" applyAlignment="1">
      <alignment horizontal="right"/>
    </xf>
    <xf numFmtId="165" fontId="192" fillId="0" borderId="0" xfId="12" applyNumberFormat="1" applyFont="1" applyFill="1" applyAlignment="1" applyProtection="1">
      <alignment vertical="center"/>
      <protection locked="0"/>
    </xf>
    <xf numFmtId="173" fontId="192" fillId="0" borderId="0" xfId="11" applyNumberFormat="1" applyFont="1" applyFill="1" applyAlignment="1" applyProtection="1">
      <alignment vertical="center"/>
      <protection locked="0"/>
    </xf>
    <xf numFmtId="43" fontId="192" fillId="0" borderId="0" xfId="11" applyFont="1" applyFill="1" applyAlignment="1" applyProtection="1">
      <alignment vertical="center"/>
      <protection locked="0"/>
    </xf>
    <xf numFmtId="43" fontId="195" fillId="0" borderId="0" xfId="11" applyFont="1" applyFill="1" applyProtection="1">
      <protection locked="0"/>
    </xf>
    <xf numFmtId="174" fontId="195"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5" fillId="0" borderId="0" xfId="11" applyNumberFormat="1" applyFont="1" applyFill="1" applyProtection="1">
      <protection locked="0"/>
    </xf>
    <xf numFmtId="165" fontId="192" fillId="0" borderId="0" xfId="9" applyNumberFormat="1" applyFont="1" applyFill="1" applyAlignment="1" applyProtection="1">
      <alignment vertical="center"/>
      <protection locked="0"/>
    </xf>
    <xf numFmtId="165" fontId="192"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5" fillId="0" borderId="0" xfId="18" applyNumberFormat="1" applyFont="1" applyFill="1" applyProtection="1">
      <protection locked="0"/>
    </xf>
    <xf numFmtId="43" fontId="192" fillId="0" borderId="0" xfId="11" applyFont="1" applyFill="1" applyBorder="1" applyAlignment="1" applyProtection="1">
      <alignment vertical="center"/>
      <protection locked="0"/>
    </xf>
    <xf numFmtId="0" fontId="193" fillId="0" borderId="0" xfId="19" applyFont="1" applyFill="1"/>
    <xf numFmtId="165" fontId="20" fillId="0" borderId="0" xfId="9" applyNumberFormat="1" applyFont="1" applyFill="1" applyAlignment="1">
      <alignment horizontal="right"/>
    </xf>
    <xf numFmtId="43" fontId="193" fillId="0" borderId="0" xfId="11" applyFont="1" applyFill="1"/>
    <xf numFmtId="165" fontId="193" fillId="0" borderId="0" xfId="19" applyNumberFormat="1" applyFont="1" applyFill="1"/>
    <xf numFmtId="181" fontId="193" fillId="0" borderId="0" xfId="19" applyNumberFormat="1" applyFont="1" applyFill="1"/>
    <xf numFmtId="165" fontId="35" fillId="0" borderId="0" xfId="14" applyNumberFormat="1" applyFont="1" applyFill="1" applyBorder="1" applyAlignment="1">
      <alignment horizontal="right" vertical="center"/>
    </xf>
    <xf numFmtId="0" fontId="193" fillId="0" borderId="0" xfId="16" applyFont="1" applyFill="1"/>
    <xf numFmtId="165" fontId="46" fillId="0" borderId="0" xfId="16" applyNumberFormat="1" applyFont="1" applyFill="1" applyBorder="1" applyAlignment="1">
      <alignment horizontal="right"/>
    </xf>
    <xf numFmtId="4" fontId="193" fillId="0" borderId="0" xfId="16" applyNumberFormat="1" applyFont="1" applyFill="1"/>
    <xf numFmtId="165" fontId="46" fillId="0" borderId="0" xfId="16" applyNumberFormat="1" applyFont="1" applyFill="1" applyBorder="1" applyAlignment="1">
      <alignment horizontal="right" vertical="center"/>
    </xf>
    <xf numFmtId="185" fontId="193" fillId="0" borderId="0" xfId="16" applyNumberFormat="1" applyFont="1" applyFill="1"/>
    <xf numFmtId="165" fontId="35" fillId="0" borderId="0" xfId="14" applyNumberFormat="1" applyFont="1" applyFill="1" applyBorder="1" applyAlignment="1">
      <alignment horizontal="right"/>
    </xf>
    <xf numFmtId="43" fontId="192" fillId="0" borderId="0" xfId="11" applyFont="1" applyFill="1"/>
    <xf numFmtId="171" fontId="193" fillId="0" borderId="0" xfId="19" applyNumberFormat="1" applyFont="1" applyFill="1"/>
    <xf numFmtId="165" fontId="35" fillId="0" borderId="0" xfId="14" applyNumberFormat="1" applyFont="1" applyFill="1" applyBorder="1" applyAlignment="1" applyProtection="1">
      <alignment horizontal="right"/>
      <protection locked="0"/>
    </xf>
    <xf numFmtId="176" fontId="192" fillId="0" borderId="0" xfId="11" applyNumberFormat="1" applyFont="1" applyFill="1"/>
    <xf numFmtId="173" fontId="192" fillId="0" borderId="0" xfId="11" applyNumberFormat="1" applyFont="1" applyFill="1"/>
    <xf numFmtId="191" fontId="193" fillId="0" borderId="0" xfId="19" applyNumberFormat="1" applyFont="1" applyFill="1"/>
    <xf numFmtId="0" fontId="193" fillId="0" borderId="0" xfId="20" applyFont="1" applyFill="1"/>
    <xf numFmtId="165" fontId="193" fillId="0" borderId="0" xfId="20" applyNumberFormat="1" applyFont="1" applyFill="1"/>
    <xf numFmtId="165" fontId="193"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3" fillId="0" borderId="0" xfId="11" applyFont="1" applyFill="1" applyAlignment="1">
      <alignment vertical="center"/>
    </xf>
    <xf numFmtId="0" fontId="193"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200" fillId="0" borderId="0" xfId="18" applyFont="1" applyFill="1"/>
    <xf numFmtId="0" fontId="198" fillId="0" borderId="0" xfId="0" applyFont="1" applyFill="1"/>
    <xf numFmtId="0" fontId="200" fillId="0" borderId="0" xfId="18" applyFont="1" applyFill="1" applyBorder="1"/>
    <xf numFmtId="165" fontId="35" fillId="0" borderId="0" xfId="7" applyNumberFormat="1" applyFont="1" applyFill="1" applyBorder="1" applyAlignment="1">
      <alignment horizontal="right" vertical="center"/>
    </xf>
    <xf numFmtId="183" fontId="198" fillId="0" borderId="0" xfId="0" applyNumberFormat="1" applyFont="1" applyFill="1"/>
    <xf numFmtId="1" fontId="192" fillId="0" borderId="0" xfId="27" applyNumberFormat="1" applyFont="1" applyFill="1" applyBorder="1" applyAlignment="1">
      <alignment horizontal="center" vertical="center"/>
    </xf>
    <xf numFmtId="0" fontId="192" fillId="0" borderId="0" xfId="15" applyNumberFormat="1" applyFont="1" applyFill="1" applyBorder="1" applyAlignment="1">
      <alignment horizontal="center" vertical="center" wrapText="1"/>
    </xf>
    <xf numFmtId="1" fontId="192"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2" fillId="0" borderId="0" xfId="27" applyNumberFormat="1" applyFont="1" applyFill="1" applyBorder="1" applyAlignment="1">
      <alignment horizontal="center" vertical="center"/>
    </xf>
    <xf numFmtId="198" fontId="192" fillId="0" borderId="0" xfId="27" applyNumberFormat="1" applyFont="1" applyFill="1" applyBorder="1" applyAlignment="1">
      <alignment horizontal="center" vertical="center"/>
    </xf>
    <xf numFmtId="169" fontId="198" fillId="0" borderId="0" xfId="0" applyNumberFormat="1" applyFont="1"/>
    <xf numFmtId="165" fontId="35" fillId="0" borderId="0" xfId="7" applyNumberFormat="1" applyFont="1" applyFill="1" applyBorder="1" applyAlignment="1">
      <alignment horizontal="right"/>
    </xf>
    <xf numFmtId="165" fontId="191" fillId="0" borderId="0" xfId="18" applyNumberFormat="1" applyFont="1" applyFill="1" applyBorder="1"/>
    <xf numFmtId="165" fontId="190" fillId="0" borderId="0" xfId="5" applyNumberFormat="1" applyFont="1" applyFill="1" applyBorder="1" applyAlignment="1">
      <alignment vertical="center"/>
    </xf>
    <xf numFmtId="0" fontId="191" fillId="0" borderId="0" xfId="18" applyFont="1" applyFill="1" applyBorder="1"/>
    <xf numFmtId="181" fontId="35" fillId="0" borderId="0" xfId="7" applyNumberFormat="1" applyFont="1" applyFill="1" applyBorder="1" applyAlignment="1">
      <alignment horizontal="right" vertical="center"/>
    </xf>
    <xf numFmtId="0" fontId="191" fillId="3" borderId="0" xfId="18" applyFont="1" applyFill="1" applyBorder="1"/>
    <xf numFmtId="1" fontId="192" fillId="3" borderId="0" xfId="16" applyNumberFormat="1" applyFont="1" applyFill="1" applyBorder="1" applyAlignment="1">
      <alignment horizontal="right"/>
    </xf>
    <xf numFmtId="165" fontId="193"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3" fillId="0" borderId="0" xfId="42" applyFont="1" applyFill="1" applyBorder="1" applyAlignment="1">
      <alignment vertical="center"/>
    </xf>
    <xf numFmtId="165" fontId="193" fillId="0" borderId="0" xfId="15" applyNumberFormat="1" applyFont="1" applyFill="1" applyAlignment="1">
      <alignment vertical="center"/>
    </xf>
    <xf numFmtId="0" fontId="203" fillId="0" borderId="0" xfId="15" applyFont="1" applyFill="1" applyAlignment="1">
      <alignment vertical="center"/>
    </xf>
    <xf numFmtId="43" fontId="191"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3" fillId="0" borderId="0" xfId="11" applyNumberFormat="1" applyFont="1" applyFill="1" applyAlignment="1">
      <alignment vertical="center"/>
    </xf>
    <xf numFmtId="0" fontId="204"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165" fontId="21" fillId="3" borderId="0" xfId="10" applyNumberFormat="1" applyFont="1" applyFill="1" applyBorder="1" applyAlignment="1">
      <alignment vertical="center"/>
    </xf>
    <xf numFmtId="0" fontId="165" fillId="3" borderId="0" xfId="18" applyFont="1" applyFill="1" applyBorder="1"/>
    <xf numFmtId="0" fontId="195" fillId="0" borderId="0" xfId="18" applyFont="1" applyFill="1" applyBorder="1"/>
    <xf numFmtId="0" fontId="44" fillId="0" borderId="0" xfId="15" applyFont="1" applyFill="1" applyAlignment="1">
      <alignment vertical="center"/>
    </xf>
    <xf numFmtId="165" fontId="51" fillId="0" borderId="0" xfId="12" applyNumberFormat="1" applyFont="1" applyFill="1" applyAlignment="1">
      <alignment horizontal="left" vertical="center" wrapText="1"/>
    </xf>
    <xf numFmtId="0" fontId="207" fillId="0" borderId="0" xfId="18" applyFont="1" applyFill="1"/>
    <xf numFmtId="0" fontId="206" fillId="0" borderId="0" xfId="19" applyFont="1" applyFill="1"/>
    <xf numFmtId="165" fontId="208" fillId="0" borderId="0" xfId="5" applyNumberFormat="1" applyFont="1" applyFill="1" applyAlignment="1">
      <alignment vertical="center"/>
    </xf>
    <xf numFmtId="0" fontId="209" fillId="0" borderId="0" xfId="19" applyFont="1" applyFill="1" applyAlignment="1">
      <alignment vertical="top" wrapText="1"/>
    </xf>
    <xf numFmtId="172" fontId="206" fillId="0" borderId="0" xfId="19" applyNumberFormat="1" applyFont="1" applyFill="1"/>
    <xf numFmtId="172" fontId="206" fillId="0" borderId="0" xfId="20" applyNumberFormat="1" applyFont="1" applyFill="1"/>
    <xf numFmtId="0" fontId="206" fillId="0" borderId="0" xfId="20" applyFont="1" applyFill="1"/>
    <xf numFmtId="165" fontId="206" fillId="0" borderId="0" xfId="12" applyNumberFormat="1" applyFont="1" applyFill="1" applyAlignment="1">
      <alignment vertical="center"/>
    </xf>
    <xf numFmtId="0" fontId="51" fillId="0" borderId="0" xfId="20" applyFont="1" applyFill="1" applyAlignment="1">
      <alignment horizontal="left" wrapText="1"/>
    </xf>
    <xf numFmtId="180" fontId="192" fillId="0" borderId="0" xfId="11" applyNumberFormat="1" applyFont="1" applyFill="1"/>
    <xf numFmtId="180" fontId="47" fillId="0" borderId="0" xfId="11" applyNumberFormat="1" applyFont="1" applyFill="1"/>
    <xf numFmtId="180" fontId="40" fillId="0" borderId="0" xfId="19" applyNumberFormat="1" applyFont="1" applyFill="1"/>
    <xf numFmtId="43" fontId="193" fillId="0" borderId="0" xfId="42" applyFont="1" applyFill="1"/>
    <xf numFmtId="43" fontId="40" fillId="0" borderId="0" xfId="42" applyFont="1" applyFill="1"/>
    <xf numFmtId="165" fontId="89"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1" fillId="0" borderId="0" xfId="15" applyFont="1" applyFill="1" applyAlignment="1">
      <alignment vertical="center"/>
    </xf>
    <xf numFmtId="0" fontId="193" fillId="0" borderId="0" xfId="15" applyFont="1" applyFill="1" applyAlignment="1">
      <alignment vertical="center"/>
    </xf>
    <xf numFmtId="43" fontId="193"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43" fontId="204" fillId="0" borderId="0" xfId="42"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0" fontId="44" fillId="0" borderId="0" xfId="42" applyNumberFormat="1" applyFont="1" applyFill="1" applyAlignment="1">
      <alignment vertical="center"/>
    </xf>
    <xf numFmtId="165" fontId="21" fillId="0" borderId="0" xfId="14" applyNumberFormat="1" applyFont="1" applyFill="1" applyAlignment="1">
      <alignment vertical="center" wrapText="1"/>
    </xf>
    <xf numFmtId="165" fontId="44" fillId="0" borderId="0" xfId="12" applyNumberFormat="1" applyFont="1" applyFill="1" applyAlignment="1">
      <alignment horizontal="left" vertical="center" wrapText="1"/>
    </xf>
    <xf numFmtId="165" fontId="51" fillId="0" borderId="0" xfId="19" applyNumberFormat="1" applyFont="1" applyFill="1"/>
    <xf numFmtId="0" fontId="204" fillId="4" borderId="0" xfId="7" applyFont="1" applyFill="1" applyAlignment="1">
      <alignment vertical="center"/>
    </xf>
    <xf numFmtId="170" fontId="21" fillId="0" borderId="0" xfId="16" applyNumberFormat="1" applyFont="1" applyFill="1"/>
    <xf numFmtId="165" fontId="51" fillId="0" borderId="0" xfId="16" applyNumberFormat="1" applyFont="1" applyFill="1" applyBorder="1" applyAlignment="1">
      <alignment vertical="center"/>
    </xf>
    <xf numFmtId="181" fontId="51" fillId="0" borderId="0" xfId="19" applyNumberFormat="1" applyFont="1" applyFill="1"/>
    <xf numFmtId="0" fontId="164" fillId="0" borderId="0" xfId="19" applyFont="1" applyFill="1" applyAlignment="1">
      <alignment vertical="top" wrapText="1"/>
    </xf>
    <xf numFmtId="0" fontId="214" fillId="0" borderId="0" xfId="18" applyFont="1" applyFill="1" applyAlignment="1">
      <alignment vertical="center"/>
    </xf>
    <xf numFmtId="172" fontId="51" fillId="0" borderId="0" xfId="19" applyNumberFormat="1" applyFont="1" applyFill="1"/>
    <xf numFmtId="0" fontId="210"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1" fillId="0" borderId="0" xfId="18" applyNumberFormat="1" applyFont="1" applyFill="1" applyBorder="1"/>
    <xf numFmtId="195" fontId="11" fillId="0" borderId="0" xfId="18" applyNumberFormat="1" applyFill="1" applyBorder="1"/>
    <xf numFmtId="196" fontId="191" fillId="0" borderId="0" xfId="18" applyNumberFormat="1" applyFont="1" applyFill="1" applyBorder="1"/>
    <xf numFmtId="196" fontId="11" fillId="0" borderId="0" xfId="18" applyNumberFormat="1" applyFill="1" applyBorder="1"/>
    <xf numFmtId="199" fontId="191" fillId="0" borderId="0" xfId="18" applyNumberFormat="1" applyFont="1" applyFill="1" applyBorder="1"/>
    <xf numFmtId="165" fontId="50" fillId="3" borderId="0" xfId="30" applyNumberFormat="1" applyFont="1" applyFill="1"/>
    <xf numFmtId="0" fontId="60" fillId="3" borderId="0" xfId="30" applyFill="1"/>
    <xf numFmtId="0" fontId="195"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2" fillId="3" borderId="0" xfId="30" applyNumberFormat="1" applyFont="1" applyFill="1"/>
    <xf numFmtId="168" fontId="192" fillId="3" borderId="0" xfId="30" applyNumberFormat="1" applyFont="1" applyFill="1"/>
    <xf numFmtId="165" fontId="192" fillId="3" borderId="0" xfId="30" applyNumberFormat="1" applyFont="1" applyFill="1"/>
    <xf numFmtId="171" fontId="50" fillId="3" borderId="0" xfId="30" applyNumberFormat="1" applyFont="1" applyFill="1"/>
    <xf numFmtId="168" fontId="50" fillId="3" borderId="0" xfId="30" applyNumberFormat="1" applyFont="1" applyFill="1"/>
    <xf numFmtId="0" fontId="192"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4"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20" fillId="0" borderId="0" xfId="7" applyFont="1" applyFill="1" applyAlignment="1">
      <alignment vertical="center"/>
    </xf>
    <xf numFmtId="0" fontId="221" fillId="0" borderId="0" xfId="7" applyFont="1" applyFill="1" applyAlignment="1">
      <alignment vertical="center"/>
    </xf>
    <xf numFmtId="43" fontId="0" fillId="0" borderId="0" xfId="42" applyFont="1" applyFill="1"/>
    <xf numFmtId="43" fontId="198" fillId="0" borderId="0" xfId="42" applyFont="1" applyFill="1"/>
    <xf numFmtId="43" fontId="212"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3" fillId="0" borderId="0" xfId="11" applyNumberFormat="1" applyFont="1" applyFill="1" applyAlignment="1">
      <alignment vertical="center"/>
    </xf>
    <xf numFmtId="43" fontId="213" fillId="0" borderId="0" xfId="42" applyFont="1" applyFill="1" applyAlignment="1">
      <alignment vertical="center"/>
    </xf>
    <xf numFmtId="43" fontId="213" fillId="0" borderId="0" xfId="42" applyFont="1" applyFill="1" applyAlignment="1">
      <alignment horizontal="left" vertical="center"/>
    </xf>
    <xf numFmtId="0" fontId="223" fillId="0" borderId="0" xfId="2320"/>
    <xf numFmtId="0" fontId="223" fillId="0" borderId="0" xfId="2320" applyFill="1"/>
    <xf numFmtId="165" fontId="44" fillId="0" borderId="0" xfId="12" applyNumberFormat="1" applyFont="1" applyFill="1" applyAlignment="1">
      <alignment horizontal="left" vertical="center" wrapText="1"/>
    </xf>
    <xf numFmtId="0" fontId="44" fillId="0" borderId="0" xfId="20" applyFont="1" applyFill="1"/>
    <xf numFmtId="165" fontId="44" fillId="0" borderId="0" xfId="32" applyNumberFormat="1" applyFont="1" applyFill="1" applyAlignment="1">
      <alignment vertical="center"/>
    </xf>
    <xf numFmtId="165" fontId="21" fillId="0" borderId="0" xfId="14" applyNumberFormat="1" applyFont="1" applyFill="1" applyAlignment="1">
      <alignment vertical="center" wrapText="1"/>
    </xf>
    <xf numFmtId="165" fontId="12" fillId="0" borderId="2" xfId="1" applyNumberFormat="1" applyFont="1" applyFill="1" applyBorder="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3" fillId="3" borderId="0" xfId="31" applyNumberFormat="1" applyFont="1" applyFill="1" applyAlignment="1">
      <alignment vertical="center"/>
    </xf>
    <xf numFmtId="165" fontId="193" fillId="3" borderId="0" xfId="32" applyNumberFormat="1" applyFont="1" applyFill="1" applyAlignment="1">
      <alignment vertical="center"/>
    </xf>
    <xf numFmtId="183" fontId="193"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23" fillId="0" borderId="0" xfId="2320" applyNumberFormat="1" applyFill="1"/>
    <xf numFmtId="243" fontId="0" fillId="0" borderId="0" xfId="0" applyNumberFormat="1"/>
    <xf numFmtId="165" fontId="223"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21" fillId="0" borderId="0" xfId="14" applyNumberFormat="1" applyFont="1" applyFill="1" applyAlignment="1">
      <alignment vertical="center" wrapText="1"/>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195" fillId="0" borderId="0" xfId="18" applyNumberFormat="1" applyFont="1" applyFill="1" applyBorder="1"/>
    <xf numFmtId="170" fontId="195" fillId="0" borderId="0" xfId="18" applyNumberFormat="1" applyFont="1"/>
    <xf numFmtId="170" fontId="223" fillId="0" borderId="0" xfId="2320" applyNumberFormat="1"/>
    <xf numFmtId="170" fontId="223" fillId="0" borderId="0" xfId="2320" applyNumberFormat="1" applyFill="1"/>
    <xf numFmtId="0" fontId="225" fillId="0" borderId="0" xfId="7" applyFont="1" applyFill="1" applyProtection="1">
      <protection locked="0"/>
    </xf>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2" fillId="0" borderId="0" xfId="16" applyNumberFormat="1" applyFont="1" applyFill="1" applyBorder="1" applyAlignment="1">
      <alignment horizontal="right"/>
    </xf>
    <xf numFmtId="165" fontId="189"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165" fontId="73" fillId="0" borderId="0" xfId="32" quotePrefix="1" applyNumberFormat="1" applyFont="1" applyFill="1" applyAlignment="1">
      <alignment vertical="center"/>
    </xf>
    <xf numFmtId="183" fontId="46" fillId="0" borderId="0" xfId="18" applyNumberFormat="1" applyFont="1" applyFill="1"/>
    <xf numFmtId="165" fontId="22" fillId="3" borderId="0" xfId="14" applyNumberFormat="1" applyFont="1" applyFill="1" applyAlignment="1"/>
    <xf numFmtId="0" fontId="44" fillId="0" borderId="0" xfId="42" quotePrefix="1" applyNumberFormat="1" applyFont="1" applyFill="1" applyAlignment="1">
      <alignment vertical="center"/>
    </xf>
    <xf numFmtId="0" fontId="223" fillId="0" borderId="0" xfId="2320" applyFill="1" applyAlignment="1">
      <alignment vertical="center" wrapText="1"/>
    </xf>
    <xf numFmtId="170" fontId="223" fillId="0" borderId="0" xfId="2320" applyNumberFormat="1" applyFill="1" applyAlignment="1">
      <alignment vertical="center" wrapText="1"/>
    </xf>
    <xf numFmtId="43" fontId="21" fillId="3" borderId="0" xfId="11" applyFont="1" applyFill="1"/>
    <xf numFmtId="0" fontId="223" fillId="0" borderId="0" xfId="2320" quotePrefix="1"/>
    <xf numFmtId="0" fontId="223" fillId="0" borderId="0" xfId="2320" applyAlignment="1">
      <alignment vertical="center"/>
    </xf>
    <xf numFmtId="0" fontId="223" fillId="0" borderId="0" xfId="2320" applyFill="1" applyAlignment="1">
      <alignment vertical="center"/>
    </xf>
    <xf numFmtId="170" fontId="223" fillId="0" borderId="0" xfId="2320" applyNumberFormat="1" applyAlignment="1">
      <alignment vertical="center"/>
    </xf>
    <xf numFmtId="0" fontId="164"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4" fontId="11" fillId="0" borderId="0" xfId="21" applyNumberFormat="1" applyFont="1" applyFill="1"/>
    <xf numFmtId="175" fontId="11" fillId="0" borderId="0" xfId="21" applyNumberFormat="1" applyFont="1" applyFill="1"/>
    <xf numFmtId="171" fontId="191" fillId="0" borderId="0" xfId="22" applyNumberFormat="1" applyFont="1" applyFill="1"/>
    <xf numFmtId="171" fontId="198"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1" fillId="0" borderId="0" xfId="11" applyFont="1" applyFill="1" applyBorder="1"/>
    <xf numFmtId="171" fontId="195" fillId="0" borderId="0" xfId="25" applyNumberFormat="1" applyFont="1" applyFill="1"/>
    <xf numFmtId="197" fontId="195"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9"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1" fillId="0" borderId="0" xfId="11" applyNumberFormat="1" applyFont="1" applyFill="1" applyBorder="1"/>
    <xf numFmtId="180" fontId="191"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7" fillId="3" borderId="0" xfId="8" applyFont="1" applyFill="1"/>
    <xf numFmtId="0" fontId="227" fillId="3" borderId="0" xfId="8" applyFont="1" applyFill="1" applyBorder="1"/>
    <xf numFmtId="10" fontId="227" fillId="3" borderId="0" xfId="13" applyNumberFormat="1" applyFont="1" applyFill="1"/>
    <xf numFmtId="0" fontId="5" fillId="3" borderId="0" xfId="8" applyFont="1" applyFill="1"/>
    <xf numFmtId="0" fontId="230" fillId="3" borderId="0" xfId="8" applyFont="1" applyFill="1"/>
    <xf numFmtId="0" fontId="230" fillId="3" borderId="0" xfId="8" applyFont="1" applyFill="1" applyBorder="1"/>
    <xf numFmtId="0" fontId="17" fillId="3" borderId="0" xfId="7" applyFont="1" applyFill="1"/>
    <xf numFmtId="0" fontId="233" fillId="3" borderId="0" xfId="8" applyFont="1" applyFill="1" applyBorder="1"/>
    <xf numFmtId="0" fontId="233" fillId="3" borderId="2" xfId="8" applyFont="1" applyFill="1" applyBorder="1"/>
    <xf numFmtId="165" fontId="234" fillId="3" borderId="2" xfId="1" applyNumberFormat="1" applyFont="1" applyFill="1" applyBorder="1" applyAlignment="1">
      <alignment vertical="center"/>
    </xf>
    <xf numFmtId="165" fontId="235"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4"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wrapText="1"/>
    </xf>
    <xf numFmtId="0" fontId="1" fillId="0" borderId="0" xfId="2320" applyFont="1" applyFill="1" applyAlignment="1">
      <alignment vertical="center" wrapText="1"/>
    </xf>
    <xf numFmtId="0" fontId="50" fillId="0" borderId="0" xfId="2320" applyFont="1" applyFill="1" applyAlignment="1">
      <alignment horizontal="left"/>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165" fontId="6" fillId="0" borderId="0" xfId="1" applyNumberFormat="1" applyFont="1" applyFill="1" applyBorder="1" applyAlignment="1">
      <alignment vertical="center"/>
    </xf>
    <xf numFmtId="0" fontId="1" fillId="0" borderId="0" xfId="2320" applyFont="1" applyFill="1" applyAlignment="1">
      <alignment wrapText="1"/>
    </xf>
    <xf numFmtId="0" fontId="1" fillId="0" borderId="0" xfId="2320" applyFont="1"/>
    <xf numFmtId="43" fontId="195"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165" fontId="44" fillId="0" borderId="0" xfId="19" applyNumberFormat="1" applyFont="1" applyFill="1"/>
    <xf numFmtId="0" fontId="70" fillId="0" borderId="0" xfId="18" applyFont="1" applyFill="1"/>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6" fillId="0" borderId="0" xfId="41" applyFont="1" applyFill="1" applyBorder="1"/>
    <xf numFmtId="165" fontId="21" fillId="0" borderId="0" xfId="7" applyNumberFormat="1" applyFont="1" applyFill="1" applyBorder="1" applyAlignment="1">
      <alignment horizontal="left" vertical="center"/>
    </xf>
    <xf numFmtId="4" fontId="188" fillId="3" borderId="0" xfId="8" applyNumberFormat="1" applyFont="1" applyFill="1"/>
    <xf numFmtId="0" fontId="188" fillId="3" borderId="0" xfId="8" applyFont="1" applyFill="1"/>
    <xf numFmtId="4" fontId="188" fillId="3" borderId="0" xfId="8" applyNumberFormat="1" applyFont="1" applyFill="1" applyBorder="1"/>
    <xf numFmtId="4" fontId="230" fillId="3" borderId="0" xfId="8" applyNumberFormat="1" applyFont="1" applyFill="1" applyBorder="1"/>
    <xf numFmtId="165" fontId="228" fillId="3" borderId="0" xfId="5" quotePrefix="1" applyNumberFormat="1" applyFont="1" applyFill="1" applyBorder="1" applyAlignment="1">
      <alignment horizontal="center" vertical="center"/>
    </xf>
    <xf numFmtId="4" fontId="230" fillId="3" borderId="0" xfId="8" applyNumberFormat="1" applyFont="1" applyFill="1"/>
    <xf numFmtId="165" fontId="228" fillId="3" borderId="0" xfId="5" quotePrefix="1" applyNumberFormat="1" applyFont="1" applyFill="1" applyBorder="1" applyAlignment="1">
      <alignment horizontal="right" vertical="center"/>
    </xf>
    <xf numFmtId="165" fontId="230" fillId="3" borderId="0" xfId="8" applyNumberFormat="1" applyFont="1" applyFill="1"/>
    <xf numFmtId="165" fontId="228" fillId="3" borderId="0" xfId="5" applyNumberFormat="1" applyFont="1" applyFill="1" applyBorder="1" applyAlignment="1">
      <alignment horizontal="right" vertical="center"/>
    </xf>
    <xf numFmtId="165" fontId="231" fillId="3" borderId="0" xfId="5" applyNumberFormat="1" applyFont="1" applyFill="1" applyBorder="1" applyAlignment="1">
      <alignment horizontal="right" vertical="center"/>
    </xf>
    <xf numFmtId="165" fontId="188" fillId="3" borderId="0" xfId="8" applyNumberFormat="1" applyFont="1" applyFill="1"/>
    <xf numFmtId="165" fontId="20" fillId="3" borderId="0" xfId="5" applyNumberFormat="1" applyFont="1" applyFill="1" applyBorder="1" applyAlignment="1">
      <alignment horizontal="right" vertical="center"/>
    </xf>
    <xf numFmtId="165" fontId="228" fillId="3" borderId="0" xfId="6" applyNumberFormat="1" applyFont="1" applyFill="1" applyBorder="1" applyAlignment="1">
      <alignment horizontal="right" vertical="center"/>
    </xf>
    <xf numFmtId="165" fontId="5" fillId="3" borderId="0" xfId="8" applyNumberFormat="1" applyFill="1"/>
    <xf numFmtId="0" fontId="191" fillId="3" borderId="0" xfId="7" applyFont="1" applyFill="1" applyAlignment="1"/>
    <xf numFmtId="168" fontId="191" fillId="3" borderId="0" xfId="7" applyNumberFormat="1" applyFont="1" applyFill="1" applyAlignment="1"/>
    <xf numFmtId="0" fontId="191" fillId="3" borderId="0" xfId="7" applyFont="1" applyFill="1"/>
    <xf numFmtId="168" fontId="191"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4" fillId="3" borderId="0" xfId="7" applyNumberFormat="1" applyFont="1" applyFill="1"/>
    <xf numFmtId="170" fontId="190" fillId="3" borderId="0" xfId="7" applyNumberFormat="1" applyFont="1" applyFill="1"/>
    <xf numFmtId="168" fontId="190"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3" fillId="3" borderId="0" xfId="15" applyNumberFormat="1" applyFont="1" applyFill="1" applyBorder="1" applyAlignment="1">
      <alignment vertical="center"/>
    </xf>
    <xf numFmtId="0" fontId="205" fillId="3" borderId="0" xfId="0" applyFont="1" applyFill="1" applyAlignment="1">
      <alignment vertical="center"/>
    </xf>
    <xf numFmtId="0" fontId="205"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1"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1" fillId="3" borderId="0" xfId="18" applyNumberFormat="1" applyFont="1" applyFill="1"/>
    <xf numFmtId="0" fontId="23" fillId="3" borderId="0" xfId="18" applyFont="1" applyFill="1"/>
    <xf numFmtId="169" fontId="194" fillId="3" borderId="0" xfId="18" applyNumberFormat="1" applyFont="1" applyFill="1"/>
    <xf numFmtId="170" fontId="190" fillId="3" borderId="0" xfId="18" applyNumberFormat="1" applyFont="1" applyFill="1"/>
    <xf numFmtId="168" fontId="190" fillId="3" borderId="0" xfId="18" applyNumberFormat="1" applyFont="1" applyFill="1"/>
    <xf numFmtId="243" fontId="0" fillId="0" borderId="0" xfId="0" applyNumberFormat="1" applyFill="1"/>
    <xf numFmtId="244" fontId="50" fillId="0" borderId="0" xfId="0" applyNumberFormat="1" applyFont="1" applyFill="1"/>
    <xf numFmtId="165" fontId="21" fillId="0" borderId="0" xfId="14" applyNumberFormat="1" applyFont="1" applyFill="1" applyAlignment="1">
      <alignment vertical="center" wrapText="1"/>
    </xf>
    <xf numFmtId="0" fontId="236" fillId="0" borderId="0" xfId="2320" applyFont="1"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165" fontId="27" fillId="0" borderId="0" xfId="7" applyNumberFormat="1" applyFont="1" applyFill="1" applyBorder="1"/>
    <xf numFmtId="165" fontId="27" fillId="0" borderId="0" xfId="7" applyNumberFormat="1" applyFont="1" applyFill="1"/>
    <xf numFmtId="0" fontId="218" fillId="0" borderId="0" xfId="0" applyFont="1" applyFill="1" applyBorder="1"/>
    <xf numFmtId="0" fontId="218" fillId="0" borderId="0" xfId="0" applyFont="1" applyFill="1" applyBorder="1" applyAlignment="1">
      <alignment horizontal="left"/>
    </xf>
    <xf numFmtId="165" fontId="216"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165" fontId="216" fillId="0" borderId="0" xfId="12" applyNumberFormat="1" applyFont="1" applyFill="1" applyBorder="1" applyAlignment="1"/>
    <xf numFmtId="0" fontId="217" fillId="0" borderId="0" xfId="0" applyFont="1" applyFill="1"/>
    <xf numFmtId="0" fontId="50" fillId="0" borderId="85" xfId="0" applyFont="1" applyFill="1" applyBorder="1" applyAlignment="1">
      <alignment horizontal="left" indent="2"/>
    </xf>
    <xf numFmtId="243" fontId="40" fillId="0" borderId="85" xfId="0" quotePrefix="1" applyNumberFormat="1" applyFont="1" applyFill="1" applyBorder="1" applyAlignment="1">
      <alignment horizontal="center"/>
    </xf>
    <xf numFmtId="243" fontId="40" fillId="0" borderId="84" xfId="0" quotePrefix="1" applyNumberFormat="1" applyFont="1" applyFill="1" applyBorder="1" applyAlignment="1">
      <alignment horizontal="center"/>
    </xf>
    <xf numFmtId="0" fontId="217" fillId="0" borderId="0" xfId="0" applyFont="1" applyFill="1" applyBorder="1"/>
    <xf numFmtId="0" fontId="50" fillId="0" borderId="85" xfId="0" applyFont="1" applyFill="1" applyBorder="1"/>
    <xf numFmtId="0" fontId="217" fillId="0" borderId="85" xfId="0" applyFont="1" applyFill="1" applyBorder="1" applyAlignment="1">
      <alignment horizontal="left"/>
    </xf>
    <xf numFmtId="243" fontId="48" fillId="0" borderId="85" xfId="0" quotePrefix="1" applyNumberFormat="1" applyFont="1" applyFill="1" applyBorder="1" applyAlignment="1">
      <alignment horizontal="center"/>
    </xf>
    <xf numFmtId="0" fontId="217" fillId="0" borderId="85" xfId="0" applyFont="1" applyFill="1" applyBorder="1" applyAlignment="1">
      <alignment horizontal="left" indent="1"/>
    </xf>
    <xf numFmtId="0" fontId="50" fillId="0" borderId="84" xfId="0" applyFont="1" applyFill="1" applyBorder="1" applyAlignment="1">
      <alignment horizontal="left" indent="2"/>
    </xf>
    <xf numFmtId="0" fontId="50" fillId="0" borderId="0" xfId="0" applyFont="1" applyFill="1" applyBorder="1"/>
    <xf numFmtId="0" fontId="217" fillId="0" borderId="85" xfId="0" applyFont="1" applyFill="1" applyBorder="1"/>
    <xf numFmtId="0" fontId="217" fillId="0" borderId="84" xfId="0" applyFont="1" applyFill="1" applyBorder="1"/>
    <xf numFmtId="0" fontId="50" fillId="0" borderId="84" xfId="0" applyFont="1" applyFill="1" applyBorder="1"/>
    <xf numFmtId="243" fontId="48" fillId="0" borderId="84" xfId="0" quotePrefix="1" applyNumberFormat="1" applyFont="1" applyFill="1" applyBorder="1" applyAlignment="1">
      <alignment horizontal="center"/>
    </xf>
    <xf numFmtId="0" fontId="29" fillId="0" borderId="84" xfId="0" applyFont="1" applyFill="1" applyBorder="1" applyAlignment="1">
      <alignment horizontal="left" indent="2"/>
    </xf>
    <xf numFmtId="243" fontId="21" fillId="0" borderId="84" xfId="0" quotePrefix="1" applyNumberFormat="1" applyFont="1" applyFill="1" applyBorder="1" applyAlignment="1">
      <alignment horizontal="center"/>
    </xf>
    <xf numFmtId="0" fontId="50" fillId="0" borderId="84" xfId="0" applyFont="1" applyFill="1" applyBorder="1" applyAlignment="1">
      <alignment horizontal="left" vertical="center" indent="2"/>
    </xf>
    <xf numFmtId="0" fontId="50" fillId="0" borderId="84" xfId="0" applyFont="1" applyFill="1" applyBorder="1" applyAlignment="1">
      <alignment horizontal="left" vertical="center" wrapText="1" indent="2"/>
    </xf>
    <xf numFmtId="0" fontId="50" fillId="0" borderId="84"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243" fontId="48" fillId="0" borderId="86" xfId="0" quotePrefix="1" applyNumberFormat="1" applyFont="1" applyFill="1" applyBorder="1" applyAlignment="1">
      <alignment horizontal="center"/>
    </xf>
    <xf numFmtId="179" fontId="216" fillId="0" borderId="73" xfId="42" applyNumberFormat="1" applyFont="1" applyFill="1" applyBorder="1"/>
    <xf numFmtId="0" fontId="90"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7" fillId="0" borderId="82" xfId="0" applyFont="1" applyFill="1" applyBorder="1"/>
    <xf numFmtId="0" fontId="50" fillId="0" borderId="82" xfId="0" applyFont="1" applyFill="1" applyBorder="1"/>
    <xf numFmtId="243" fontId="40" fillId="0" borderId="82" xfId="0" quotePrefix="1" applyNumberFormat="1" applyFont="1" applyFill="1" applyBorder="1" applyAlignment="1">
      <alignment horizontal="center"/>
    </xf>
    <xf numFmtId="0" fontId="217" fillId="0" borderId="81" xfId="0" applyFont="1" applyFill="1" applyBorder="1"/>
    <xf numFmtId="0" fontId="50" fillId="0" borderId="81" xfId="0" applyFont="1" applyFill="1" applyBorder="1"/>
    <xf numFmtId="243" fontId="40" fillId="0" borderId="81" xfId="0" quotePrefix="1" applyNumberFormat="1" applyFont="1" applyFill="1" applyBorder="1" applyAlignment="1">
      <alignment horizontal="center"/>
    </xf>
    <xf numFmtId="0" fontId="217" fillId="0" borderId="81" xfId="0" applyFont="1" applyFill="1" applyBorder="1" applyAlignment="1">
      <alignment wrapText="1"/>
    </xf>
    <xf numFmtId="0" fontId="50" fillId="0" borderId="81" xfId="0" applyFont="1" applyFill="1" applyBorder="1" applyAlignment="1">
      <alignment wrapText="1"/>
    </xf>
    <xf numFmtId="0" fontId="217"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179" fontId="216" fillId="0" borderId="73" xfId="42" applyNumberFormat="1" applyFont="1" applyFill="1" applyBorder="1" applyAlignment="1">
      <alignment horizontal="center"/>
    </xf>
    <xf numFmtId="179" fontId="216" fillId="0" borderId="78" xfId="42" applyNumberFormat="1" applyFont="1" applyFill="1" applyBorder="1" applyAlignment="1">
      <alignment horizontal="center"/>
    </xf>
    <xf numFmtId="0" fontId="216" fillId="0" borderId="0" xfId="0" applyFont="1" applyFill="1" applyBorder="1" applyAlignment="1">
      <alignment horizontal="left"/>
    </xf>
    <xf numFmtId="179" fontId="216" fillId="0" borderId="0" xfId="42" applyNumberFormat="1" applyFont="1" applyFill="1" applyBorder="1"/>
    <xf numFmtId="179" fontId="216" fillId="0" borderId="0" xfId="42" applyNumberFormat="1" applyFont="1" applyFill="1" applyBorder="1" applyAlignment="1">
      <alignment horizontal="center"/>
    </xf>
    <xf numFmtId="171" fontId="216" fillId="0" borderId="0" xfId="42" applyNumberFormat="1" applyFont="1" applyFill="1" applyBorder="1" applyAlignment="1">
      <alignment horizontal="left" vertical="center" wrapText="1" indent="5"/>
    </xf>
    <xf numFmtId="0" fontId="216" fillId="0" borderId="0" xfId="0" applyFont="1" applyFill="1" applyBorder="1" applyAlignment="1">
      <alignment horizontal="center"/>
    </xf>
    <xf numFmtId="171" fontId="216" fillId="0" borderId="0" xfId="42" applyNumberFormat="1" applyFont="1" applyFill="1" applyBorder="1"/>
    <xf numFmtId="179" fontId="216" fillId="0" borderId="78" xfId="42" applyNumberFormat="1" applyFont="1" applyFill="1" applyBorder="1"/>
    <xf numFmtId="0" fontId="48" fillId="0" borderId="0" xfId="0" quotePrefix="1" applyFont="1" applyFill="1" applyAlignment="1">
      <alignment horizontal="left" wrapText="1"/>
    </xf>
    <xf numFmtId="0" fontId="40" fillId="0" borderId="0" xfId="0" applyFont="1" applyFill="1" applyAlignment="1">
      <alignment horizontal="left" wrapText="1"/>
    </xf>
    <xf numFmtId="165" fontId="46" fillId="0" borderId="0" xfId="14" applyNumberFormat="1" applyFont="1" applyFill="1"/>
    <xf numFmtId="180" fontId="193"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xf numFmtId="0" fontId="29" fillId="0" borderId="9" xfId="9" quotePrefix="1" applyFont="1" applyFill="1" applyBorder="1" applyAlignment="1" applyProtection="1">
      <alignment horizontal="center" vertical="center"/>
      <protection locked="0"/>
    </xf>
    <xf numFmtId="0" fontId="21" fillId="0" borderId="15" xfId="16" quotePrefix="1" applyNumberFormat="1" applyFont="1" applyFill="1" applyBorder="1" applyAlignment="1">
      <alignment horizontal="center" vertical="center"/>
    </xf>
    <xf numFmtId="0" fontId="21" fillId="0" borderId="16" xfId="16" quotePrefix="1" applyNumberFormat="1" applyFont="1" applyFill="1" applyBorder="1" applyAlignment="1">
      <alignment horizontal="center" vertical="center"/>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36" fillId="0" borderId="0" xfId="12" applyNumberFormat="1" applyFont="1" applyFill="1" applyAlignment="1">
      <alignment vertical="center"/>
    </xf>
    <xf numFmtId="165" fontId="29" fillId="0" borderId="0" xfId="12" applyNumberFormat="1" applyFont="1" applyFill="1" applyBorder="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9" fillId="0" borderId="0" xfId="12" applyNumberFormat="1" applyFont="1" applyFill="1" applyBorder="1" applyAlignment="1">
      <alignment horizontal="right" vertical="center"/>
    </xf>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0" xfId="12" applyNumberFormat="1" applyFont="1" applyFill="1" applyBorder="1" applyAlignment="1">
      <alignment horizontal="left" vertical="center" indent="1"/>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1" fillId="0" borderId="0" xfId="15" applyNumberFormat="1" applyFont="1" applyFill="1" applyBorder="1" applyAlignment="1">
      <alignment horizontal="left" vertical="center" wrapText="1" indent="1"/>
    </xf>
    <xf numFmtId="165" fontId="193"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wrapText="1" indent="3"/>
    </xf>
    <xf numFmtId="165" fontId="21" fillId="0" borderId="6" xfId="15" applyNumberFormat="1" applyFont="1" applyFill="1" applyBorder="1" applyAlignment="1">
      <alignment horizontal="left" vertical="center" wrapText="1" indent="1"/>
    </xf>
    <xf numFmtId="165" fontId="193"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0" borderId="0" xfId="14" applyNumberFormat="1" applyFont="1" applyFill="1" applyAlignment="1"/>
    <xf numFmtId="165" fontId="20" fillId="0" borderId="0" xfId="14" applyNumberFormat="1" applyFont="1" applyFill="1" applyAlignment="1"/>
    <xf numFmtId="183" fontId="200" fillId="0" borderId="0" xfId="18" applyNumberFormat="1" applyFont="1" applyFill="1" applyBorder="1"/>
    <xf numFmtId="165" fontId="189"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9" fillId="0" borderId="9" xfId="10" quotePrefix="1" applyNumberFormat="1" applyFont="1" applyFill="1" applyBorder="1" applyAlignment="1">
      <alignment horizontal="center" vertical="center"/>
    </xf>
    <xf numFmtId="165" fontId="29" fillId="0" borderId="102" xfId="10" quotePrefix="1" applyNumberFormat="1" applyFont="1" applyFill="1" applyBorder="1" applyAlignment="1">
      <alignment horizontal="center" vertical="center"/>
    </xf>
    <xf numFmtId="165" fontId="21" fillId="0" borderId="95" xfId="10" quotePrefix="1" applyNumberFormat="1" applyFont="1" applyFill="1" applyBorder="1" applyAlignment="1">
      <alignment horizontal="center" vertical="center"/>
    </xf>
    <xf numFmtId="165" fontId="21" fillId="0" borderId="96" xfId="10" quotePrefix="1" applyNumberFormat="1" applyFont="1" applyFill="1" applyBorder="1" applyAlignment="1">
      <alignment horizontal="center"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100" xfId="0" applyNumberFormat="1" applyFont="1" applyFill="1" applyBorder="1" applyAlignment="1">
      <alignment horizontal="right" vertical="center"/>
    </xf>
    <xf numFmtId="165" fontId="21" fillId="0" borderId="99"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5" xfId="29" applyNumberFormat="1" applyFont="1" applyFill="1" applyBorder="1" applyAlignment="1">
      <alignment vertical="center"/>
    </xf>
    <xf numFmtId="165" fontId="22" fillId="0" borderId="94" xfId="29" applyNumberFormat="1" applyFont="1" applyFill="1" applyBorder="1" applyAlignment="1">
      <alignment vertical="center"/>
    </xf>
    <xf numFmtId="165" fontId="35" fillId="0" borderId="10" xfId="29" applyNumberFormat="1" applyFont="1" applyFill="1" applyBorder="1" applyAlignment="1">
      <alignment vertical="center"/>
    </xf>
    <xf numFmtId="3" fontId="21" fillId="0" borderId="100" xfId="1438" applyNumberFormat="1" applyFont="1" applyFill="1" applyBorder="1" applyAlignment="1">
      <alignment horizontal="right" vertical="center"/>
    </xf>
    <xf numFmtId="3" fontId="21" fillId="0" borderId="99" xfId="1438" applyNumberFormat="1" applyFont="1" applyFill="1" applyBorder="1" applyAlignment="1">
      <alignment horizontal="right" vertical="center"/>
    </xf>
    <xf numFmtId="165" fontId="21" fillId="0" borderId="0" xfId="1438" applyNumberFormat="1" applyFont="1" applyFill="1" applyBorder="1" applyAlignment="1">
      <alignment horizontal="right" vertical="center"/>
    </xf>
    <xf numFmtId="165" fontId="21" fillId="0" borderId="100"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165" fontId="22" fillId="0" borderId="101" xfId="29" applyNumberFormat="1" applyFont="1" applyFill="1" applyBorder="1" applyAlignment="1">
      <alignment vertical="center"/>
    </xf>
    <xf numFmtId="165" fontId="22" fillId="0" borderId="103" xfId="29" applyNumberFormat="1" applyFont="1" applyFill="1" applyBorder="1" applyAlignment="1">
      <alignmen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0" fontId="165" fillId="0" borderId="0" xfId="18" applyFont="1" applyFill="1"/>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100"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100" xfId="0" applyNumberFormat="1" applyFont="1" applyFill="1" applyBorder="1" applyAlignment="1">
      <alignment horizontal="right" vertical="center"/>
    </xf>
    <xf numFmtId="165" fontId="22" fillId="0" borderId="100"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105" xfId="16"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100"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5"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0" fontId="25" fillId="0" borderId="22" xfId="0" applyFont="1" applyFill="1" applyBorder="1" applyAlignment="1">
      <alignment vertical="center"/>
    </xf>
    <xf numFmtId="0" fontId="25" fillId="0" borderId="96" xfId="0" applyFont="1" applyFill="1" applyBorder="1" applyAlignment="1">
      <alignment horizontal="center" vertical="center" wrapText="1"/>
    </xf>
    <xf numFmtId="165" fontId="29" fillId="0" borderId="96" xfId="10" quotePrefix="1" applyNumberFormat="1" applyFont="1" applyFill="1" applyBorder="1" applyAlignment="1">
      <alignment horizontal="center" vertical="center"/>
    </xf>
    <xf numFmtId="165" fontId="22" fillId="0" borderId="97" xfId="0" applyNumberFormat="1" applyFont="1" applyFill="1" applyBorder="1" applyAlignment="1">
      <alignment horizontal="right" vertical="center"/>
    </xf>
    <xf numFmtId="165" fontId="21" fillId="0" borderId="99" xfId="1006" applyNumberFormat="1" applyFont="1" applyFill="1" applyBorder="1" applyAlignment="1">
      <alignment horizontal="right" vertical="center"/>
    </xf>
    <xf numFmtId="165" fontId="22" fillId="0" borderId="99" xfId="0" applyNumberFormat="1" applyFont="1" applyFill="1" applyBorder="1" applyAlignment="1">
      <alignment horizontal="right" vertical="center"/>
    </xf>
    <xf numFmtId="165" fontId="21" fillId="0" borderId="106" xfId="16" applyNumberFormat="1" applyFont="1" applyFill="1" applyBorder="1" applyAlignment="1">
      <alignment horizontal="right" vertical="center"/>
    </xf>
    <xf numFmtId="165" fontId="22" fillId="0" borderId="94" xfId="16" applyNumberFormat="1" applyFont="1" applyFill="1" applyBorder="1" applyAlignment="1">
      <alignment horizontal="right" vertical="center"/>
    </xf>
    <xf numFmtId="1" fontId="30" fillId="0" borderId="10" xfId="18" quotePrefix="1" applyNumberFormat="1" applyFont="1" applyFill="1" applyBorder="1" applyAlignment="1" applyProtection="1">
      <alignment horizontal="center" vertical="center" wrapText="1"/>
      <protection locked="0"/>
    </xf>
    <xf numFmtId="0" fontId="3" fillId="0" borderId="0" xfId="2320" applyFont="1" applyFill="1"/>
    <xf numFmtId="165" fontId="1" fillId="0" borderId="0" xfId="2320" applyNumberFormat="1" applyFont="1" applyFill="1"/>
    <xf numFmtId="165" fontId="3" fillId="0" borderId="0" xfId="2320" applyNumberFormat="1" applyFont="1" applyFill="1" applyAlignment="1">
      <alignment horizontal="right"/>
    </xf>
    <xf numFmtId="165" fontId="3" fillId="0" borderId="0" xfId="2320" applyNumberFormat="1" applyFont="1" applyFill="1"/>
    <xf numFmtId="165" fontId="35" fillId="0" borderId="0" xfId="9" applyNumberFormat="1" applyFont="1" applyFill="1" applyAlignment="1" applyProtection="1">
      <protection locked="0"/>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76"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1" fontId="29" fillId="0" borderId="9" xfId="7" quotePrefix="1" applyNumberFormat="1" applyFont="1" applyFill="1" applyBorder="1" applyAlignment="1" applyProtection="1">
      <alignment horizontal="center" vertical="center" wrapText="1"/>
      <protection locked="0"/>
    </xf>
    <xf numFmtId="0" fontId="21" fillId="0" borderId="77"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horizontal="right" vertical="center"/>
    </xf>
    <xf numFmtId="165" fontId="35" fillId="0" borderId="7" xfId="7" applyNumberFormat="1" applyFont="1" applyFill="1" applyBorder="1" applyAlignment="1" applyProtection="1">
      <alignment vertical="center"/>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horizontal="righ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43" fillId="0" borderId="0" xfId="12" applyNumberFormat="1" applyFont="1" applyFill="1" applyAlignment="1">
      <alignment vertical="center"/>
    </xf>
    <xf numFmtId="165" fontId="21" fillId="0" borderId="0" xfId="12" applyNumberFormat="1" applyFont="1" applyFill="1" applyBorder="1" applyAlignment="1" applyProtection="1">
      <alignment vertical="center"/>
      <protection locked="0"/>
    </xf>
    <xf numFmtId="0" fontId="197" fillId="0" borderId="0" xfId="9" applyFont="1" applyFill="1" applyAlignment="1" applyProtection="1">
      <protection locked="0"/>
    </xf>
    <xf numFmtId="0" fontId="197" fillId="0" borderId="0" xfId="9" applyFont="1" applyFill="1" applyProtection="1">
      <protection locked="0"/>
    </xf>
    <xf numFmtId="165" fontId="192" fillId="0" borderId="0" xfId="9" applyNumberFormat="1" applyFont="1" applyFill="1" applyAlignment="1" applyProtection="1">
      <protection locked="0"/>
    </xf>
    <xf numFmtId="165" fontId="189" fillId="0" borderId="0" xfId="9" applyNumberFormat="1" applyFont="1" applyFill="1" applyAlignment="1" applyProtection="1">
      <alignment horizontal="right"/>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21" fillId="0" borderId="0" xfId="12" applyNumberFormat="1" applyFont="1" applyFill="1" applyAlignment="1">
      <alignment horizontal="left" vertical="center"/>
    </xf>
    <xf numFmtId="176" fontId="29" fillId="0" borderId="0" xfId="11" applyNumberFormat="1" applyFont="1" applyFill="1" applyProtection="1">
      <protection locked="0"/>
    </xf>
    <xf numFmtId="0" fontId="29" fillId="0" borderId="0" xfId="9" applyFont="1" applyFill="1" applyProtection="1">
      <protection locked="0"/>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21" fillId="0" borderId="9" xfId="16" quotePrefix="1" applyNumberFormat="1" applyFont="1" applyFill="1" applyBorder="1" applyAlignment="1">
      <alignment horizontal="center" vertical="center"/>
    </xf>
    <xf numFmtId="0" fontId="21" fillId="0" borderId="0" xfId="16" quotePrefix="1" applyNumberFormat="1" applyFont="1" applyFill="1" applyBorder="1" applyAlignment="1">
      <alignment horizontal="center"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193"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0" fontId="29" fillId="0" borderId="9" xfId="9" quotePrefix="1" applyFont="1" applyFill="1" applyBorder="1" applyAlignment="1">
      <alignment horizontal="center" vertical="center"/>
    </xf>
    <xf numFmtId="0" fontId="29" fillId="0" borderId="9" xfId="9" quotePrefix="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0" fontId="206"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72" fontId="193" fillId="0" borderId="0" xfId="12" applyNumberFormat="1" applyFont="1" applyFill="1" applyAlignment="1">
      <alignment vertical="center"/>
    </xf>
    <xf numFmtId="165" fontId="193"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49" fontId="21" fillId="0" borderId="9" xfId="12" quotePrefix="1"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165" fontId="193"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0" fontId="21" fillId="0" borderId="9" xfId="12" quotePrefix="1" applyNumberFormat="1" applyFont="1" applyFill="1" applyBorder="1" applyAlignment="1">
      <alignment horizontal="center" vertical="center" wrapText="1"/>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3"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1" fillId="0" borderId="0" xfId="18" applyNumberFormat="1" applyFill="1"/>
    <xf numFmtId="165" fontId="193"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165" fontId="25" fillId="0" borderId="10" xfId="16" applyNumberFormat="1" applyFont="1" applyFill="1" applyBorder="1" applyAlignment="1">
      <alignment horizontal="center" vertical="center" wrapText="1"/>
    </xf>
    <xf numFmtId="0" fontId="21" fillId="0" borderId="12" xfId="18" applyFont="1" applyFill="1" applyBorder="1"/>
    <xf numFmtId="165" fontId="46" fillId="0" borderId="0" xfId="18" applyNumberFormat="1"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8" applyNumberFormat="1" applyFont="1" applyFill="1" applyBorder="1"/>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46" fillId="0" borderId="11" xfId="18" applyNumberFormat="1" applyFont="1" applyFill="1" applyBorder="1" applyAlignment="1">
      <alignment vertical="center"/>
    </xf>
    <xf numFmtId="165" fontId="42" fillId="0" borderId="0" xfId="18" applyNumberFormat="1" applyFont="1" applyFill="1" applyBorder="1"/>
    <xf numFmtId="165" fontId="21" fillId="0" borderId="0" xfId="18" applyNumberFormat="1" applyFont="1" applyFill="1" applyBorder="1" applyAlignment="1">
      <alignment horizontal="left" indent="2"/>
    </xf>
    <xf numFmtId="165" fontId="21" fillId="0" borderId="12" xfId="18" applyNumberFormat="1" applyFont="1" applyFill="1" applyBorder="1" applyAlignment="1">
      <alignment horizontal="left" indent="1"/>
    </xf>
    <xf numFmtId="165" fontId="21" fillId="0" borderId="12" xfId="18" applyNumberFormat="1" applyFont="1" applyFill="1" applyBorder="1" applyAlignment="1">
      <alignment horizontal="right"/>
    </xf>
    <xf numFmtId="165" fontId="21" fillId="0" borderId="12" xfId="18" applyNumberFormat="1" applyFont="1" applyFill="1" applyBorder="1" applyAlignment="1">
      <alignment horizontal="center"/>
    </xf>
    <xf numFmtId="0" fontId="43" fillId="0" borderId="0" xfId="18" applyFont="1" applyFill="1"/>
    <xf numFmtId="194" fontId="21" fillId="0" borderId="0" xfId="13" applyNumberFormat="1" applyFont="1" applyFill="1"/>
    <xf numFmtId="175" fontId="192" fillId="0" borderId="0" xfId="21" applyNumberFormat="1" applyFont="1" applyFill="1" applyAlignment="1">
      <alignment vertical="center"/>
    </xf>
    <xf numFmtId="175" fontId="191"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93" fontId="35"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1"/>
    </xf>
    <xf numFmtId="193" fontId="29" fillId="0" borderId="0" xfId="21" applyNumberFormat="1" applyFont="1" applyFill="1" applyBorder="1"/>
    <xf numFmtId="193" fontId="29" fillId="0" borderId="0" xfId="21" applyNumberFormat="1" applyFont="1" applyFill="1" applyBorder="1" applyAlignment="1">
      <alignment horizontal="right"/>
    </xf>
    <xf numFmtId="193" fontId="29" fillId="0" borderId="0" xfId="21" applyNumberFormat="1" applyFont="1" applyFill="1" applyBorder="1" applyAlignment="1">
      <alignment horizontal="right" vertical="center"/>
    </xf>
    <xf numFmtId="193" fontId="29" fillId="0" borderId="0" xfId="21" applyNumberFormat="1" applyFont="1" applyFill="1" applyBorder="1" applyAlignment="1">
      <alignment vertical="center"/>
    </xf>
    <xf numFmtId="171" fontId="35" fillId="0" borderId="11" xfId="14" applyNumberFormat="1" applyFont="1" applyFill="1" applyBorder="1"/>
    <xf numFmtId="193" fontId="35" fillId="0" borderId="11" xfId="21" applyNumberFormat="1" applyFont="1" applyFill="1" applyBorder="1" applyAlignment="1">
      <alignment horizontal="right"/>
    </xf>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93" fontId="35" fillId="0" borderId="11" xfId="21" applyNumberFormat="1" applyFont="1" applyFill="1" applyBorder="1" applyAlignment="1">
      <alignment horizontal="righ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9" fillId="0" borderId="12" xfId="21" applyNumberFormat="1" applyFont="1" applyFill="1" applyBorder="1"/>
    <xf numFmtId="165" fontId="50" fillId="0" borderId="12" xfId="21"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165" fontId="35" fillId="0" borderId="0" xfId="40" applyNumberFormat="1" applyFont="1" applyFill="1" applyBorder="1" applyAlignment="1"/>
    <xf numFmtId="0" fontId="197" fillId="0" borderId="0" xfId="40" applyFont="1" applyFill="1" applyBorder="1" applyAlignment="1"/>
    <xf numFmtId="165" fontId="192" fillId="0" borderId="0" xfId="40" applyNumberFormat="1" applyFont="1" applyFill="1" applyBorder="1" applyAlignment="1"/>
    <xf numFmtId="165" fontId="189"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7"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7"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192" fillId="0" borderId="6" xfId="27" applyNumberFormat="1" applyFont="1" applyFill="1" applyBorder="1" applyAlignment="1">
      <alignment horizontal="right" vertical="center"/>
    </xf>
    <xf numFmtId="0" fontId="201"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4"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1" fillId="0" borderId="0" xfId="7" applyNumberFormat="1" applyFont="1" applyFill="1" applyBorder="1" applyAlignment="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46" fillId="0" borderId="0" xfId="18" applyNumberFormat="1" applyFont="1" applyFill="1" applyBorder="1" applyAlignment="1"/>
    <xf numFmtId="165" fontId="167"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3"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21" fillId="0" borderId="0" xfId="10" applyNumberFormat="1" applyFont="1" applyFill="1" applyBorder="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3"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25" fillId="0" borderId="11" xfId="18" applyNumberFormat="1" applyFont="1" applyFill="1" applyBorder="1" applyAlignment="1">
      <alignment vertical="center"/>
    </xf>
    <xf numFmtId="165" fontId="193"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165" fontId="193"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21" fillId="3" borderId="0" xfId="2577" applyNumberFormat="1" applyFont="1" applyFill="1" applyAlignment="1">
      <alignment vertical="center"/>
    </xf>
    <xf numFmtId="3" fontId="21" fillId="3" borderId="0" xfId="2577" applyNumberFormat="1" applyFont="1" applyFill="1" applyAlignment="1">
      <alignment vertical="center"/>
    </xf>
    <xf numFmtId="0" fontId="0" fillId="0" borderId="0" xfId="0" applyFill="1" applyBorder="1"/>
    <xf numFmtId="165" fontId="22" fillId="0" borderId="11" xfId="16" applyNumberFormat="1" applyFont="1" applyFill="1" applyBorder="1" applyAlignment="1">
      <alignment vertical="center"/>
    </xf>
    <xf numFmtId="165" fontId="29" fillId="0" borderId="0" xfId="18" applyNumberFormat="1" applyFont="1" applyFill="1" applyAlignment="1">
      <alignment vertical="center"/>
    </xf>
    <xf numFmtId="165" fontId="22" fillId="0" borderId="0" xfId="16" applyNumberFormat="1" applyFont="1" applyFill="1" applyBorder="1" applyAlignment="1">
      <alignment vertical="center"/>
    </xf>
    <xf numFmtId="165" fontId="21" fillId="0" borderId="25" xfId="39" applyNumberFormat="1" applyFont="1" applyFill="1" applyBorder="1" applyAlignment="1">
      <alignment vertical="center"/>
    </xf>
    <xf numFmtId="165" fontId="22" fillId="0" borderId="0" xfId="14" applyNumberFormat="1" applyFont="1" applyFill="1" applyBorder="1" applyAlignment="1">
      <alignment horizontal="right"/>
    </xf>
    <xf numFmtId="165" fontId="22" fillId="0" borderId="0" xfId="14" applyNumberFormat="1" applyFont="1" applyFill="1" applyAlignment="1"/>
    <xf numFmtId="165" fontId="21" fillId="0" borderId="0" xfId="16" applyNumberFormat="1" applyFont="1" applyFill="1" applyBorder="1" applyAlignment="1">
      <alignment horizontal="center" vertical="center" wrapText="1"/>
    </xf>
    <xf numFmtId="179" fontId="22" fillId="0" borderId="0" xfId="11" applyNumberFormat="1" applyFont="1" applyFill="1" applyBorder="1" applyAlignment="1">
      <alignment vertical="center"/>
    </xf>
    <xf numFmtId="0" fontId="21" fillId="0" borderId="107" xfId="12" applyNumberFormat="1" applyFont="1" applyFill="1" applyBorder="1" applyAlignment="1">
      <alignment horizontal="center" vertical="center" wrapText="1"/>
    </xf>
    <xf numFmtId="165" fontId="21" fillId="0" borderId="0" xfId="14" applyNumberFormat="1" applyFont="1" applyFill="1" applyAlignment="1">
      <alignment horizontal="left" vertical="center" wrapText="1"/>
    </xf>
    <xf numFmtId="165" fontId="40" fillId="0" borderId="0" xfId="19" applyNumberFormat="1" applyFont="1" applyFill="1" applyBorder="1"/>
    <xf numFmtId="165" fontId="21" fillId="0" borderId="11" xfId="16" applyNumberFormat="1" applyFont="1" applyFill="1" applyBorder="1" applyAlignment="1">
      <alignment horizontal="center" vertical="center" wrapText="1"/>
    </xf>
    <xf numFmtId="165" fontId="59" fillId="0" borderId="0" xfId="18" applyNumberFormat="1" applyFont="1" applyFill="1"/>
    <xf numFmtId="179" fontId="22" fillId="0" borderId="7" xfId="11" applyNumberFormat="1" applyFont="1" applyFill="1" applyBorder="1" applyAlignment="1">
      <alignment vertical="center"/>
    </xf>
    <xf numFmtId="179" fontId="46" fillId="0" borderId="0" xfId="11" applyNumberFormat="1" applyFont="1" applyFill="1" applyBorder="1" applyAlignment="1">
      <alignment vertical="center"/>
    </xf>
    <xf numFmtId="179" fontId="21" fillId="0" borderId="0" xfId="11" applyNumberFormat="1" applyFont="1" applyFill="1" applyBorder="1" applyAlignment="1">
      <alignment vertical="center"/>
    </xf>
    <xf numFmtId="179" fontId="21" fillId="0" borderId="0" xfId="11" applyNumberFormat="1" applyFont="1" applyFill="1" applyAlignment="1">
      <alignment vertical="center"/>
    </xf>
    <xf numFmtId="179" fontId="46" fillId="0" borderId="0" xfId="11" applyNumberFormat="1" applyFont="1" applyFill="1" applyAlignment="1">
      <alignment vertical="center"/>
    </xf>
    <xf numFmtId="0" fontId="21" fillId="0" borderId="9" xfId="12" applyNumberFormat="1" applyFont="1" applyFill="1" applyBorder="1" applyAlignment="1">
      <alignment horizontal="center" vertical="center" wrapText="1"/>
    </xf>
    <xf numFmtId="165" fontId="22" fillId="0" borderId="0" xfId="14" applyNumberFormat="1" applyFont="1" applyFill="1" applyAlignment="1">
      <alignment horizontal="right"/>
    </xf>
    <xf numFmtId="165" fontId="21" fillId="3" borderId="0" xfId="2609" applyNumberFormat="1" applyFont="1" applyFill="1" applyAlignment="1">
      <alignment vertical="center"/>
    </xf>
    <xf numFmtId="165" fontId="21" fillId="3" borderId="0" xfId="2610" applyNumberFormat="1" applyFont="1" applyFill="1" applyAlignment="1">
      <alignment vertical="center"/>
    </xf>
    <xf numFmtId="3" fontId="21" fillId="3" borderId="0" xfId="2610" applyNumberFormat="1" applyFont="1" applyFill="1" applyAlignment="1">
      <alignment vertical="center"/>
    </xf>
    <xf numFmtId="4" fontId="21" fillId="3" borderId="0" xfId="2610" applyNumberFormat="1" applyFont="1" applyFill="1" applyAlignment="1">
      <alignment vertical="center"/>
    </xf>
    <xf numFmtId="165" fontId="21" fillId="3" borderId="0" xfId="2611" applyNumberFormat="1" applyFont="1" applyFill="1" applyAlignment="1">
      <alignment vertical="center"/>
    </xf>
    <xf numFmtId="165" fontId="193" fillId="0" borderId="0" xfId="28" applyNumberFormat="1" applyFont="1" applyFill="1" applyBorder="1" applyAlignment="1"/>
    <xf numFmtId="0" fontId="201" fillId="0" borderId="0" xfId="7" applyFont="1" applyFill="1" applyBorder="1"/>
    <xf numFmtId="165" fontId="21" fillId="0" borderId="0" xfId="28" applyNumberFormat="1" applyFont="1" applyFill="1" applyBorder="1" applyAlignment="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3" fillId="0" borderId="0" xfId="2320" applyNumberFormat="1" applyFont="1" applyFill="1" applyAlignment="1">
      <alignment horizontal="right" vertical="center"/>
    </xf>
    <xf numFmtId="0" fontId="222" fillId="0" borderId="89" xfId="2320" applyFont="1" applyFill="1" applyBorder="1" applyAlignment="1">
      <alignment horizontal="center" vertical="center"/>
    </xf>
    <xf numFmtId="0" fontId="222" fillId="0" borderId="88" xfId="2320" applyFont="1" applyFill="1" applyBorder="1" applyAlignment="1">
      <alignment horizontal="center" vertical="center" wrapText="1"/>
    </xf>
    <xf numFmtId="165" fontId="222" fillId="0" borderId="87" xfId="2320" applyNumberFormat="1" applyFont="1" applyFill="1" applyBorder="1" applyAlignment="1">
      <alignment horizontal="center" vertical="center" wrapText="1"/>
    </xf>
    <xf numFmtId="0" fontId="3" fillId="0" borderId="0" xfId="2320" applyFont="1" applyFill="1" applyAlignment="1">
      <alignment vertical="center"/>
    </xf>
    <xf numFmtId="0" fontId="24" fillId="0" borderId="11" xfId="2320" applyFont="1" applyFill="1" applyBorder="1"/>
    <xf numFmtId="165" fontId="24" fillId="0" borderId="11" xfId="2320" applyNumberFormat="1" applyFont="1" applyFill="1" applyBorder="1"/>
    <xf numFmtId="0" fontId="1" fillId="0" borderId="0" xfId="2320" applyFont="1" applyFill="1" applyAlignment="1">
      <alignment vertical="center"/>
    </xf>
    <xf numFmtId="0" fontId="50" fillId="0" borderId="0" xfId="2320" applyFont="1" applyFill="1"/>
    <xf numFmtId="165" fontId="50" fillId="0" borderId="0" xfId="2320" applyNumberFormat="1" applyFont="1" applyFill="1"/>
    <xf numFmtId="0" fontId="24" fillId="0" borderId="0" xfId="2320" applyFont="1" applyFill="1" applyBorder="1"/>
    <xf numFmtId="165" fontId="24" fillId="0" borderId="0" xfId="2320" applyNumberFormat="1" applyFont="1" applyFill="1" applyBorder="1"/>
    <xf numFmtId="0" fontId="34" fillId="0" borderId="11" xfId="2320" applyFont="1" applyFill="1" applyBorder="1"/>
    <xf numFmtId="165" fontId="50" fillId="0" borderId="0" xfId="2320" applyNumberFormat="1" applyFont="1" applyFill="1" applyAlignment="1">
      <alignment horizontal="left" vertical="center" wrapText="1"/>
    </xf>
    <xf numFmtId="0" fontId="217" fillId="0" borderId="0" xfId="2320" applyFont="1" applyFill="1" applyAlignment="1">
      <alignment horizontal="left" vertical="center" wrapText="1"/>
    </xf>
    <xf numFmtId="0" fontId="50" fillId="0" borderId="0" xfId="2320" applyFont="1" applyFill="1" applyAlignment="1">
      <alignment horizontal="left" wrapText="1"/>
    </xf>
    <xf numFmtId="165" fontId="50" fillId="0" borderId="0" xfId="2320" applyNumberFormat="1" applyFont="1" applyFill="1" applyAlignment="1">
      <alignment horizontal="left" wrapText="1"/>
    </xf>
    <xf numFmtId="0" fontId="226" fillId="0" borderId="0" xfId="2320" applyFont="1" applyFill="1"/>
    <xf numFmtId="165" fontId="29" fillId="3" borderId="0" xfId="29" applyNumberFormat="1" applyFont="1" applyFill="1" applyBorder="1" applyAlignment="1">
      <alignment horizontal="left" vertical="top"/>
    </xf>
    <xf numFmtId="165" fontId="46" fillId="3" borderId="0" xfId="14" applyNumberFormat="1" applyFont="1" applyFill="1" applyAlignment="1"/>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5" fillId="3" borderId="22"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5" fillId="3" borderId="7" xfId="30" applyFont="1"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25" fillId="3" borderId="24" xfId="12" quotePrefix="1"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49" fontId="25" fillId="3" borderId="20" xfId="12" applyNumberFormat="1" applyFont="1" applyFill="1" applyBorder="1" applyAlignment="1">
      <alignment horizontal="center" vertical="center" wrapText="1"/>
    </xf>
    <xf numFmtId="165" fontId="50" fillId="3" borderId="0" xfId="30" applyNumberFormat="1" applyFont="1" applyFill="1" applyAlignment="1">
      <alignment horizontal="right"/>
    </xf>
    <xf numFmtId="0" fontId="60" fillId="3" borderId="7" xfId="30" applyFill="1" applyBorder="1"/>
    <xf numFmtId="165" fontId="22" fillId="3" borderId="22" xfId="14" applyNumberFormat="1" applyFont="1" applyFill="1" applyBorder="1" applyAlignment="1">
      <alignment vertical="center"/>
    </xf>
    <xf numFmtId="165" fontId="46" fillId="3" borderId="0" xfId="14" applyNumberFormat="1" applyFont="1" applyFill="1" applyBorder="1" applyAlignment="1">
      <alignment horizontal="right"/>
    </xf>
    <xf numFmtId="165" fontId="25" fillId="0" borderId="0" xfId="12" applyNumberFormat="1" applyFont="1" applyFill="1" applyBorder="1" applyAlignment="1">
      <alignment horizontal="center"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81" fontId="21" fillId="0" borderId="0" xfId="15" applyNumberFormat="1" applyFont="1" applyFill="1" applyBorder="1" applyAlignment="1">
      <alignment vertical="center"/>
    </xf>
    <xf numFmtId="184" fontId="21" fillId="0" borderId="0" xfId="15" applyNumberFormat="1" applyFont="1" applyFill="1" applyBorder="1" applyAlignment="1">
      <alignmen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3"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1" fillId="0" borderId="0" xfId="2321" applyNumberFormat="1" applyFont="1" applyFill="1"/>
    <xf numFmtId="0" fontId="50" fillId="0" borderId="0" xfId="2320" applyFont="1" applyFill="1" applyAlignment="1">
      <alignment horizontal="left" vertical="center" wrapText="1"/>
    </xf>
    <xf numFmtId="165" fontId="29" fillId="0" borderId="0" xfId="9" applyNumberFormat="1" applyFont="1" applyFill="1" applyAlignment="1" applyProtection="1">
      <alignment vertical="center" wrapText="1"/>
      <protection locked="0"/>
    </xf>
    <xf numFmtId="0" fontId="11" fillId="0" borderId="0" xfId="18" applyFill="1" applyAlignment="1">
      <alignment wrapText="1"/>
    </xf>
    <xf numFmtId="165" fontId="222" fillId="0" borderId="87" xfId="2320" applyNumberFormat="1" applyFont="1" applyFill="1" applyBorder="1" applyAlignment="1">
      <alignment horizontal="center" vertical="center"/>
    </xf>
    <xf numFmtId="165" fontId="3" fillId="0" borderId="0" xfId="2320" applyNumberFormat="1" applyFont="1" applyFill="1" applyAlignment="1">
      <alignment vertical="center" wrapText="1"/>
    </xf>
    <xf numFmtId="165" fontId="3" fillId="0" borderId="0" xfId="2321" applyNumberFormat="1" applyFont="1" applyFill="1"/>
    <xf numFmtId="165" fontId="46" fillId="0" borderId="0" xfId="15" applyNumberFormat="1" applyFont="1" applyFill="1" applyAlignment="1">
      <alignment horizontal="right"/>
    </xf>
    <xf numFmtId="0" fontId="1" fillId="0" borderId="104"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0" fontId="32" fillId="0" borderId="0" xfId="18" applyFont="1" applyFill="1" applyAlignment="1">
      <alignment horizontal="right"/>
    </xf>
    <xf numFmtId="165" fontId="21" fillId="0" borderId="6" xfId="16" applyNumberFormat="1" applyFont="1" applyFill="1" applyBorder="1" applyAlignment="1">
      <alignment horizontal="left" vertical="center" indent="2"/>
    </xf>
    <xf numFmtId="165" fontId="21" fillId="0" borderId="6" xfId="16" applyNumberFormat="1" applyFont="1" applyFill="1" applyBorder="1" applyAlignment="1">
      <alignment horizontal="right" vertical="center"/>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0" fontId="191" fillId="0" borderId="0" xfId="7" applyFont="1" applyFill="1" applyBorder="1" applyAlignment="1"/>
    <xf numFmtId="0" fontId="190" fillId="0" borderId="0" xfId="7" applyFont="1" applyFill="1" applyAlignment="1"/>
    <xf numFmtId="3" fontId="190" fillId="0" borderId="0" xfId="7" applyNumberFormat="1" applyFont="1" applyFill="1" applyAlignment="1"/>
    <xf numFmtId="165" fontId="46" fillId="0" borderId="0" xfId="15" applyNumberFormat="1" applyFont="1" applyFill="1" applyBorder="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3" xfId="15" applyNumberFormat="1" applyFont="1" applyFill="1" applyBorder="1" applyAlignment="1">
      <alignment horizontal="center" vertical="center"/>
    </xf>
    <xf numFmtId="165" fontId="25" fillId="0" borderId="7" xfId="15" applyNumberFormat="1" applyFont="1" applyFill="1" applyBorder="1" applyAlignment="1">
      <alignment horizontal="center" vertical="center" wrapText="1"/>
    </xf>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4" fillId="0" borderId="0" xfId="0" applyFont="1" applyFill="1" applyBorder="1"/>
    <xf numFmtId="0" fontId="30" fillId="0" borderId="0" xfId="9" quotePrefix="1" applyFont="1" applyFill="1" applyBorder="1" applyAlignment="1" applyProtection="1">
      <alignment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1" fillId="0" borderId="0" xfId="7" applyFont="1" applyFill="1" applyBorder="1"/>
    <xf numFmtId="165" fontId="24" fillId="0" borderId="0" xfId="9" applyNumberFormat="1" applyFont="1" applyFill="1" applyBorder="1" applyAlignment="1">
      <alignment vertical="center"/>
    </xf>
    <xf numFmtId="165" fontId="21" fillId="0" borderId="0" xfId="9" applyNumberFormat="1" applyFont="1" applyFill="1" applyBorder="1" applyAlignment="1">
      <alignment horizontal="right" vertical="center"/>
    </xf>
    <xf numFmtId="165" fontId="29" fillId="0" borderId="0" xfId="27" applyNumberFormat="1" applyFont="1" applyFill="1" applyBorder="1" applyAlignment="1" applyProtection="1">
      <alignment horizontal="left" vertical="center" indent="3"/>
      <protection locked="0"/>
    </xf>
    <xf numFmtId="0" fontId="0" fillId="0" borderId="0" xfId="0" applyFill="1" applyAlignment="1">
      <alignment horizontal="right"/>
    </xf>
    <xf numFmtId="0" fontId="191" fillId="0" borderId="0" xfId="7" applyFont="1" applyFill="1"/>
    <xf numFmtId="165" fontId="30" fillId="0" borderId="0" xfId="0"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170" fontId="215" fillId="0" borderId="0" xfId="7" applyNumberFormat="1" applyFont="1" applyFill="1"/>
    <xf numFmtId="165" fontId="4" fillId="0" borderId="0" xfId="15" applyNumberFormat="1" applyFont="1" applyFill="1" applyBorder="1" applyAlignment="1">
      <alignment vertical="center"/>
    </xf>
    <xf numFmtId="165" fontId="24" fillId="0" borderId="0" xfId="15" applyNumberFormat="1" applyFont="1" applyFill="1" applyBorder="1" applyAlignment="1"/>
    <xf numFmtId="165" fontId="24" fillId="0" borderId="0" xfId="15" applyNumberFormat="1" applyFont="1" applyFill="1" applyBorder="1" applyAlignment="1">
      <alignment horizontal="right"/>
    </xf>
    <xf numFmtId="0" fontId="11" fillId="0" borderId="3" xfId="7" applyFill="1" applyBorder="1"/>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0" fontId="4" fillId="0" borderId="0" xfId="7" applyFont="1" applyFill="1" applyBorder="1"/>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9" quotePrefix="1"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9" fillId="0" borderId="0" xfId="7" applyNumberFormat="1" applyFont="1" applyFill="1" applyAlignment="1">
      <alignment vertical="center"/>
    </xf>
    <xf numFmtId="165" fontId="11" fillId="0" borderId="0" xfId="7" applyNumberFormat="1" applyFill="1" applyBorder="1"/>
    <xf numFmtId="165" fontId="35" fillId="0" borderId="0" xfId="10" applyNumberFormat="1" applyFont="1" applyFill="1" applyAlignment="1">
      <alignment vertical="center"/>
    </xf>
    <xf numFmtId="165" fontId="193" fillId="0" borderId="0" xfId="5" applyNumberFormat="1" applyFont="1" applyFill="1" applyAlignment="1">
      <alignment vertical="center"/>
    </xf>
    <xf numFmtId="165" fontId="193"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3" fillId="0" borderId="3" xfId="5" applyNumberFormat="1" applyFont="1" applyFill="1" applyBorder="1" applyAlignment="1">
      <alignment vertical="center"/>
    </xf>
    <xf numFmtId="165" fontId="229" fillId="0" borderId="6" xfId="5" applyNumberFormat="1" applyFont="1" applyFill="1" applyBorder="1" applyAlignment="1">
      <alignment vertical="center"/>
    </xf>
    <xf numFmtId="165" fontId="229" fillId="0" borderId="4" xfId="5" quotePrefix="1" applyNumberFormat="1" applyFont="1" applyFill="1" applyBorder="1" applyAlignment="1">
      <alignment horizontal="center" vertical="center"/>
    </xf>
    <xf numFmtId="165" fontId="229" fillId="0" borderId="4" xfId="6" applyNumberFormat="1" applyFont="1" applyFill="1" applyBorder="1" applyAlignment="1">
      <alignment horizontal="center" vertical="center"/>
    </xf>
    <xf numFmtId="165" fontId="229" fillId="0" borderId="5" xfId="6" applyNumberFormat="1" applyFont="1" applyFill="1" applyBorder="1" applyAlignment="1">
      <alignment horizontal="center" vertical="center"/>
    </xf>
    <xf numFmtId="165" fontId="229" fillId="0" borderId="3" xfId="5" applyNumberFormat="1" applyFont="1" applyFill="1" applyBorder="1" applyAlignment="1">
      <alignment vertical="center"/>
    </xf>
    <xf numFmtId="165" fontId="229" fillId="0" borderId="3" xfId="5" quotePrefix="1" applyNumberFormat="1" applyFont="1" applyFill="1" applyBorder="1" applyAlignment="1">
      <alignment horizontal="right" vertical="center"/>
    </xf>
    <xf numFmtId="165" fontId="229" fillId="0" borderId="3" xfId="6" applyNumberFormat="1" applyFont="1" applyFill="1" applyBorder="1" applyAlignment="1">
      <alignment horizontal="right" vertical="center"/>
    </xf>
    <xf numFmtId="165" fontId="59" fillId="0" borderId="0" xfId="7" applyNumberFormat="1" applyFont="1" applyFill="1" applyBorder="1"/>
    <xf numFmtId="165" fontId="229" fillId="0" borderId="0" xfId="5" applyNumberFormat="1" applyFont="1" applyFill="1" applyBorder="1" applyAlignment="1">
      <alignment vertical="center"/>
    </xf>
    <xf numFmtId="165" fontId="229" fillId="0" borderId="0" xfId="5" quotePrefix="1" applyNumberFormat="1" applyFont="1" applyFill="1" applyBorder="1" applyAlignment="1">
      <alignment horizontal="right" vertical="center"/>
    </xf>
    <xf numFmtId="165" fontId="229" fillId="0" borderId="0" xfId="6" applyNumberFormat="1" applyFont="1" applyFill="1" applyBorder="1" applyAlignment="1">
      <alignment horizontal="right" vertical="center"/>
    </xf>
    <xf numFmtId="165" fontId="229" fillId="0" borderId="0" xfId="5" applyNumberFormat="1" applyFont="1" applyFill="1" applyBorder="1" applyAlignment="1">
      <alignment horizontal="left" vertical="center"/>
    </xf>
    <xf numFmtId="165" fontId="229" fillId="0" borderId="0" xfId="5" applyNumberFormat="1" applyFont="1" applyFill="1" applyBorder="1" applyAlignment="1">
      <alignment horizontal="right" vertical="center"/>
    </xf>
    <xf numFmtId="165" fontId="229"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32" fillId="0" borderId="0" xfId="5" applyNumberFormat="1" applyFont="1" applyFill="1" applyBorder="1" applyAlignment="1">
      <alignment horizontal="right" vertical="center"/>
    </xf>
    <xf numFmtId="165" fontId="232" fillId="0" borderId="0" xfId="11" applyNumberFormat="1" applyFont="1" applyFill="1" applyBorder="1" applyAlignment="1">
      <alignment horizontal="right" vertical="center"/>
    </xf>
    <xf numFmtId="165" fontId="229"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9"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165" fontId="46" fillId="3" borderId="0" xfId="32" applyNumberFormat="1" applyFont="1" applyFill="1" applyAlignment="1">
      <alignment horizontal="right"/>
    </xf>
    <xf numFmtId="165" fontId="193" fillId="3" borderId="0" xfId="33" applyNumberFormat="1" applyFont="1" applyFill="1" applyAlignment="1">
      <alignment vertical="center"/>
    </xf>
    <xf numFmtId="165" fontId="46" fillId="3" borderId="0" xfId="14"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4" applyNumberFormat="1" applyFont="1" applyFill="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4"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16" applyNumberFormat="1" applyFont="1" applyFill="1" applyBorder="1" applyAlignment="1">
      <alignment horizontal="left" vertical="center" indent="1"/>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7" xfId="16" applyNumberFormat="1" applyFont="1" applyFill="1" applyBorder="1" applyAlignment="1">
      <alignment vertical="center"/>
    </xf>
    <xf numFmtId="165" fontId="59" fillId="3" borderId="0" xfId="18" applyNumberFormat="1" applyFont="1" applyFill="1"/>
    <xf numFmtId="165" fontId="191" fillId="0" borderId="0" xfId="18" applyNumberFormat="1" applyFont="1" applyFill="1"/>
    <xf numFmtId="43" fontId="44" fillId="0" borderId="0" xfId="42" applyFont="1" applyFill="1" applyAlignment="1">
      <alignment horizontal="left" vertical="center"/>
    </xf>
    <xf numFmtId="0" fontId="44" fillId="0" borderId="0" xfId="15" applyFont="1" applyFill="1" applyAlignment="1">
      <alignment horizontal="left" vertical="center"/>
    </xf>
    <xf numFmtId="0" fontId="204"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44" fillId="0" borderId="0" xfId="15" applyNumberFormat="1" applyFont="1" applyFill="1" applyAlignment="1">
      <alignment horizontal="left" vertical="center"/>
    </xf>
    <xf numFmtId="165" fontId="237" fillId="0" borderId="0" xfId="15" applyNumberFormat="1" applyFont="1" applyFill="1" applyAlignment="1">
      <alignment vertical="center"/>
    </xf>
    <xf numFmtId="0" fontId="238" fillId="0" borderId="0" xfId="15" applyFont="1" applyFill="1" applyAlignment="1">
      <alignment horizontal="left" vertical="center"/>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9" fillId="0" borderId="0" xfId="5" applyNumberFormat="1" applyFont="1" applyFill="1" applyBorder="1" applyAlignment="1">
      <alignment horizontal="left" vertical="top" wrapText="1"/>
    </xf>
    <xf numFmtId="165" fontId="229"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168" fontId="23" fillId="3" borderId="0" xfId="7" applyNumberFormat="1" applyFont="1" applyFill="1" applyAlignment="1">
      <alignment horizontal="center" vertical="center"/>
    </xf>
    <xf numFmtId="165" fontId="25" fillId="0" borderId="7" xfId="15" applyNumberFormat="1" applyFont="1" applyFill="1" applyBorder="1" applyAlignment="1">
      <alignment horizontal="center" vertical="center"/>
    </xf>
    <xf numFmtId="0" fontId="30" fillId="0" borderId="7" xfId="9" quotePrefix="1" applyFont="1" applyFill="1" applyBorder="1" applyAlignment="1" applyProtection="1">
      <alignment horizontal="center" vertical="center"/>
      <protection locked="0"/>
    </xf>
    <xf numFmtId="0" fontId="29" fillId="0" borderId="0" xfId="7" applyFont="1" applyFill="1" applyAlignment="1">
      <alignment horizontal="left" vertical="center" wrapText="1"/>
    </xf>
    <xf numFmtId="165" fontId="25" fillId="0" borderId="3" xfId="15" applyNumberFormat="1" applyFont="1" applyFill="1" applyBorder="1" applyAlignment="1">
      <alignment horizontal="center" vertical="center" wrapText="1"/>
    </xf>
    <xf numFmtId="165" fontId="25" fillId="0" borderId="6" xfId="15" applyNumberFormat="1" applyFont="1" applyFill="1" applyBorder="1" applyAlignment="1">
      <alignment horizontal="center" vertical="center" wrapText="1"/>
    </xf>
    <xf numFmtId="165" fontId="21" fillId="0" borderId="0" xfId="12" applyNumberFormat="1" applyFont="1" applyFill="1" applyBorder="1" applyAlignment="1" applyProtection="1">
      <alignment horizontal="left" vertical="top" wrapText="1"/>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91"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2"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226" fillId="0" borderId="0" xfId="2320" applyFont="1" applyFill="1" applyAlignment="1">
      <alignment horizontal="left" wrapText="1"/>
    </xf>
    <xf numFmtId="0" fontId="50" fillId="0" borderId="0" xfId="2320" applyFont="1" applyFill="1" applyAlignment="1">
      <alignment horizontal="left" vertical="center" wrapText="1"/>
    </xf>
    <xf numFmtId="0" fontId="196" fillId="0" borderId="0" xfId="41" applyFont="1" applyFill="1" applyBorder="1" applyAlignment="1">
      <alignment horizontal="left" wrapText="1"/>
    </xf>
    <xf numFmtId="0" fontId="50" fillId="0" borderId="0" xfId="2320" applyFont="1" applyFill="1" applyAlignment="1">
      <alignment vertical="top" wrapText="1"/>
    </xf>
    <xf numFmtId="0" fontId="50" fillId="0" borderId="0" xfId="2320" applyFont="1" applyFill="1" applyAlignment="1">
      <alignment horizontal="left" vertical="top" wrapText="1"/>
    </xf>
    <xf numFmtId="0" fontId="50" fillId="0" borderId="0" xfId="2320" applyFont="1" applyFill="1" applyAlignment="1">
      <alignment horizontal="justify" vertical="center" wrapText="1"/>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65" fontId="21" fillId="0" borderId="0" xfId="12" applyNumberFormat="1" applyFont="1" applyFill="1" applyAlignment="1">
      <alignment horizontal="left" vertical="center" wrapText="1"/>
    </xf>
    <xf numFmtId="165" fontId="30" fillId="0" borderId="13" xfId="12" quotePrefix="1" applyNumberFormat="1" applyFont="1" applyFill="1" applyBorder="1" applyAlignment="1" applyProtection="1">
      <alignment horizontal="center" vertical="center" wrapText="1"/>
      <protection locked="0"/>
    </xf>
    <xf numFmtId="165" fontId="30" fillId="0" borderId="14" xfId="12" quotePrefix="1" applyNumberFormat="1" applyFont="1" applyFill="1" applyBorder="1" applyAlignment="1" applyProtection="1">
      <alignment horizontal="center" vertical="center" wrapText="1"/>
      <protection locked="0"/>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2" fontId="25" fillId="0" borderId="9" xfId="12" applyNumberFormat="1" applyFont="1" applyFill="1" applyBorder="1" applyAlignment="1">
      <alignment horizontal="center" vertical="center" wrapText="1"/>
    </xf>
    <xf numFmtId="165" fontId="29" fillId="0" borderId="0" xfId="9" applyNumberFormat="1" applyFont="1" applyFill="1" applyAlignment="1" applyProtection="1">
      <alignment vertical="center" wrapText="1"/>
      <protection locked="0"/>
    </xf>
    <xf numFmtId="165" fontId="25" fillId="0" borderId="9" xfId="16" applyNumberFormat="1" applyFont="1" applyFill="1" applyBorder="1" applyAlignment="1">
      <alignment horizontal="center" vertical="center"/>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90"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3" xfId="27" applyNumberFormat="1" applyFont="1" applyFill="1" applyBorder="1" applyAlignment="1">
      <alignment horizontal="center" vertical="center"/>
    </xf>
    <xf numFmtId="0" fontId="40"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0" fontId="71" fillId="0" borderId="0" xfId="19" applyFont="1" applyFill="1" applyAlignment="1">
      <alignment horizontal="left" vertical="top" wrapText="1"/>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0" applyNumberFormat="1" applyFont="1" applyFill="1" applyBorder="1" applyAlignment="1">
      <alignment horizontal="center" vertical="center" wrapText="1"/>
    </xf>
    <xf numFmtId="165" fontId="25" fillId="3" borderId="20" xfId="0"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0" fontId="29" fillId="0" borderId="0" xfId="0" applyFont="1" applyFill="1" applyAlignment="1">
      <alignment horizontal="left" vertical="top" wrapText="1"/>
    </xf>
    <xf numFmtId="0" fontId="11" fillId="3" borderId="0" xfId="18" applyFill="1" applyAlignment="1">
      <alignment wrapText="1"/>
    </xf>
    <xf numFmtId="3" fontId="35" fillId="0" borderId="11" xfId="29" applyNumberFormat="1" applyFont="1" applyFill="1" applyBorder="1" applyAlignment="1">
      <alignment horizontal="left" vertical="center"/>
    </xf>
    <xf numFmtId="0" fontId="202" fillId="0" borderId="26" xfId="18" applyFont="1" applyFill="1" applyBorder="1" applyAlignment="1">
      <alignment horizontal="center" vertical="center" textRotation="90"/>
    </xf>
    <xf numFmtId="0" fontId="202" fillId="0" borderId="27" xfId="18" applyFont="1" applyFill="1" applyBorder="1" applyAlignment="1">
      <alignment horizontal="center" vertical="center" textRotation="90"/>
    </xf>
    <xf numFmtId="0" fontId="202" fillId="0" borderId="29" xfId="18" applyFont="1" applyFill="1" applyBorder="1" applyAlignment="1">
      <alignment horizontal="center" vertical="center" textRotation="90"/>
    </xf>
    <xf numFmtId="165" fontId="29" fillId="0" borderId="8" xfId="14" applyNumberFormat="1" applyFont="1" applyFill="1" applyBorder="1" applyAlignment="1">
      <alignment horizontal="center" vertical="center" wrapText="1"/>
    </xf>
    <xf numFmtId="165" fontId="29" fillId="0" borderId="12"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0" fontId="25" fillId="0" borderId="94"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5" xfId="0" applyFont="1" applyFill="1" applyBorder="1" applyAlignment="1">
      <alignment horizontal="center" vertical="center"/>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0" fontId="21" fillId="0" borderId="0" xfId="18" quotePrefix="1" applyFont="1" applyFill="1" applyBorder="1" applyAlignment="1">
      <alignment horizontal="left" vertical="center" wrapText="1"/>
    </xf>
    <xf numFmtId="165" fontId="25" fillId="0" borderId="11" xfId="15" applyNumberFormat="1" applyFont="1" applyFill="1" applyBorder="1" applyAlignment="1">
      <alignment horizontal="center" vertical="center" wrapText="1"/>
    </xf>
    <xf numFmtId="165" fontId="21" fillId="0" borderId="0" xfId="14" applyNumberFormat="1" applyFont="1" applyFill="1" applyAlignment="1">
      <alignment horizontal="left" vertical="center" wrapText="1"/>
    </xf>
    <xf numFmtId="0" fontId="216" fillId="0" borderId="79" xfId="0" applyFont="1" applyFill="1" applyBorder="1" applyAlignment="1">
      <alignment horizontal="center"/>
    </xf>
    <xf numFmtId="0" fontId="216" fillId="0" borderId="73" xfId="0" applyFont="1" applyFill="1" applyBorder="1" applyAlignment="1">
      <alignment horizont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19" fillId="0" borderId="83" xfId="1" applyNumberFormat="1" applyFont="1" applyFill="1" applyBorder="1" applyAlignment="1">
      <alignment horizontal="left" vertical="center"/>
    </xf>
    <xf numFmtId="0" fontId="217" fillId="0" borderId="86" xfId="0" applyFont="1" applyFill="1" applyBorder="1" applyAlignment="1">
      <alignment horizontal="left" vertical="top" wrapText="1"/>
    </xf>
    <xf numFmtId="0" fontId="217" fillId="0" borderId="0" xfId="0" applyFont="1" applyFill="1" applyAlignment="1">
      <alignment horizontal="left" vertical="top" wrapText="1"/>
    </xf>
    <xf numFmtId="0" fontId="48" fillId="0" borderId="30" xfId="0" applyFont="1" applyFill="1" applyBorder="1" applyAlignment="1">
      <alignment horizontal="center" vertical="center"/>
    </xf>
  </cellXfs>
  <cellStyles count="2612">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19010000}"/>
    <cellStyle name="Comma 2 2" xfId="319" xr:uid="{00000000-0005-0000-0000-000002020000}"/>
    <cellStyle name="Comma 2 2 2" xfId="1098" xr:uid="{00000000-0005-0000-0000-000003020000}"/>
    <cellStyle name="Comma 2 2 3" xfId="1099" xr:uid="{00000000-0005-0000-0000-000004020000}"/>
    <cellStyle name="Comma 2 2 4" xfId="1625" xr:uid="{00000000-0005-0000-0000-000005020000}"/>
    <cellStyle name="Comma 2 2 5" xfId="1097" xr:uid="{00000000-0005-0000-0000-000006020000}"/>
    <cellStyle name="Comma 2 3" xfId="320" xr:uid="{00000000-0005-0000-0000-000007020000}"/>
    <cellStyle name="Comma 2 3 2" xfId="1101" xr:uid="{00000000-0005-0000-0000-000008020000}"/>
    <cellStyle name="Comma 2 3 3" xfId="1102" xr:uid="{00000000-0005-0000-0000-000009020000}"/>
    <cellStyle name="Comma 2 3 4" xfId="1626" xr:uid="{00000000-0005-0000-0000-00000A020000}"/>
    <cellStyle name="Comma 2 3 5" xfId="1100" xr:uid="{00000000-0005-0000-0000-00000B020000}"/>
    <cellStyle name="Comma 2 4" xfId="321" xr:uid="{00000000-0005-0000-0000-00000C020000}"/>
    <cellStyle name="Comma 2 4 2" xfId="1104" xr:uid="{00000000-0005-0000-0000-00000D020000}"/>
    <cellStyle name="Comma 2 4 3" xfId="1105" xr:uid="{00000000-0005-0000-0000-00000E020000}"/>
    <cellStyle name="Comma 2 4 4" xfId="1627" xr:uid="{00000000-0005-0000-0000-00000F020000}"/>
    <cellStyle name="Comma 2 4 5" xfId="1103" xr:uid="{00000000-0005-0000-0000-000010020000}"/>
    <cellStyle name="Comma 2 5" xfId="322" xr:uid="{00000000-0005-0000-0000-000011020000}"/>
    <cellStyle name="Comma 2 5 2" xfId="1107" xr:uid="{00000000-0005-0000-0000-000012020000}"/>
    <cellStyle name="Comma 2 5 3" xfId="1108" xr:uid="{00000000-0005-0000-0000-000013020000}"/>
    <cellStyle name="Comma 2 5 4" xfId="1628" xr:uid="{00000000-0005-0000-0000-000014020000}"/>
    <cellStyle name="Comma 2 5 5" xfId="1106" xr:uid="{00000000-0005-0000-0000-000015020000}"/>
    <cellStyle name="Comma 2 6" xfId="323" xr:uid="{00000000-0005-0000-0000-000016020000}"/>
    <cellStyle name="Comma 2 6 2" xfId="1110" xr:uid="{00000000-0005-0000-0000-000017020000}"/>
    <cellStyle name="Comma 2 6 3" xfId="1111" xr:uid="{00000000-0005-0000-0000-000018020000}"/>
    <cellStyle name="Comma 2 6 4" xfId="1629" xr:uid="{00000000-0005-0000-0000-000019020000}"/>
    <cellStyle name="Comma 2 6 5" xfId="1109" xr:uid="{00000000-0005-0000-0000-00001A020000}"/>
    <cellStyle name="Comma 2 7" xfId="324" xr:uid="{00000000-0005-0000-0000-00001B020000}"/>
    <cellStyle name="Comma 2 7 2" xfId="325" xr:uid="{00000000-0005-0000-0000-00001C020000}"/>
    <cellStyle name="Comma 2 7 2 10" xfId="2579" xr:uid="{00000000-0005-0000-0000-000020010000}"/>
    <cellStyle name="Comma 2 7 2 2" xfId="1113" xr:uid="{00000000-0005-0000-0000-00001D020000}"/>
    <cellStyle name="Comma 2 7 2 3" xfId="2275" xr:uid="{00000000-0005-0000-0000-00001E020000}"/>
    <cellStyle name="Comma 2 7 2 4" xfId="2370" xr:uid="{00000000-0005-0000-0000-00001F020000}"/>
    <cellStyle name="Comma 2 7 2 5" xfId="2405" xr:uid="{00000000-0005-0000-0000-000020020000}"/>
    <cellStyle name="Comma 2 7 2 6" xfId="2440" xr:uid="{00000000-0005-0000-0000-000021020000}"/>
    <cellStyle name="Comma 2 7 2 7" xfId="2475" xr:uid="{00000000-0005-0000-0000-000022020000}"/>
    <cellStyle name="Comma 2 7 2 8" xfId="2510" xr:uid="{00000000-0005-0000-0000-000023020000}"/>
    <cellStyle name="Comma 2 7 2 9" xfId="2544" xr:uid="{00000000-0005-0000-0000-000024020000}"/>
    <cellStyle name="Comma 2 7 3" xfId="326" xr:uid="{00000000-0005-0000-0000-000025020000}"/>
    <cellStyle name="Comma 2 7 3 10" xfId="2580" xr:uid="{00000000-0005-0000-0000-000021010000}"/>
    <cellStyle name="Comma 2 7 3 2" xfId="1114" xr:uid="{00000000-0005-0000-0000-000026020000}"/>
    <cellStyle name="Comma 2 7 3 3" xfId="2276" xr:uid="{00000000-0005-0000-0000-000027020000}"/>
    <cellStyle name="Comma 2 7 3 4" xfId="2371" xr:uid="{00000000-0005-0000-0000-000028020000}"/>
    <cellStyle name="Comma 2 7 3 5" xfId="2406" xr:uid="{00000000-0005-0000-0000-000029020000}"/>
    <cellStyle name="Comma 2 7 3 6" xfId="2441" xr:uid="{00000000-0005-0000-0000-00002A020000}"/>
    <cellStyle name="Comma 2 7 3 7" xfId="2476" xr:uid="{00000000-0005-0000-0000-00002B020000}"/>
    <cellStyle name="Comma 2 7 3 8" xfId="2511" xr:uid="{00000000-0005-0000-0000-00002C020000}"/>
    <cellStyle name="Comma 2 7 3 9" xfId="2545" xr:uid="{00000000-0005-0000-0000-00002D020000}"/>
    <cellStyle name="Comma 2 7 4" xfId="327" xr:uid="{00000000-0005-0000-0000-00002E020000}"/>
    <cellStyle name="Comma 2 7 4 10" xfId="2581" xr:uid="{00000000-0005-0000-0000-000022010000}"/>
    <cellStyle name="Comma 2 7 4 2" xfId="1115" xr:uid="{00000000-0005-0000-0000-00002F020000}"/>
    <cellStyle name="Comma 2 7 4 3" xfId="2277" xr:uid="{00000000-0005-0000-0000-000030020000}"/>
    <cellStyle name="Comma 2 7 4 4" xfId="2372" xr:uid="{00000000-0005-0000-0000-000031020000}"/>
    <cellStyle name="Comma 2 7 4 5" xfId="2407" xr:uid="{00000000-0005-0000-0000-000032020000}"/>
    <cellStyle name="Comma 2 7 4 6" xfId="2442" xr:uid="{00000000-0005-0000-0000-000033020000}"/>
    <cellStyle name="Comma 2 7 4 7" xfId="2477" xr:uid="{00000000-0005-0000-0000-000034020000}"/>
    <cellStyle name="Comma 2 7 4 8" xfId="2512" xr:uid="{00000000-0005-0000-0000-000035020000}"/>
    <cellStyle name="Comma 2 7 4 9" xfId="2546" xr:uid="{00000000-0005-0000-0000-000036020000}"/>
    <cellStyle name="Comma 2 7 5" xfId="1116" xr:uid="{00000000-0005-0000-0000-000037020000}"/>
    <cellStyle name="Comma 2 7 6" xfId="1117" xr:uid="{00000000-0005-0000-0000-000038020000}"/>
    <cellStyle name="Comma 2 7 7" xfId="1630" xr:uid="{00000000-0005-0000-0000-000039020000}"/>
    <cellStyle name="Comma 2 7 8" xfId="1112" xr:uid="{00000000-0005-0000-0000-00003A020000}"/>
    <cellStyle name="Comma 2 8" xfId="328" xr:uid="{00000000-0005-0000-0000-00003B020000}"/>
    <cellStyle name="Comma 2 8 2" xfId="1119" xr:uid="{00000000-0005-0000-0000-00003C020000}"/>
    <cellStyle name="Comma 2 8 3" xfId="1120" xr:uid="{00000000-0005-0000-0000-00003D020000}"/>
    <cellStyle name="Comma 2 8 4" xfId="1631" xr:uid="{00000000-0005-0000-0000-00003E020000}"/>
    <cellStyle name="Comma 2 8 5" xfId="1118" xr:uid="{00000000-0005-0000-0000-00003F020000}"/>
    <cellStyle name="Comma 2 9" xfId="1096" xr:uid="{00000000-0005-0000-0000-000040020000}"/>
    <cellStyle name="Comma 3" xfId="329" xr:uid="{00000000-0005-0000-0000-000041020000}"/>
    <cellStyle name="Comma 3 10" xfId="2513" xr:uid="{00000000-0005-0000-0000-000042020000}"/>
    <cellStyle name="Comma 3 11" xfId="2547" xr:uid="{00000000-0005-0000-0000-000043020000}"/>
    <cellStyle name="Comma 3 12" xfId="2582" xr:uid="{00000000-0005-0000-0000-000024010000}"/>
    <cellStyle name="Comma 3 2" xfId="330" xr:uid="{00000000-0005-0000-0000-000044020000}"/>
    <cellStyle name="Comma 3 2 2" xfId="1951" xr:uid="{00000000-0005-0000-0000-000045020000}"/>
    <cellStyle name="Comma 3 3" xfId="1952" xr:uid="{00000000-0005-0000-0000-000046020000}"/>
    <cellStyle name="Comma 3 4" xfId="1121" xr:uid="{00000000-0005-0000-0000-000047020000}"/>
    <cellStyle name="Comma 3 5" xfId="2278" xr:uid="{00000000-0005-0000-0000-000048020000}"/>
    <cellStyle name="Comma 3 6" xfId="2373" xr:uid="{00000000-0005-0000-0000-000049020000}"/>
    <cellStyle name="Comma 3 7" xfId="2408" xr:uid="{00000000-0005-0000-0000-00004A020000}"/>
    <cellStyle name="Comma 3 8" xfId="2443" xr:uid="{00000000-0005-0000-0000-00004B020000}"/>
    <cellStyle name="Comma 3 9" xfId="2478" xr:uid="{00000000-0005-0000-0000-00004C020000}"/>
    <cellStyle name="Comma 8" xfId="331" xr:uid="{00000000-0005-0000-0000-00004D020000}"/>
    <cellStyle name="Comma 8 10" xfId="2479" xr:uid="{00000000-0005-0000-0000-00004E020000}"/>
    <cellStyle name="Comma 8 11" xfId="2514" xr:uid="{00000000-0005-0000-0000-00004F020000}"/>
    <cellStyle name="Comma 8 12" xfId="2548" xr:uid="{00000000-0005-0000-0000-000050020000}"/>
    <cellStyle name="Comma 8 13" xfId="2583" xr:uid="{00000000-0005-0000-0000-000026010000}"/>
    <cellStyle name="Comma 8 2" xfId="332" xr:uid="{00000000-0005-0000-0000-000051020000}"/>
    <cellStyle name="Comma 8 2 10" xfId="2584" xr:uid="{00000000-0005-0000-0000-000027010000}"/>
    <cellStyle name="Comma 8 2 2" xfId="1123" xr:uid="{00000000-0005-0000-0000-000052020000}"/>
    <cellStyle name="Comma 8 2 3" xfId="2280" xr:uid="{00000000-0005-0000-0000-000053020000}"/>
    <cellStyle name="Comma 8 2 4" xfId="2375" xr:uid="{00000000-0005-0000-0000-000054020000}"/>
    <cellStyle name="Comma 8 2 5" xfId="2410" xr:uid="{00000000-0005-0000-0000-000055020000}"/>
    <cellStyle name="Comma 8 2 6" xfId="2445" xr:uid="{00000000-0005-0000-0000-000056020000}"/>
    <cellStyle name="Comma 8 2 7" xfId="2480" xr:uid="{00000000-0005-0000-0000-000057020000}"/>
    <cellStyle name="Comma 8 2 8" xfId="2515" xr:uid="{00000000-0005-0000-0000-000058020000}"/>
    <cellStyle name="Comma 8 2 9" xfId="2549" xr:uid="{00000000-0005-0000-0000-000059020000}"/>
    <cellStyle name="Comma 8 3" xfId="333" xr:uid="{00000000-0005-0000-0000-00005A020000}"/>
    <cellStyle name="Comma 8 3 10" xfId="2585" xr:uid="{00000000-0005-0000-0000-000028010000}"/>
    <cellStyle name="Comma 8 3 2" xfId="1124" xr:uid="{00000000-0005-0000-0000-00005B020000}"/>
    <cellStyle name="Comma 8 3 3" xfId="2281" xr:uid="{00000000-0005-0000-0000-00005C020000}"/>
    <cellStyle name="Comma 8 3 4" xfId="2376" xr:uid="{00000000-0005-0000-0000-00005D020000}"/>
    <cellStyle name="Comma 8 3 5" xfId="2411" xr:uid="{00000000-0005-0000-0000-00005E020000}"/>
    <cellStyle name="Comma 8 3 6" xfId="2446" xr:uid="{00000000-0005-0000-0000-00005F020000}"/>
    <cellStyle name="Comma 8 3 7" xfId="2481" xr:uid="{00000000-0005-0000-0000-000060020000}"/>
    <cellStyle name="Comma 8 3 8" xfId="2516" xr:uid="{00000000-0005-0000-0000-000061020000}"/>
    <cellStyle name="Comma 8 3 9" xfId="2550" xr:uid="{00000000-0005-0000-0000-000062020000}"/>
    <cellStyle name="Comma 8 4" xfId="334" xr:uid="{00000000-0005-0000-0000-000063020000}"/>
    <cellStyle name="Comma 8 4 10" xfId="2586" xr:uid="{00000000-0005-0000-0000-000029010000}"/>
    <cellStyle name="Comma 8 4 2" xfId="1125" xr:uid="{00000000-0005-0000-0000-000064020000}"/>
    <cellStyle name="Comma 8 4 3" xfId="2282" xr:uid="{00000000-0005-0000-0000-000065020000}"/>
    <cellStyle name="Comma 8 4 4" xfId="2377" xr:uid="{00000000-0005-0000-0000-000066020000}"/>
    <cellStyle name="Comma 8 4 5" xfId="2412" xr:uid="{00000000-0005-0000-0000-000067020000}"/>
    <cellStyle name="Comma 8 4 6" xfId="2447" xr:uid="{00000000-0005-0000-0000-000068020000}"/>
    <cellStyle name="Comma 8 4 7" xfId="2482" xr:uid="{00000000-0005-0000-0000-000069020000}"/>
    <cellStyle name="Comma 8 4 8" xfId="2517" xr:uid="{00000000-0005-0000-0000-00006A020000}"/>
    <cellStyle name="Comma 8 4 9" xfId="2551" xr:uid="{00000000-0005-0000-0000-00006B020000}"/>
    <cellStyle name="Comma 8 5" xfId="1122" xr:uid="{00000000-0005-0000-0000-00006C020000}"/>
    <cellStyle name="Comma 8 6" xfId="2279" xr:uid="{00000000-0005-0000-0000-00006D020000}"/>
    <cellStyle name="Comma 8 7" xfId="2374" xr:uid="{00000000-0005-0000-0000-00006E020000}"/>
    <cellStyle name="Comma 8 8" xfId="2409" xr:uid="{00000000-0005-0000-0000-00006F020000}"/>
    <cellStyle name="Comma 8 9" xfId="2444" xr:uid="{00000000-0005-0000-0000-000070020000}"/>
    <cellStyle name="COMMA_Serviço por económica 2014_20131212" xfId="1632" xr:uid="{00000000-0005-0000-0000-000071020000}"/>
    <cellStyle name="Comma0" xfId="335" xr:uid="{00000000-0005-0000-0000-000072020000}"/>
    <cellStyle name="Comma0 2" xfId="1953" xr:uid="{00000000-0005-0000-0000-000073020000}"/>
    <cellStyle name="Cor1 2" xfId="336" xr:uid="{00000000-0005-0000-0000-000074020000}"/>
    <cellStyle name="Cor1 3" xfId="337" xr:uid="{00000000-0005-0000-0000-000075020000}"/>
    <cellStyle name="Cor1 4" xfId="338" xr:uid="{00000000-0005-0000-0000-000076020000}"/>
    <cellStyle name="Cor2 2" xfId="339" xr:uid="{00000000-0005-0000-0000-000077020000}"/>
    <cellStyle name="Cor2 3" xfId="340" xr:uid="{00000000-0005-0000-0000-000078020000}"/>
    <cellStyle name="Cor2 4" xfId="341" xr:uid="{00000000-0005-0000-0000-000079020000}"/>
    <cellStyle name="Cor3 2" xfId="342" xr:uid="{00000000-0005-0000-0000-00007A020000}"/>
    <cellStyle name="Cor3 3" xfId="343" xr:uid="{00000000-0005-0000-0000-00007B020000}"/>
    <cellStyle name="Cor3 4" xfId="344" xr:uid="{00000000-0005-0000-0000-00007C020000}"/>
    <cellStyle name="Cor4 2" xfId="345" xr:uid="{00000000-0005-0000-0000-00007D020000}"/>
    <cellStyle name="Cor4 3" xfId="346" xr:uid="{00000000-0005-0000-0000-00007E020000}"/>
    <cellStyle name="Cor4 4" xfId="347" xr:uid="{00000000-0005-0000-0000-00007F020000}"/>
    <cellStyle name="Cor5 2" xfId="348" xr:uid="{00000000-0005-0000-0000-000080020000}"/>
    <cellStyle name="Cor5 3" xfId="349" xr:uid="{00000000-0005-0000-0000-000081020000}"/>
    <cellStyle name="Cor5 4" xfId="350" xr:uid="{00000000-0005-0000-0000-000082020000}"/>
    <cellStyle name="Cor6 2" xfId="351" xr:uid="{00000000-0005-0000-0000-000083020000}"/>
    <cellStyle name="Cor6 3" xfId="352" xr:uid="{00000000-0005-0000-0000-000084020000}"/>
    <cellStyle name="Cor6 4" xfId="353" xr:uid="{00000000-0005-0000-0000-000085020000}"/>
    <cellStyle name="Correcto 10" xfId="354" xr:uid="{00000000-0005-0000-0000-000086020000}"/>
    <cellStyle name="Correcto 10 2" xfId="1633" xr:uid="{00000000-0005-0000-0000-000087020000}"/>
    <cellStyle name="Correcto 11" xfId="355" xr:uid="{00000000-0005-0000-0000-000088020000}"/>
    <cellStyle name="Correcto 11 2" xfId="1634" xr:uid="{00000000-0005-0000-0000-000089020000}"/>
    <cellStyle name="Correcto 2" xfId="356" xr:uid="{00000000-0005-0000-0000-00008A020000}"/>
    <cellStyle name="Correcto 2 10" xfId="357" xr:uid="{00000000-0005-0000-0000-00008B020000}"/>
    <cellStyle name="Correcto 2 11" xfId="358" xr:uid="{00000000-0005-0000-0000-00008C020000}"/>
    <cellStyle name="Correcto 2 12" xfId="944" xr:uid="{00000000-0005-0000-0000-00008D020000}"/>
    <cellStyle name="Correcto 2 2" xfId="359" xr:uid="{00000000-0005-0000-0000-00008E020000}"/>
    <cellStyle name="Correcto 2 3" xfId="360" xr:uid="{00000000-0005-0000-0000-00008F020000}"/>
    <cellStyle name="Correcto 2 4" xfId="361" xr:uid="{00000000-0005-0000-0000-000090020000}"/>
    <cellStyle name="Correcto 2 5" xfId="362" xr:uid="{00000000-0005-0000-0000-000091020000}"/>
    <cellStyle name="Correcto 2 6" xfId="363" xr:uid="{00000000-0005-0000-0000-000092020000}"/>
    <cellStyle name="Correcto 2 7" xfId="364" xr:uid="{00000000-0005-0000-0000-000093020000}"/>
    <cellStyle name="Correcto 2 8" xfId="365" xr:uid="{00000000-0005-0000-0000-000094020000}"/>
    <cellStyle name="Correcto 2 9" xfId="366" xr:uid="{00000000-0005-0000-0000-000095020000}"/>
    <cellStyle name="Correcto 2_DGO" xfId="1635" xr:uid="{00000000-0005-0000-0000-000096020000}"/>
    <cellStyle name="Correcto 3" xfId="367" xr:uid="{00000000-0005-0000-0000-000097020000}"/>
    <cellStyle name="Correcto 4" xfId="368" xr:uid="{00000000-0005-0000-0000-000098020000}"/>
    <cellStyle name="Correcto 5" xfId="369" xr:uid="{00000000-0005-0000-0000-000099020000}"/>
    <cellStyle name="Correcto 5 2" xfId="1636" xr:uid="{00000000-0005-0000-0000-00009A020000}"/>
    <cellStyle name="Correcto 6" xfId="370" xr:uid="{00000000-0005-0000-0000-00009B020000}"/>
    <cellStyle name="Correcto 6 2" xfId="1637" xr:uid="{00000000-0005-0000-0000-00009C020000}"/>
    <cellStyle name="Correcto 7" xfId="371" xr:uid="{00000000-0005-0000-0000-00009D020000}"/>
    <cellStyle name="Correcto 7 2" xfId="1638" xr:uid="{00000000-0005-0000-0000-00009E020000}"/>
    <cellStyle name="Correcto 8" xfId="372" xr:uid="{00000000-0005-0000-0000-00009F020000}"/>
    <cellStyle name="Correcto 8 2" xfId="1639" xr:uid="{00000000-0005-0000-0000-0000A0020000}"/>
    <cellStyle name="Correcto 9" xfId="373" xr:uid="{00000000-0005-0000-0000-0000A1020000}"/>
    <cellStyle name="Correcto 9 2" xfId="1640" xr:uid="{00000000-0005-0000-0000-0000A2020000}"/>
    <cellStyle name="Correto" xfId="2" builtinId="26"/>
    <cellStyle name="CURRENCY" xfId="374" xr:uid="{00000000-0005-0000-0000-0000A4020000}"/>
    <cellStyle name="Currency [00]" xfId="1641" xr:uid="{00000000-0005-0000-0000-0000A5020000}"/>
    <cellStyle name="Currency [00] 2" xfId="1954" xr:uid="{00000000-0005-0000-0000-0000A6020000}"/>
    <cellStyle name="Currency [2]" xfId="375" xr:uid="{00000000-0005-0000-0000-0000A7020000}"/>
    <cellStyle name="Currency [2] 2" xfId="1955" xr:uid="{00000000-0005-0000-0000-0000A8020000}"/>
    <cellStyle name="Currency 2" xfId="376" xr:uid="{00000000-0005-0000-0000-0000A9020000}"/>
    <cellStyle name="Currency 2 10" xfId="1126" xr:uid="{00000000-0005-0000-0000-0000AA020000}"/>
    <cellStyle name="Currency 2 11" xfId="1642" xr:uid="{00000000-0005-0000-0000-0000AB020000}"/>
    <cellStyle name="Currency 2 2" xfId="377" xr:uid="{00000000-0005-0000-0000-0000AC020000}"/>
    <cellStyle name="Currency 2 2 2" xfId="1127" xr:uid="{00000000-0005-0000-0000-0000AD020000}"/>
    <cellStyle name="Currency 2 2 3" xfId="1128" xr:uid="{00000000-0005-0000-0000-0000AE020000}"/>
    <cellStyle name="Currency 2 2 4" xfId="1643" xr:uid="{00000000-0005-0000-0000-0000AF020000}"/>
    <cellStyle name="Currency 2 3" xfId="378" xr:uid="{00000000-0005-0000-0000-0000B0020000}"/>
    <cellStyle name="Currency 2 3 2" xfId="1129" xr:uid="{00000000-0005-0000-0000-0000B1020000}"/>
    <cellStyle name="Currency 2 3 3" xfId="1130" xr:uid="{00000000-0005-0000-0000-0000B2020000}"/>
    <cellStyle name="Currency 2 3 4" xfId="1644" xr:uid="{00000000-0005-0000-0000-0000B3020000}"/>
    <cellStyle name="Currency 2 4" xfId="379" xr:uid="{00000000-0005-0000-0000-0000B4020000}"/>
    <cellStyle name="Currency 2 4 2" xfId="1131" xr:uid="{00000000-0005-0000-0000-0000B5020000}"/>
    <cellStyle name="Currency 2 4 3" xfId="1132" xr:uid="{00000000-0005-0000-0000-0000B6020000}"/>
    <cellStyle name="Currency 2 4 4" xfId="1645" xr:uid="{00000000-0005-0000-0000-0000B7020000}"/>
    <cellStyle name="Currency 2 5" xfId="380" xr:uid="{00000000-0005-0000-0000-0000B8020000}"/>
    <cellStyle name="Currency 2 5 2" xfId="1133" xr:uid="{00000000-0005-0000-0000-0000B9020000}"/>
    <cellStyle name="Currency 2 5 3" xfId="1134" xr:uid="{00000000-0005-0000-0000-0000BA020000}"/>
    <cellStyle name="Currency 2 5 4" xfId="1646" xr:uid="{00000000-0005-0000-0000-0000BB020000}"/>
    <cellStyle name="Currency 2 6" xfId="381" xr:uid="{00000000-0005-0000-0000-0000BC020000}"/>
    <cellStyle name="Currency 2 6 2" xfId="1135" xr:uid="{00000000-0005-0000-0000-0000BD020000}"/>
    <cellStyle name="Currency 2 6 3" xfId="1136" xr:uid="{00000000-0005-0000-0000-0000BE020000}"/>
    <cellStyle name="Currency 2 6 4" xfId="1647" xr:uid="{00000000-0005-0000-0000-0000BF020000}"/>
    <cellStyle name="Currency 2 7" xfId="382" xr:uid="{00000000-0005-0000-0000-0000C0020000}"/>
    <cellStyle name="Currency 2 7 2" xfId="1137" xr:uid="{00000000-0005-0000-0000-0000C1020000}"/>
    <cellStyle name="Currency 2 7 3" xfId="1138" xr:uid="{00000000-0005-0000-0000-0000C2020000}"/>
    <cellStyle name="Currency 2 7 4" xfId="1648" xr:uid="{00000000-0005-0000-0000-0000C3020000}"/>
    <cellStyle name="Currency 2 8" xfId="383" xr:uid="{00000000-0005-0000-0000-0000C4020000}"/>
    <cellStyle name="Currency 2 8 2" xfId="1139" xr:uid="{00000000-0005-0000-0000-0000C5020000}"/>
    <cellStyle name="Currency 2 8 3" xfId="1140" xr:uid="{00000000-0005-0000-0000-0000C6020000}"/>
    <cellStyle name="Currency 2 8 4" xfId="1649" xr:uid="{00000000-0005-0000-0000-0000C7020000}"/>
    <cellStyle name="Currency 2 9" xfId="1141" xr:uid="{00000000-0005-0000-0000-0000C8020000}"/>
    <cellStyle name="Currency0" xfId="384" xr:uid="{00000000-0005-0000-0000-0000C9020000}"/>
    <cellStyle name="Currency0 2" xfId="1956" xr:uid="{00000000-0005-0000-0000-0000CA020000}"/>
    <cellStyle name="DATE" xfId="385" xr:uid="{00000000-0005-0000-0000-0000CB020000}"/>
    <cellStyle name="Date [mmm-yy]" xfId="386" xr:uid="{00000000-0005-0000-0000-0000CC020000}"/>
    <cellStyle name="Date 2" xfId="945" xr:uid="{00000000-0005-0000-0000-0000CD020000}"/>
    <cellStyle name="Date Short" xfId="1650" xr:uid="{00000000-0005-0000-0000-0000CE020000}"/>
    <cellStyle name="Date_Copiar de Saldos" xfId="1957" xr:uid="{00000000-0005-0000-0000-0000CF020000}"/>
    <cellStyle name="dsf" xfId="387" xr:uid="{00000000-0005-0000-0000-0000D0020000}"/>
    <cellStyle name="dsf 2" xfId="1142" xr:uid="{00000000-0005-0000-0000-0000D1020000}"/>
    <cellStyle name="dsf 2 2" xfId="1202" xr:uid="{00000000-0005-0000-0000-0000D2020000}"/>
    <cellStyle name="dsf 3" xfId="1203" xr:uid="{00000000-0005-0000-0000-0000D3020000}"/>
    <cellStyle name="Emphasis 1" xfId="388" xr:uid="{00000000-0005-0000-0000-0000D4020000}"/>
    <cellStyle name="Emphasis 2" xfId="389" xr:uid="{00000000-0005-0000-0000-0000D5020000}"/>
    <cellStyle name="Emphasis 3" xfId="390" xr:uid="{00000000-0005-0000-0000-0000D6020000}"/>
    <cellStyle name="Ênfase1" xfId="1651" xr:uid="{00000000-0005-0000-0000-0000D7020000}"/>
    <cellStyle name="Ênfase2" xfId="1652" xr:uid="{00000000-0005-0000-0000-0000D8020000}"/>
    <cellStyle name="Ênfase3" xfId="1653" xr:uid="{00000000-0005-0000-0000-0000D9020000}"/>
    <cellStyle name="Ênfase4" xfId="1654" xr:uid="{00000000-0005-0000-0000-0000DA020000}"/>
    <cellStyle name="Ênfase5" xfId="1655" xr:uid="{00000000-0005-0000-0000-0000DB020000}"/>
    <cellStyle name="Ênfase6" xfId="1656" xr:uid="{00000000-0005-0000-0000-0000DC020000}"/>
    <cellStyle name="Enter Currency (0)" xfId="1657" xr:uid="{00000000-0005-0000-0000-0000DD020000}"/>
    <cellStyle name="Enter Currency (2)" xfId="1658" xr:uid="{00000000-0005-0000-0000-0000DE020000}"/>
    <cellStyle name="Enter Units (0)" xfId="1659" xr:uid="{00000000-0005-0000-0000-0000DF020000}"/>
    <cellStyle name="Enter Units (1)" xfId="1660" xr:uid="{00000000-0005-0000-0000-0000E0020000}"/>
    <cellStyle name="Enter Units (2)" xfId="1661" xr:uid="{00000000-0005-0000-0000-0000E1020000}"/>
    <cellStyle name="Entrada 10" xfId="391" xr:uid="{00000000-0005-0000-0000-0000E2020000}"/>
    <cellStyle name="Entrada 10 2" xfId="1662" xr:uid="{00000000-0005-0000-0000-0000E3020000}"/>
    <cellStyle name="Entrada 11" xfId="392" xr:uid="{00000000-0005-0000-0000-0000E4020000}"/>
    <cellStyle name="Entrada 11 2" xfId="1663" xr:uid="{00000000-0005-0000-0000-0000E5020000}"/>
    <cellStyle name="Entrada 2" xfId="393" xr:uid="{00000000-0005-0000-0000-0000E6020000}"/>
    <cellStyle name="Entrada 2 10" xfId="394" xr:uid="{00000000-0005-0000-0000-0000E7020000}"/>
    <cellStyle name="Entrada 2 11" xfId="395" xr:uid="{00000000-0005-0000-0000-0000E8020000}"/>
    <cellStyle name="Entrada 2 12" xfId="946" xr:uid="{00000000-0005-0000-0000-0000E9020000}"/>
    <cellStyle name="Entrada 2 13" xfId="1143" xr:uid="{00000000-0005-0000-0000-0000EA020000}"/>
    <cellStyle name="Entrada 2 2" xfId="396" xr:uid="{00000000-0005-0000-0000-0000EB020000}"/>
    <cellStyle name="Entrada 2 2 2" xfId="947" xr:uid="{00000000-0005-0000-0000-0000EC020000}"/>
    <cellStyle name="Entrada 2 3" xfId="397" xr:uid="{00000000-0005-0000-0000-0000ED020000}"/>
    <cellStyle name="Entrada 2 3 2" xfId="948" xr:uid="{00000000-0005-0000-0000-0000EE020000}"/>
    <cellStyle name="Entrada 2 4" xfId="398" xr:uid="{00000000-0005-0000-0000-0000EF020000}"/>
    <cellStyle name="Entrada 2 4 2" xfId="949" xr:uid="{00000000-0005-0000-0000-0000F0020000}"/>
    <cellStyle name="Entrada 2 5" xfId="399" xr:uid="{00000000-0005-0000-0000-0000F1020000}"/>
    <cellStyle name="Entrada 2 6" xfId="400" xr:uid="{00000000-0005-0000-0000-0000F2020000}"/>
    <cellStyle name="Entrada 2 7" xfId="401" xr:uid="{00000000-0005-0000-0000-0000F3020000}"/>
    <cellStyle name="Entrada 2 8" xfId="402" xr:uid="{00000000-0005-0000-0000-0000F4020000}"/>
    <cellStyle name="Entrada 2 9" xfId="403" xr:uid="{00000000-0005-0000-0000-0000F5020000}"/>
    <cellStyle name="Entrada 2_DGO" xfId="1664" xr:uid="{00000000-0005-0000-0000-0000F6020000}"/>
    <cellStyle name="Entrada 3" xfId="404" xr:uid="{00000000-0005-0000-0000-0000F7020000}"/>
    <cellStyle name="Entrada 4" xfId="405" xr:uid="{00000000-0005-0000-0000-0000F8020000}"/>
    <cellStyle name="Entrada 5" xfId="406" xr:uid="{00000000-0005-0000-0000-0000F9020000}"/>
    <cellStyle name="Entrada 5 2" xfId="1665" xr:uid="{00000000-0005-0000-0000-0000FA020000}"/>
    <cellStyle name="Entrada 6" xfId="407" xr:uid="{00000000-0005-0000-0000-0000FB020000}"/>
    <cellStyle name="Entrada 6 2" xfId="1666" xr:uid="{00000000-0005-0000-0000-0000FC020000}"/>
    <cellStyle name="Entrada 7" xfId="408" xr:uid="{00000000-0005-0000-0000-0000FD020000}"/>
    <cellStyle name="Entrada 7 2" xfId="1667" xr:uid="{00000000-0005-0000-0000-0000FE020000}"/>
    <cellStyle name="Entrada 8" xfId="409" xr:uid="{00000000-0005-0000-0000-0000FF020000}"/>
    <cellStyle name="Entrada 8 2" xfId="1668" xr:uid="{00000000-0005-0000-0000-000000030000}"/>
    <cellStyle name="Entrada 9" xfId="410" xr:uid="{00000000-0005-0000-0000-000001030000}"/>
    <cellStyle name="Entrada 9 2" xfId="1669" xr:uid="{00000000-0005-0000-0000-000002030000}"/>
    <cellStyle name="Estilo 1" xfId="411" xr:uid="{00000000-0005-0000-0000-000003030000}"/>
    <cellStyle name="Estilo 1 10" xfId="412" xr:uid="{00000000-0005-0000-0000-000004030000}"/>
    <cellStyle name="Estilo 1 10 2" xfId="1958" xr:uid="{00000000-0005-0000-0000-000005030000}"/>
    <cellStyle name="Estilo 1 11" xfId="413" xr:uid="{00000000-0005-0000-0000-000006030000}"/>
    <cellStyle name="Estilo 1 11 2" xfId="1959" xr:uid="{00000000-0005-0000-0000-000007030000}"/>
    <cellStyle name="Estilo 1 12" xfId="414" xr:uid="{00000000-0005-0000-0000-000008030000}"/>
    <cellStyle name="Estilo 1 12 2" xfId="1960" xr:uid="{00000000-0005-0000-0000-000009030000}"/>
    <cellStyle name="Estilo 1 13" xfId="950" xr:uid="{00000000-0005-0000-0000-00000A030000}"/>
    <cellStyle name="Estilo 1 13 2" xfId="1961" xr:uid="{00000000-0005-0000-0000-00000B030000}"/>
    <cellStyle name="Estilo 1 2" xfId="415" xr:uid="{00000000-0005-0000-0000-00000C030000}"/>
    <cellStyle name="Estilo 1 2 2" xfId="1962" xr:uid="{00000000-0005-0000-0000-00000D030000}"/>
    <cellStyle name="Estilo 1 3" xfId="416" xr:uid="{00000000-0005-0000-0000-00000E030000}"/>
    <cellStyle name="Estilo 1 3 2" xfId="1963" xr:uid="{00000000-0005-0000-0000-00000F030000}"/>
    <cellStyle name="Estilo 1 4" xfId="417" xr:uid="{00000000-0005-0000-0000-000010030000}"/>
    <cellStyle name="Estilo 1 4 2" xfId="1964" xr:uid="{00000000-0005-0000-0000-000011030000}"/>
    <cellStyle name="Estilo 1 5" xfId="418" xr:uid="{00000000-0005-0000-0000-000012030000}"/>
    <cellStyle name="Estilo 1 5 2" xfId="1965" xr:uid="{00000000-0005-0000-0000-000013030000}"/>
    <cellStyle name="Estilo 1 6" xfId="419" xr:uid="{00000000-0005-0000-0000-000014030000}"/>
    <cellStyle name="Estilo 1 6 2" xfId="1966" xr:uid="{00000000-0005-0000-0000-000015030000}"/>
    <cellStyle name="Estilo 1 7" xfId="420" xr:uid="{00000000-0005-0000-0000-000016030000}"/>
    <cellStyle name="Estilo 1 7 2" xfId="1967" xr:uid="{00000000-0005-0000-0000-000017030000}"/>
    <cellStyle name="Estilo 1 8" xfId="421" xr:uid="{00000000-0005-0000-0000-000018030000}"/>
    <cellStyle name="Estilo 1 8 2" xfId="1968" xr:uid="{00000000-0005-0000-0000-000019030000}"/>
    <cellStyle name="Estilo 1 9" xfId="422" xr:uid="{00000000-0005-0000-0000-00001A030000}"/>
    <cellStyle name="Estilo 1 9 2" xfId="1969" xr:uid="{00000000-0005-0000-0000-00001B030000}"/>
    <cellStyle name="Estilo 1_Livro1" xfId="1670" xr:uid="{00000000-0005-0000-0000-00001C030000}"/>
    <cellStyle name="Euro" xfId="423" xr:uid="{00000000-0005-0000-0000-00001D030000}"/>
    <cellStyle name="Euro 2" xfId="424" xr:uid="{00000000-0005-0000-0000-00001E030000}"/>
    <cellStyle name="Euro 2 10" xfId="2324" xr:uid="{00000000-0005-0000-0000-00001F030000}"/>
    <cellStyle name="Euro 2 11" xfId="2336" xr:uid="{00000000-0005-0000-0000-000020030000}"/>
    <cellStyle name="Euro 2 12" xfId="2347" xr:uid="{00000000-0005-0000-0000-000021030000}"/>
    <cellStyle name="Euro 2 13" xfId="2358" xr:uid="{00000000-0005-0000-0000-000022030000}"/>
    <cellStyle name="Euro 2 14" xfId="2378" xr:uid="{00000000-0005-0000-0000-000023030000}"/>
    <cellStyle name="Euro 2 15" xfId="2413" xr:uid="{00000000-0005-0000-0000-000024030000}"/>
    <cellStyle name="Euro 2 16" xfId="2448" xr:uid="{00000000-0005-0000-0000-000025030000}"/>
    <cellStyle name="Euro 2 17" xfId="2483" xr:uid="{00000000-0005-0000-0000-000026030000}"/>
    <cellStyle name="Euro 2 18" xfId="2518" xr:uid="{00000000-0005-0000-0000-000027030000}"/>
    <cellStyle name="Euro 2 19" xfId="2552" xr:uid="{00000000-0005-0000-0000-000028030000}"/>
    <cellStyle name="Euro 2 2" xfId="425" xr:uid="{00000000-0005-0000-0000-000029030000}"/>
    <cellStyle name="Euro 2 2 10" xfId="2359" xr:uid="{00000000-0005-0000-0000-00002A030000}"/>
    <cellStyle name="Euro 2 2 11" xfId="2379" xr:uid="{00000000-0005-0000-0000-00002B030000}"/>
    <cellStyle name="Euro 2 2 12" xfId="2414" xr:uid="{00000000-0005-0000-0000-00002C030000}"/>
    <cellStyle name="Euro 2 2 13" xfId="2449" xr:uid="{00000000-0005-0000-0000-00002D030000}"/>
    <cellStyle name="Euro 2 2 14" xfId="2484" xr:uid="{00000000-0005-0000-0000-00002E030000}"/>
    <cellStyle name="Euro 2 2 15" xfId="2519" xr:uid="{00000000-0005-0000-0000-00002F030000}"/>
    <cellStyle name="Euro 2 2 16" xfId="2553" xr:uid="{00000000-0005-0000-0000-000030030000}"/>
    <cellStyle name="Euro 2 2 17" xfId="2588" xr:uid="{00000000-0005-0000-0000-000084010000}"/>
    <cellStyle name="Euro 2 2 2" xfId="1144" xr:uid="{00000000-0005-0000-0000-000031030000}"/>
    <cellStyle name="Euro 2 2 3" xfId="2251" xr:uid="{00000000-0005-0000-0000-000032030000}"/>
    <cellStyle name="Euro 2 2 4" xfId="2264" xr:uid="{00000000-0005-0000-0000-000033030000}"/>
    <cellStyle name="Euro 2 2 5" xfId="2284" xr:uid="{00000000-0005-0000-0000-000034030000}"/>
    <cellStyle name="Euro 2 2 6" xfId="2311" xr:uid="{00000000-0005-0000-0000-000035030000}"/>
    <cellStyle name="Euro 2 2 7" xfId="2325" xr:uid="{00000000-0005-0000-0000-000036030000}"/>
    <cellStyle name="Euro 2 2 8" xfId="2337" xr:uid="{00000000-0005-0000-0000-000037030000}"/>
    <cellStyle name="Euro 2 2 9" xfId="2348" xr:uid="{00000000-0005-0000-0000-000038030000}"/>
    <cellStyle name="Euro 2 20" xfId="2587" xr:uid="{00000000-0005-0000-0000-000083010000}"/>
    <cellStyle name="Euro 2 3" xfId="426" xr:uid="{00000000-0005-0000-0000-000039030000}"/>
    <cellStyle name="Euro 2 3 2" xfId="1970" xr:uid="{00000000-0005-0000-0000-00003A030000}"/>
    <cellStyle name="Euro 2 4" xfId="427" xr:uid="{00000000-0005-0000-0000-00003B030000}"/>
    <cellStyle name="Euro 2 4 2" xfId="1971" xr:uid="{00000000-0005-0000-0000-00003C030000}"/>
    <cellStyle name="Euro 2 5" xfId="951" xr:uid="{00000000-0005-0000-0000-00003D030000}"/>
    <cellStyle name="Euro 2 6" xfId="2250" xr:uid="{00000000-0005-0000-0000-00003E030000}"/>
    <cellStyle name="Euro 2 7" xfId="2263" xr:uid="{00000000-0005-0000-0000-00003F030000}"/>
    <cellStyle name="Euro 2 8" xfId="2283" xr:uid="{00000000-0005-0000-0000-000040030000}"/>
    <cellStyle name="Euro 2 9" xfId="2310" xr:uid="{00000000-0005-0000-0000-000041030000}"/>
    <cellStyle name="Euro 3" xfId="428" xr:uid="{00000000-0005-0000-0000-000042030000}"/>
    <cellStyle name="Euro 3 2" xfId="1972" xr:uid="{00000000-0005-0000-0000-000043030000}"/>
    <cellStyle name="Euro 4" xfId="429" xr:uid="{00000000-0005-0000-0000-000044030000}"/>
    <cellStyle name="Euro 4 2" xfId="1973" xr:uid="{00000000-0005-0000-0000-000045030000}"/>
    <cellStyle name="Euro 5" xfId="430" xr:uid="{00000000-0005-0000-0000-000046030000}"/>
    <cellStyle name="Euro 5 2" xfId="1974" xr:uid="{00000000-0005-0000-0000-000047030000}"/>
    <cellStyle name="Euro 6" xfId="431" xr:uid="{00000000-0005-0000-0000-000048030000}"/>
    <cellStyle name="Euro 6 2" xfId="1975" xr:uid="{00000000-0005-0000-0000-000049030000}"/>
    <cellStyle name="Euro_07_05_22 SEMENTES COLZA ROMÉNIA" xfId="432" xr:uid="{00000000-0005-0000-0000-00004A030000}"/>
    <cellStyle name="Exception" xfId="433" xr:uid="{00000000-0005-0000-0000-00004B030000}"/>
    <cellStyle name="Explanatory Text" xfId="434" xr:uid="{00000000-0005-0000-0000-00004C030000}"/>
    <cellStyle name="Feeder Field" xfId="435" xr:uid="{00000000-0005-0000-0000-00004D030000}"/>
    <cellStyle name="FIXED" xfId="436" xr:uid="{00000000-0005-0000-0000-00004E030000}"/>
    <cellStyle name="Fixed 2" xfId="952" xr:uid="{00000000-0005-0000-0000-00004F030000}"/>
    <cellStyle name="Good" xfId="437" xr:uid="{00000000-0005-0000-0000-000050030000}"/>
    <cellStyle name="Good 2" xfId="953" xr:uid="{00000000-0005-0000-0000-000051030000}"/>
    <cellStyle name="Grey" xfId="438" xr:uid="{00000000-0005-0000-0000-000052030000}"/>
    <cellStyle name="Grey 2" xfId="1976" xr:uid="{00000000-0005-0000-0000-000053030000}"/>
    <cellStyle name="Greyed out" xfId="439" xr:uid="{00000000-0005-0000-0000-000054030000}"/>
    <cellStyle name="Header1" xfId="1671" xr:uid="{00000000-0005-0000-0000-000055030000}"/>
    <cellStyle name="Header2" xfId="1672" xr:uid="{00000000-0005-0000-0000-000056030000}"/>
    <cellStyle name="Heading 1" xfId="954" xr:uid="{00000000-0005-0000-0000-000057030000}"/>
    <cellStyle name="Heading 1 2" xfId="1145" xr:uid="{00000000-0005-0000-0000-000058030000}"/>
    <cellStyle name="Heading 2" xfId="441" xr:uid="{00000000-0005-0000-0000-000059030000}"/>
    <cellStyle name="Heading 2 2" xfId="955" xr:uid="{00000000-0005-0000-0000-00005A030000}"/>
    <cellStyle name="Heading 3" xfId="442" xr:uid="{00000000-0005-0000-0000-00005B030000}"/>
    <cellStyle name="Heading 3 2" xfId="956" xr:uid="{00000000-0005-0000-0000-00005C030000}"/>
    <cellStyle name="Heading 4" xfId="443" xr:uid="{00000000-0005-0000-0000-00005D030000}"/>
    <cellStyle name="Heading 4 2" xfId="957" xr:uid="{00000000-0005-0000-0000-00005E030000}"/>
    <cellStyle name="HEADING1" xfId="444" xr:uid="{00000000-0005-0000-0000-00005F030000}"/>
    <cellStyle name="Heading1 2" xfId="958" xr:uid="{00000000-0005-0000-0000-000060030000}"/>
    <cellStyle name="HEADING2" xfId="445" xr:uid="{00000000-0005-0000-0000-000061030000}"/>
    <cellStyle name="Heading2 2" xfId="959" xr:uid="{00000000-0005-0000-0000-000062030000}"/>
    <cellStyle name="Hiperligação" xfId="2308" builtinId="8"/>
    <cellStyle name="Hiperligação 2" xfId="446" xr:uid="{00000000-0005-0000-0000-000064030000}"/>
    <cellStyle name="Hiperligação 2 2" xfId="447" xr:uid="{00000000-0005-0000-0000-000065030000}"/>
    <cellStyle name="Hiperligação 2 2 2" xfId="960" xr:uid="{00000000-0005-0000-0000-000066030000}"/>
    <cellStyle name="Hiperligação 2 3" xfId="961" xr:uid="{00000000-0005-0000-0000-000067030000}"/>
    <cellStyle name="Hiperligação 2 3 2" xfId="1673" xr:uid="{00000000-0005-0000-0000-000068030000}"/>
    <cellStyle name="Hiperligação 2 4" xfId="962" xr:uid="{00000000-0005-0000-0000-000069030000}"/>
    <cellStyle name="Hiperligação 2 4 2" xfId="1674" xr:uid="{00000000-0005-0000-0000-00006A030000}"/>
    <cellStyle name="Hiperligação 2 5" xfId="963" xr:uid="{00000000-0005-0000-0000-00006B030000}"/>
    <cellStyle name="Hiperligação 2 5 2" xfId="1675" xr:uid="{00000000-0005-0000-0000-00006C030000}"/>
    <cellStyle name="Hiperligação 2 6" xfId="964" xr:uid="{00000000-0005-0000-0000-00006D030000}"/>
    <cellStyle name="Hiperligação 2 6 2" xfId="1676" xr:uid="{00000000-0005-0000-0000-00006E030000}"/>
    <cellStyle name="Hiperligação 2 7" xfId="965" xr:uid="{00000000-0005-0000-0000-00006F030000}"/>
    <cellStyle name="Hiperligação 2 7 2" xfId="1677" xr:uid="{00000000-0005-0000-0000-000070030000}"/>
    <cellStyle name="Hiperligação 3" xfId="448" xr:uid="{00000000-0005-0000-0000-000071030000}"/>
    <cellStyle name="Hiperligação 3 2" xfId="1678" xr:uid="{00000000-0005-0000-0000-000072030000}"/>
    <cellStyle name="Hiperligação 4" xfId="449" xr:uid="{00000000-0005-0000-0000-000073030000}"/>
    <cellStyle name="Hiperligação 4 2" xfId="1679" xr:uid="{00000000-0005-0000-0000-000074030000}"/>
    <cellStyle name="Hyperlink 2" xfId="450" xr:uid="{00000000-0005-0000-0000-000075030000}"/>
    <cellStyle name="Hyperlink 2 2" xfId="1680" xr:uid="{00000000-0005-0000-0000-000076030000}"/>
    <cellStyle name="Hyperlink_3.ind_pobreza" xfId="1681" xr:uid="{00000000-0005-0000-0000-000077030000}"/>
    <cellStyle name="Incorrecto 2" xfId="451" xr:uid="{00000000-0005-0000-0000-000078030000}"/>
    <cellStyle name="Incorrecto 3" xfId="452" xr:uid="{00000000-0005-0000-0000-000079030000}"/>
    <cellStyle name="Incorrecto 4" xfId="453" xr:uid="{00000000-0005-0000-0000-00007A030000}"/>
    <cellStyle name="Incorreto 2" xfId="1682" xr:uid="{00000000-0005-0000-0000-00007B030000}"/>
    <cellStyle name="Input" xfId="454" xr:uid="{00000000-0005-0000-0000-00007C030000}"/>
    <cellStyle name="Input [yellow]" xfId="1683" xr:uid="{00000000-0005-0000-0000-00007D030000}"/>
    <cellStyle name="Input [yellow] 2" xfId="1977" xr:uid="{00000000-0005-0000-0000-00007E030000}"/>
    <cellStyle name="Input 1" xfId="455" xr:uid="{00000000-0005-0000-0000-00007F030000}"/>
    <cellStyle name="Input 2" xfId="456" xr:uid="{00000000-0005-0000-0000-000080030000}"/>
    <cellStyle name="Input 2 2" xfId="967" xr:uid="{00000000-0005-0000-0000-000081030000}"/>
    <cellStyle name="Input 2 2 2" xfId="1146" xr:uid="{00000000-0005-0000-0000-000082030000}"/>
    <cellStyle name="Input 2 3" xfId="1147" xr:uid="{00000000-0005-0000-0000-000083030000}"/>
    <cellStyle name="Input 3" xfId="968" xr:uid="{00000000-0005-0000-0000-000084030000}"/>
    <cellStyle name="Input 4" xfId="969" xr:uid="{00000000-0005-0000-0000-000085030000}"/>
    <cellStyle name="Input 5" xfId="966" xr:uid="{00000000-0005-0000-0000-000086030000}"/>
    <cellStyle name="Input 5 2" xfId="1148" xr:uid="{00000000-0005-0000-0000-000087030000}"/>
    <cellStyle name="Input 6" xfId="1149" xr:uid="{00000000-0005-0000-0000-000088030000}"/>
    <cellStyle name="Input Date" xfId="457" xr:uid="{00000000-0005-0000-0000-000089030000}"/>
    <cellStyle name="Input Date 2" xfId="1978" xr:uid="{00000000-0005-0000-0000-00008A030000}"/>
    <cellStyle name="Input Normal" xfId="458" xr:uid="{00000000-0005-0000-0000-00008B030000}"/>
    <cellStyle name="Input Normal 2" xfId="1979" xr:uid="{00000000-0005-0000-0000-00008C030000}"/>
    <cellStyle name="Input Percent" xfId="459" xr:uid="{00000000-0005-0000-0000-00008D030000}"/>
    <cellStyle name="Input Percent [2]" xfId="460" xr:uid="{00000000-0005-0000-0000-00008E030000}"/>
    <cellStyle name="Input Percent [2] 2" xfId="1980" xr:uid="{00000000-0005-0000-0000-00008F030000}"/>
    <cellStyle name="Input Percent 2" xfId="1981" xr:uid="{00000000-0005-0000-0000-000090030000}"/>
    <cellStyle name="Input_baselimpa_para_nuno" xfId="1684" xr:uid="{00000000-0005-0000-0000-000091030000}"/>
    <cellStyle name="LineBottom2" xfId="970" xr:uid="{00000000-0005-0000-0000-000092030000}"/>
    <cellStyle name="Link Currency (0)" xfId="1685" xr:uid="{00000000-0005-0000-0000-000093030000}"/>
    <cellStyle name="Link Currency (2)" xfId="1686" xr:uid="{00000000-0005-0000-0000-000094030000}"/>
    <cellStyle name="Link Units (0)" xfId="1687" xr:uid="{00000000-0005-0000-0000-000095030000}"/>
    <cellStyle name="Link Units (1)" xfId="1688" xr:uid="{00000000-0005-0000-0000-000096030000}"/>
    <cellStyle name="Link Units (2)" xfId="1689" xr:uid="{00000000-0005-0000-0000-000097030000}"/>
    <cellStyle name="Linked Cell" xfId="461" xr:uid="{00000000-0005-0000-0000-000098030000}"/>
    <cellStyle name="Linked Cell 2" xfId="971" xr:uid="{00000000-0005-0000-0000-000099030000}"/>
    <cellStyle name="Millares_CALDERA.XLC" xfId="462" xr:uid="{00000000-0005-0000-0000-00009A030000}"/>
    <cellStyle name="Moeda 2" xfId="463" xr:uid="{00000000-0005-0000-0000-00009B030000}"/>
    <cellStyle name="Moeda 2 2" xfId="464" xr:uid="{00000000-0005-0000-0000-00009C030000}"/>
    <cellStyle name="Moeda 2 2 10" xfId="2326" xr:uid="{00000000-0005-0000-0000-00009D030000}"/>
    <cellStyle name="Moeda 2 2 11" xfId="2338" xr:uid="{00000000-0005-0000-0000-00009E030000}"/>
    <cellStyle name="Moeda 2 2 12" xfId="2349" xr:uid="{00000000-0005-0000-0000-00009F030000}"/>
    <cellStyle name="Moeda 2 2 13" xfId="2360" xr:uid="{00000000-0005-0000-0000-0000A0030000}"/>
    <cellStyle name="Moeda 2 2 14" xfId="2380" xr:uid="{00000000-0005-0000-0000-0000A1030000}"/>
    <cellStyle name="Moeda 2 2 15" xfId="2415" xr:uid="{00000000-0005-0000-0000-0000A2030000}"/>
    <cellStyle name="Moeda 2 2 16" xfId="2450" xr:uid="{00000000-0005-0000-0000-0000A3030000}"/>
    <cellStyle name="Moeda 2 2 17" xfId="2485" xr:uid="{00000000-0005-0000-0000-0000A4030000}"/>
    <cellStyle name="Moeda 2 2 18" xfId="2520" xr:uid="{00000000-0005-0000-0000-0000A5030000}"/>
    <cellStyle name="Moeda 2 2 19" xfId="2554" xr:uid="{00000000-0005-0000-0000-0000A6030000}"/>
    <cellStyle name="Moeda 2 2 2" xfId="1151" xr:uid="{00000000-0005-0000-0000-0000A7030000}"/>
    <cellStyle name="Moeda 2 2 20" xfId="2589" xr:uid="{00000000-0005-0000-0000-0000AB010000}"/>
    <cellStyle name="Moeda 2 2 3" xfId="1152" xr:uid="{00000000-0005-0000-0000-0000A8030000}"/>
    <cellStyle name="Moeda 2 2 4" xfId="1690" xr:uid="{00000000-0005-0000-0000-0000A9030000}"/>
    <cellStyle name="Moeda 2 2 5" xfId="1150" xr:uid="{00000000-0005-0000-0000-0000AA030000}"/>
    <cellStyle name="Moeda 2 2 6" xfId="2252" xr:uid="{00000000-0005-0000-0000-0000AB030000}"/>
    <cellStyle name="Moeda 2 2 7" xfId="2265" xr:uid="{00000000-0005-0000-0000-0000AC030000}"/>
    <cellStyle name="Moeda 2 2 8" xfId="2285" xr:uid="{00000000-0005-0000-0000-0000AD030000}"/>
    <cellStyle name="Moeda 2 2 9" xfId="2312" xr:uid="{00000000-0005-0000-0000-0000AE030000}"/>
    <cellStyle name="Moeda 2 3" xfId="1982" xr:uid="{00000000-0005-0000-0000-0000AF030000}"/>
    <cellStyle name="Moeda 3" xfId="465" xr:uid="{00000000-0005-0000-0000-0000B0030000}"/>
    <cellStyle name="Moeda 3 10" xfId="2327" xr:uid="{00000000-0005-0000-0000-0000B1030000}"/>
    <cellStyle name="Moeda 3 11" xfId="2339" xr:uid="{00000000-0005-0000-0000-0000B2030000}"/>
    <cellStyle name="Moeda 3 12" xfId="2350" xr:uid="{00000000-0005-0000-0000-0000B3030000}"/>
    <cellStyle name="Moeda 3 13" xfId="2361" xr:uid="{00000000-0005-0000-0000-0000B4030000}"/>
    <cellStyle name="Moeda 3 14" xfId="2381" xr:uid="{00000000-0005-0000-0000-0000B5030000}"/>
    <cellStyle name="Moeda 3 15" xfId="2416" xr:uid="{00000000-0005-0000-0000-0000B6030000}"/>
    <cellStyle name="Moeda 3 16" xfId="2451" xr:uid="{00000000-0005-0000-0000-0000B7030000}"/>
    <cellStyle name="Moeda 3 17" xfId="2486" xr:uid="{00000000-0005-0000-0000-0000B8030000}"/>
    <cellStyle name="Moeda 3 18" xfId="2521" xr:uid="{00000000-0005-0000-0000-0000B9030000}"/>
    <cellStyle name="Moeda 3 19" xfId="2555" xr:uid="{00000000-0005-0000-0000-0000BA030000}"/>
    <cellStyle name="Moeda 3 2" xfId="1154" xr:uid="{00000000-0005-0000-0000-0000BB030000}"/>
    <cellStyle name="Moeda 3 20" xfId="2590" xr:uid="{00000000-0005-0000-0000-0000AC010000}"/>
    <cellStyle name="Moeda 3 3" xfId="1155" xr:uid="{00000000-0005-0000-0000-0000BC030000}"/>
    <cellStyle name="Moeda 3 4" xfId="1691" xr:uid="{00000000-0005-0000-0000-0000BD030000}"/>
    <cellStyle name="Moeda 3 5" xfId="1153" xr:uid="{00000000-0005-0000-0000-0000BE030000}"/>
    <cellStyle name="Moeda 3 6" xfId="2253" xr:uid="{00000000-0005-0000-0000-0000BF030000}"/>
    <cellStyle name="Moeda 3 7" xfId="2266" xr:uid="{00000000-0005-0000-0000-0000C0030000}"/>
    <cellStyle name="Moeda 3 8" xfId="2286" xr:uid="{00000000-0005-0000-0000-0000C1030000}"/>
    <cellStyle name="Moeda 3 9" xfId="2313" xr:uid="{00000000-0005-0000-0000-0000C2030000}"/>
    <cellStyle name="Moeda 6" xfId="466" xr:uid="{00000000-0005-0000-0000-0000C3030000}"/>
    <cellStyle name="Moeda 6 10" xfId="2351" xr:uid="{00000000-0005-0000-0000-0000C4030000}"/>
    <cellStyle name="Moeda 6 11" xfId="2362" xr:uid="{00000000-0005-0000-0000-0000C5030000}"/>
    <cellStyle name="Moeda 6 12" xfId="2382" xr:uid="{00000000-0005-0000-0000-0000C6030000}"/>
    <cellStyle name="Moeda 6 13" xfId="2417" xr:uid="{00000000-0005-0000-0000-0000C7030000}"/>
    <cellStyle name="Moeda 6 14" xfId="2452" xr:uid="{00000000-0005-0000-0000-0000C8030000}"/>
    <cellStyle name="Moeda 6 15" xfId="2487" xr:uid="{00000000-0005-0000-0000-0000C9030000}"/>
    <cellStyle name="Moeda 6 16" xfId="2522" xr:uid="{00000000-0005-0000-0000-0000CA030000}"/>
    <cellStyle name="Moeda 6 17" xfId="2556" xr:uid="{00000000-0005-0000-0000-0000CB030000}"/>
    <cellStyle name="Moeda 6 18" xfId="2591" xr:uid="{00000000-0005-0000-0000-0000AD010000}"/>
    <cellStyle name="Moeda 6 2" xfId="1983" xr:uid="{00000000-0005-0000-0000-0000CC030000}"/>
    <cellStyle name="Moeda 6 3" xfId="1156" xr:uid="{00000000-0005-0000-0000-0000CD030000}"/>
    <cellStyle name="Moeda 6 4" xfId="2254" xr:uid="{00000000-0005-0000-0000-0000CE030000}"/>
    <cellStyle name="Moeda 6 5" xfId="2267" xr:uid="{00000000-0005-0000-0000-0000CF030000}"/>
    <cellStyle name="Moeda 6 6" xfId="2287" xr:uid="{00000000-0005-0000-0000-0000D0030000}"/>
    <cellStyle name="Moeda 6 7" xfId="2314" xr:uid="{00000000-0005-0000-0000-0000D1030000}"/>
    <cellStyle name="Moeda 6 8" xfId="2328" xr:uid="{00000000-0005-0000-0000-0000D2030000}"/>
    <cellStyle name="Moeda 6 9" xfId="2340" xr:uid="{00000000-0005-0000-0000-0000D3030000}"/>
    <cellStyle name="Moeda 7" xfId="467" xr:uid="{00000000-0005-0000-0000-0000D4030000}"/>
    <cellStyle name="Moeda 7 10" xfId="2352" xr:uid="{00000000-0005-0000-0000-0000D5030000}"/>
    <cellStyle name="Moeda 7 11" xfId="2363" xr:uid="{00000000-0005-0000-0000-0000D6030000}"/>
    <cellStyle name="Moeda 7 12" xfId="2383" xr:uid="{00000000-0005-0000-0000-0000D7030000}"/>
    <cellStyle name="Moeda 7 13" xfId="2418" xr:uid="{00000000-0005-0000-0000-0000D8030000}"/>
    <cellStyle name="Moeda 7 14" xfId="2453" xr:uid="{00000000-0005-0000-0000-0000D9030000}"/>
    <cellStyle name="Moeda 7 15" xfId="2488" xr:uid="{00000000-0005-0000-0000-0000DA030000}"/>
    <cellStyle name="Moeda 7 16" xfId="2523" xr:uid="{00000000-0005-0000-0000-0000DB030000}"/>
    <cellStyle name="Moeda 7 17" xfId="2557" xr:uid="{00000000-0005-0000-0000-0000DC030000}"/>
    <cellStyle name="Moeda 7 18" xfId="2592" xr:uid="{00000000-0005-0000-0000-0000AE010000}"/>
    <cellStyle name="Moeda 7 2" xfId="1984" xr:uid="{00000000-0005-0000-0000-0000DD030000}"/>
    <cellStyle name="Moeda 7 3" xfId="1157" xr:uid="{00000000-0005-0000-0000-0000DE030000}"/>
    <cellStyle name="Moeda 7 4" xfId="2255" xr:uid="{00000000-0005-0000-0000-0000DF030000}"/>
    <cellStyle name="Moeda 7 5" xfId="2268" xr:uid="{00000000-0005-0000-0000-0000E0030000}"/>
    <cellStyle name="Moeda 7 6" xfId="2288" xr:uid="{00000000-0005-0000-0000-0000E1030000}"/>
    <cellStyle name="Moeda 7 7" xfId="2315" xr:uid="{00000000-0005-0000-0000-0000E2030000}"/>
    <cellStyle name="Moeda 7 8" xfId="2329" xr:uid="{00000000-0005-0000-0000-0000E3030000}"/>
    <cellStyle name="Moeda 7 9" xfId="2341" xr:uid="{00000000-0005-0000-0000-0000E4030000}"/>
    <cellStyle name="Moeda 8" xfId="1470" xr:uid="{00000000-0005-0000-0000-0000E5030000}"/>
    <cellStyle name="Moeda 9" xfId="468" xr:uid="{00000000-0005-0000-0000-0000E6030000}"/>
    <cellStyle name="Moeda 9 10" xfId="2353" xr:uid="{00000000-0005-0000-0000-0000E7030000}"/>
    <cellStyle name="Moeda 9 11" xfId="2364" xr:uid="{00000000-0005-0000-0000-0000E8030000}"/>
    <cellStyle name="Moeda 9 12" xfId="2384" xr:uid="{00000000-0005-0000-0000-0000E9030000}"/>
    <cellStyle name="Moeda 9 13" xfId="2419" xr:uid="{00000000-0005-0000-0000-0000EA030000}"/>
    <cellStyle name="Moeda 9 14" xfId="2454" xr:uid="{00000000-0005-0000-0000-0000EB030000}"/>
    <cellStyle name="Moeda 9 15" xfId="2489" xr:uid="{00000000-0005-0000-0000-0000EC030000}"/>
    <cellStyle name="Moeda 9 16" xfId="2524" xr:uid="{00000000-0005-0000-0000-0000ED030000}"/>
    <cellStyle name="Moeda 9 17" xfId="2558" xr:uid="{00000000-0005-0000-0000-0000EE030000}"/>
    <cellStyle name="Moeda 9 18" xfId="2593" xr:uid="{00000000-0005-0000-0000-0000AF010000}"/>
    <cellStyle name="Moeda 9 2" xfId="1985" xr:uid="{00000000-0005-0000-0000-0000EF030000}"/>
    <cellStyle name="Moeda 9 3" xfId="1158" xr:uid="{00000000-0005-0000-0000-0000F0030000}"/>
    <cellStyle name="Moeda 9 4" xfId="2256" xr:uid="{00000000-0005-0000-0000-0000F1030000}"/>
    <cellStyle name="Moeda 9 5" xfId="2269" xr:uid="{00000000-0005-0000-0000-0000F2030000}"/>
    <cellStyle name="Moeda 9 6" xfId="2289" xr:uid="{00000000-0005-0000-0000-0000F3030000}"/>
    <cellStyle name="Moeda 9 7" xfId="2316" xr:uid="{00000000-0005-0000-0000-0000F4030000}"/>
    <cellStyle name="Moeda 9 8" xfId="2330" xr:uid="{00000000-0005-0000-0000-0000F5030000}"/>
    <cellStyle name="Moeda 9 9" xfId="2342" xr:uid="{00000000-0005-0000-0000-0000F6030000}"/>
    <cellStyle name="Moneda_CALDERA.XLC" xfId="469" xr:uid="{00000000-0005-0000-0000-0000F7030000}"/>
    <cellStyle name="montantes" xfId="470" xr:uid="{00000000-0005-0000-0000-0000F8030000}"/>
    <cellStyle name="montantes 2" xfId="1986" xr:uid="{00000000-0005-0000-0000-0000F9030000}"/>
    <cellStyle name="Named Range" xfId="471" xr:uid="{00000000-0005-0000-0000-0000FA030000}"/>
    <cellStyle name="Named Range Tag" xfId="472" xr:uid="{00000000-0005-0000-0000-0000FB030000}"/>
    <cellStyle name="Neutra" xfId="1692" xr:uid="{00000000-0005-0000-0000-0000FC030000}"/>
    <cellStyle name="Neutral" xfId="473" xr:uid="{00000000-0005-0000-0000-0000FD030000}"/>
    <cellStyle name="Neutro 2" xfId="474" xr:uid="{00000000-0005-0000-0000-0000FE030000}"/>
    <cellStyle name="Neutro 2 2" xfId="972" xr:uid="{00000000-0005-0000-0000-0000FF030000}"/>
    <cellStyle name="Neutro 3" xfId="475" xr:uid="{00000000-0005-0000-0000-000000040000}"/>
    <cellStyle name="Neutro 4" xfId="476" xr:uid="{00000000-0005-0000-0000-000001040000}"/>
    <cellStyle name="No-definido" xfId="1693" xr:uid="{00000000-0005-0000-0000-000002040000}"/>
    <cellStyle name="No-definido 2" xfId="1987" xr:uid="{00000000-0005-0000-0000-000003040000}"/>
    <cellStyle name="Normal" xfId="0" builtinId="0"/>
    <cellStyle name="Normal - Style1" xfId="477" xr:uid="{00000000-0005-0000-0000-000005040000}"/>
    <cellStyle name="Normal [1]" xfId="478" xr:uid="{00000000-0005-0000-0000-000006040000}"/>
    <cellStyle name="Normal [1] 2" xfId="1988" xr:uid="{00000000-0005-0000-0000-000007040000}"/>
    <cellStyle name="Normal [2]" xfId="479" xr:uid="{00000000-0005-0000-0000-000008040000}"/>
    <cellStyle name="Normal [2] 2" xfId="1989" xr:uid="{00000000-0005-0000-0000-000009040000}"/>
    <cellStyle name="Normal [3]" xfId="480" xr:uid="{00000000-0005-0000-0000-00000A040000}"/>
    <cellStyle name="Normal [3] 2" xfId="1990" xr:uid="{00000000-0005-0000-0000-00000B040000}"/>
    <cellStyle name="Normal 10" xfId="481" xr:uid="{00000000-0005-0000-0000-00000C040000}"/>
    <cellStyle name="Normal 10 10" xfId="482" xr:uid="{00000000-0005-0000-0000-00000D040000}"/>
    <cellStyle name="Normal 10 10 2" xfId="1991" xr:uid="{00000000-0005-0000-0000-00000E040000}"/>
    <cellStyle name="Normal 10 11" xfId="483" xr:uid="{00000000-0005-0000-0000-00000F040000}"/>
    <cellStyle name="Normal 10 11 2" xfId="1992" xr:uid="{00000000-0005-0000-0000-000010040000}"/>
    <cellStyle name="Normal 10 12" xfId="484" xr:uid="{00000000-0005-0000-0000-000011040000}"/>
    <cellStyle name="Normal 10 12 2" xfId="1159" xr:uid="{00000000-0005-0000-0000-000012040000}"/>
    <cellStyle name="Normal 10 12 3" xfId="1160" xr:uid="{00000000-0005-0000-0000-000013040000}"/>
    <cellStyle name="Normal 10 12 4" xfId="1694" xr:uid="{00000000-0005-0000-0000-000014040000}"/>
    <cellStyle name="Normal 10 13" xfId="485" xr:uid="{00000000-0005-0000-0000-000015040000}"/>
    <cellStyle name="Normal 10 13 2" xfId="1161" xr:uid="{00000000-0005-0000-0000-000016040000}"/>
    <cellStyle name="Normal 10 13 3" xfId="1162" xr:uid="{00000000-0005-0000-0000-000017040000}"/>
    <cellStyle name="Normal 10 13 4" xfId="1695" xr:uid="{00000000-0005-0000-0000-000018040000}"/>
    <cellStyle name="Normal 10 14" xfId="1163" xr:uid="{00000000-0005-0000-0000-000019040000}"/>
    <cellStyle name="Normal 10 14 2" xfId="1164" xr:uid="{00000000-0005-0000-0000-00001A040000}"/>
    <cellStyle name="Normal 10 15" xfId="1165" xr:uid="{00000000-0005-0000-0000-00001B040000}"/>
    <cellStyle name="Normal 10 16" xfId="1696" xr:uid="{00000000-0005-0000-0000-00001C040000}"/>
    <cellStyle name="Normal 10 2" xfId="486" xr:uid="{00000000-0005-0000-0000-00001D040000}"/>
    <cellStyle name="Normal 10 2 2" xfId="1993" xr:uid="{00000000-0005-0000-0000-00001E040000}"/>
    <cellStyle name="Normal 10 3" xfId="487" xr:uid="{00000000-0005-0000-0000-00001F040000}"/>
    <cellStyle name="Normal 10 3 2" xfId="1166" xr:uid="{00000000-0005-0000-0000-000020040000}"/>
    <cellStyle name="Normal 10 3 3" xfId="1167" xr:uid="{00000000-0005-0000-0000-000021040000}"/>
    <cellStyle name="Normal 10 3 4" xfId="1697" xr:uid="{00000000-0005-0000-0000-000022040000}"/>
    <cellStyle name="Normal 10 4" xfId="18" xr:uid="{00000000-0005-0000-0000-000023040000}"/>
    <cellStyle name="Normal 10 4 2" xfId="1994" xr:uid="{00000000-0005-0000-0000-000024040000}"/>
    <cellStyle name="Normal 10 5" xfId="488" xr:uid="{00000000-0005-0000-0000-000025040000}"/>
    <cellStyle name="Normal 10 5 2" xfId="1995" xr:uid="{00000000-0005-0000-0000-000026040000}"/>
    <cellStyle name="Normal 10 6" xfId="489" xr:uid="{00000000-0005-0000-0000-000027040000}"/>
    <cellStyle name="Normal 10 6 2" xfId="1996" xr:uid="{00000000-0005-0000-0000-000028040000}"/>
    <cellStyle name="Normal 10 7" xfId="490" xr:uid="{00000000-0005-0000-0000-000029040000}"/>
    <cellStyle name="Normal 10 7 2" xfId="1997" xr:uid="{00000000-0005-0000-0000-00002A040000}"/>
    <cellStyle name="Normal 10 8" xfId="491" xr:uid="{00000000-0005-0000-0000-00002B040000}"/>
    <cellStyle name="Normal 10 8 2" xfId="1998" xr:uid="{00000000-0005-0000-0000-00002C040000}"/>
    <cellStyle name="Normal 10 9" xfId="492" xr:uid="{00000000-0005-0000-0000-00002D040000}"/>
    <cellStyle name="Normal 10 9 2" xfId="1999" xr:uid="{00000000-0005-0000-0000-00002E040000}"/>
    <cellStyle name="Normal 10_DGO" xfId="1698" xr:uid="{00000000-0005-0000-0000-00002F040000}"/>
    <cellStyle name="Normal 100" xfId="2354" xr:uid="{00000000-0005-0000-0000-000030040000}"/>
    <cellStyle name="Normal 101" xfId="2355" xr:uid="{00000000-0005-0000-0000-000031040000}"/>
    <cellStyle name="Normal 102" xfId="2356" xr:uid="{00000000-0005-0000-0000-000032040000}"/>
    <cellStyle name="Normal 103" xfId="2357" xr:uid="{00000000-0005-0000-0000-000033040000}"/>
    <cellStyle name="Normal 104" xfId="2365" xr:uid="{00000000-0005-0000-0000-000034040000}"/>
    <cellStyle name="Normal 105" xfId="2366" xr:uid="{00000000-0005-0000-0000-000035040000}"/>
    <cellStyle name="Normal 106" xfId="2367" xr:uid="{00000000-0005-0000-0000-000036040000}"/>
    <cellStyle name="Normal 107" xfId="2368" xr:uid="{00000000-0005-0000-0000-000037040000}"/>
    <cellStyle name="Normal 108" xfId="2400" xr:uid="{00000000-0005-0000-0000-000038040000}"/>
    <cellStyle name="Normal 109" xfId="2401" xr:uid="{00000000-0005-0000-0000-000039040000}"/>
    <cellStyle name="Normal 11" xfId="493" xr:uid="{00000000-0005-0000-0000-00003A040000}"/>
    <cellStyle name="Normal 11 2" xfId="22" xr:uid="{00000000-0005-0000-0000-00003B040000}"/>
    <cellStyle name="Normal 11 2 2" xfId="1052" xr:uid="{00000000-0005-0000-0000-00003C040000}"/>
    <cellStyle name="Normal 11 2 2 2" xfId="2000" xr:uid="{00000000-0005-0000-0000-00003D040000}"/>
    <cellStyle name="Normal 11 3" xfId="494" xr:uid="{00000000-0005-0000-0000-00003E040000}"/>
    <cellStyle name="Normal 11 4" xfId="495" xr:uid="{00000000-0005-0000-0000-00003F040000}"/>
    <cellStyle name="Normal 11 4 2" xfId="2001" xr:uid="{00000000-0005-0000-0000-000040040000}"/>
    <cellStyle name="Normal 11 5" xfId="496" xr:uid="{00000000-0005-0000-0000-000041040000}"/>
    <cellStyle name="Normal 11 5 2" xfId="2002" xr:uid="{00000000-0005-0000-0000-000042040000}"/>
    <cellStyle name="Normal 11 6" xfId="1168" xr:uid="{00000000-0005-0000-0000-000043040000}"/>
    <cellStyle name="Normal 11 6 2" xfId="1169" xr:uid="{00000000-0005-0000-0000-000044040000}"/>
    <cellStyle name="Normal 11 7" xfId="1170" xr:uid="{00000000-0005-0000-0000-000045040000}"/>
    <cellStyle name="Normal 11 8" xfId="1699" xr:uid="{00000000-0005-0000-0000-000046040000}"/>
    <cellStyle name="Normal 11_DGO" xfId="1700" xr:uid="{00000000-0005-0000-0000-000047040000}"/>
    <cellStyle name="Normal 110" xfId="2402" xr:uid="{00000000-0005-0000-0000-000048040000}"/>
    <cellStyle name="Normal 111" xfId="2403" xr:uid="{00000000-0005-0000-0000-000049040000}"/>
    <cellStyle name="Normal 112" xfId="2435" xr:uid="{00000000-0005-0000-0000-00004A040000}"/>
    <cellStyle name="Normal 113" xfId="2436" xr:uid="{00000000-0005-0000-0000-00004B040000}"/>
    <cellStyle name="Normal 114" xfId="2437" xr:uid="{00000000-0005-0000-0000-00004C040000}"/>
    <cellStyle name="Normal 115" xfId="2438" xr:uid="{00000000-0005-0000-0000-00004D040000}"/>
    <cellStyle name="Normal 116" xfId="2470" xr:uid="{00000000-0005-0000-0000-00004E040000}"/>
    <cellStyle name="Normal 117" xfId="2471" xr:uid="{00000000-0005-0000-0000-00004F040000}"/>
    <cellStyle name="Normal 118" xfId="2472" xr:uid="{00000000-0005-0000-0000-000050040000}"/>
    <cellStyle name="Normal 119" xfId="2473" xr:uid="{00000000-0005-0000-0000-000051040000}"/>
    <cellStyle name="Normal 12" xfId="497" xr:uid="{00000000-0005-0000-0000-000052040000}"/>
    <cellStyle name="Normal 12 2" xfId="498" xr:uid="{00000000-0005-0000-0000-000053040000}"/>
    <cellStyle name="Normal 12 2 2" xfId="1171" xr:uid="{00000000-0005-0000-0000-000054040000}"/>
    <cellStyle name="Normal 12 2 3" xfId="1172" xr:uid="{00000000-0005-0000-0000-000055040000}"/>
    <cellStyle name="Normal 12 2 4" xfId="1701" xr:uid="{00000000-0005-0000-0000-000056040000}"/>
    <cellStyle name="Normal 12 3" xfId="499" xr:uid="{00000000-0005-0000-0000-000057040000}"/>
    <cellStyle name="Normal 12 3 2" xfId="1173" xr:uid="{00000000-0005-0000-0000-000058040000}"/>
    <cellStyle name="Normal 12 3 3" xfId="1174" xr:uid="{00000000-0005-0000-0000-000059040000}"/>
    <cellStyle name="Normal 12 3 4" xfId="1702" xr:uid="{00000000-0005-0000-0000-00005A040000}"/>
    <cellStyle name="Normal 12 4" xfId="8" xr:uid="{00000000-0005-0000-0000-00005B040000}"/>
    <cellStyle name="Normal 12 4 2" xfId="1175" xr:uid="{00000000-0005-0000-0000-00005C040000}"/>
    <cellStyle name="Normal 12 4 2 2" xfId="1176" xr:uid="{00000000-0005-0000-0000-00005D040000}"/>
    <cellStyle name="Normal 12 4 2 3" xfId="41" xr:uid="{00000000-0005-0000-0000-00005E040000}"/>
    <cellStyle name="Normal 12 4 3" xfId="1177" xr:uid="{00000000-0005-0000-0000-00005F040000}"/>
    <cellStyle name="Normal 12 4 4" xfId="1459" xr:uid="{00000000-0005-0000-0000-000060040000}"/>
    <cellStyle name="Normal 12 4 4 2" xfId="1477" xr:uid="{00000000-0005-0000-0000-000061040000}"/>
    <cellStyle name="Normal 12 4 5" xfId="1476" xr:uid="{00000000-0005-0000-0000-000062040000}"/>
    <cellStyle name="Normal 12 4 6" xfId="1703" xr:uid="{00000000-0005-0000-0000-000063040000}"/>
    <cellStyle name="Normal 12 5" xfId="1053" xr:uid="{00000000-0005-0000-0000-000064040000}"/>
    <cellStyle name="Normal 12 5 2" xfId="1178" xr:uid="{00000000-0005-0000-0000-000065040000}"/>
    <cellStyle name="Normal 12 6" xfId="1179" xr:uid="{00000000-0005-0000-0000-000066040000}"/>
    <cellStyle name="Normal 12 7" xfId="1704" xr:uid="{00000000-0005-0000-0000-000067040000}"/>
    <cellStyle name="Normal 12_DGO" xfId="1705" xr:uid="{00000000-0005-0000-0000-000068040000}"/>
    <cellStyle name="Normal 120" xfId="2505" xr:uid="{00000000-0005-0000-0000-000069040000}"/>
    <cellStyle name="Normal 121" xfId="2506" xr:uid="{00000000-0005-0000-0000-00006A040000}"/>
    <cellStyle name="Normal 122" xfId="2507" xr:uid="{00000000-0005-0000-0000-00006B040000}"/>
    <cellStyle name="Normal 123" xfId="2508" xr:uid="{00000000-0005-0000-0000-00006C040000}"/>
    <cellStyle name="Normal 124" xfId="2540" xr:uid="{00000000-0005-0000-0000-00006D040000}"/>
    <cellStyle name="Normal 125" xfId="2541" xr:uid="{00000000-0005-0000-0000-00006E040000}"/>
    <cellStyle name="Normal 126" xfId="2542" xr:uid="{00000000-0005-0000-0000-00006F040000}"/>
    <cellStyle name="Normal 127" xfId="2574" xr:uid="{00000000-0005-0000-0000-000070040000}"/>
    <cellStyle name="Normal 128" xfId="2575" xr:uid="{00000000-0005-0000-0000-000071040000}"/>
    <cellStyle name="Normal 129" xfId="2576" xr:uid="{00000000-0005-0000-0000-000072040000}"/>
    <cellStyle name="Normal 13" xfId="500" xr:uid="{00000000-0005-0000-0000-000073040000}"/>
    <cellStyle name="Normal 13 2" xfId="1054" xr:uid="{00000000-0005-0000-0000-000074040000}"/>
    <cellStyle name="Normal 13 2 2" xfId="1181" xr:uid="{00000000-0005-0000-0000-000075040000}"/>
    <cellStyle name="Normal 13 2 3" xfId="1180" xr:uid="{00000000-0005-0000-0000-000076040000}"/>
    <cellStyle name="Normal 13 3" xfId="1182" xr:uid="{00000000-0005-0000-0000-000077040000}"/>
    <cellStyle name="Normal 13 4" xfId="1706" xr:uid="{00000000-0005-0000-0000-000078040000}"/>
    <cellStyle name="Normal 130" xfId="2577" xr:uid="{00000000-0005-0000-0000-0000540A0000}"/>
    <cellStyle name="Normal 131" xfId="2609" xr:uid="{00000000-0005-0000-0000-0000640A0000}"/>
    <cellStyle name="Normal 132" xfId="2610" xr:uid="{00000000-0005-0000-0000-0000650A0000}"/>
    <cellStyle name="Normal 133" xfId="2611" xr:uid="{00000000-0005-0000-0000-0000660A0000}"/>
    <cellStyle name="Normal 14" xfId="24" xr:uid="{00000000-0005-0000-0000-000079040000}"/>
    <cellStyle name="Normal 14 2" xfId="1055" xr:uid="{00000000-0005-0000-0000-00007A040000}"/>
    <cellStyle name="Normal 14 2 2" xfId="1707" xr:uid="{00000000-0005-0000-0000-00007B040000}"/>
    <cellStyle name="Normal 14 2 3" xfId="1183" xr:uid="{00000000-0005-0000-0000-00007C040000}"/>
    <cellStyle name="Normal 14 3" xfId="1184" xr:uid="{00000000-0005-0000-0000-00007D040000}"/>
    <cellStyle name="Normal 14 4" xfId="1708" xr:uid="{00000000-0005-0000-0000-00007E040000}"/>
    <cellStyle name="Normal 14_DGO" xfId="1709" xr:uid="{00000000-0005-0000-0000-00007F040000}"/>
    <cellStyle name="Normal 15" xfId="9" xr:uid="{00000000-0005-0000-0000-000080040000}"/>
    <cellStyle name="Normal 15 2" xfId="15" xr:uid="{00000000-0005-0000-0000-000081040000}"/>
    <cellStyle name="Normal 15 3" xfId="1056" xr:uid="{00000000-0005-0000-0000-000082040000}"/>
    <cellStyle name="Normal 16" xfId="501" xr:uid="{00000000-0005-0000-0000-000083040000}"/>
    <cellStyle name="Normal 16 2" xfId="502" xr:uid="{00000000-0005-0000-0000-000084040000}"/>
    <cellStyle name="Normal 16 2 2" xfId="1185" xr:uid="{00000000-0005-0000-0000-000085040000}"/>
    <cellStyle name="Normal 16 2 3" xfId="1186" xr:uid="{00000000-0005-0000-0000-000086040000}"/>
    <cellStyle name="Normal 16 2 4" xfId="1710" xr:uid="{00000000-0005-0000-0000-000087040000}"/>
    <cellStyle name="Normal 16 3" xfId="2003" xr:uid="{00000000-0005-0000-0000-000088040000}"/>
    <cellStyle name="Normal 17" xfId="503" xr:uid="{00000000-0005-0000-0000-000089040000}"/>
    <cellStyle name="Normal 17 2" xfId="1057" xr:uid="{00000000-0005-0000-0000-00008A040000}"/>
    <cellStyle name="Normal 17 2 2" xfId="1187" xr:uid="{00000000-0005-0000-0000-00008B040000}"/>
    <cellStyle name="Normal 17 3" xfId="1188" xr:uid="{00000000-0005-0000-0000-00008C040000}"/>
    <cellStyle name="Normal 17 4" xfId="1711" xr:uid="{00000000-0005-0000-0000-00008D040000}"/>
    <cellStyle name="Normal 18" xfId="504" xr:uid="{00000000-0005-0000-0000-00008E040000}"/>
    <cellStyle name="Normal 18 2" xfId="1058" xr:uid="{00000000-0005-0000-0000-00008F040000}"/>
    <cellStyle name="Normal 18 2 2" xfId="1189" xr:uid="{00000000-0005-0000-0000-000090040000}"/>
    <cellStyle name="Normal 18 3" xfId="1190" xr:uid="{00000000-0005-0000-0000-000091040000}"/>
    <cellStyle name="Normal 18 4" xfId="1712" xr:uid="{00000000-0005-0000-0000-000092040000}"/>
    <cellStyle name="Normal 19" xfId="505" xr:uid="{00000000-0005-0000-0000-000093040000}"/>
    <cellStyle name="Normal 19 2" xfId="506" xr:uid="{00000000-0005-0000-0000-000094040000}"/>
    <cellStyle name="Normal 19 2 2" xfId="1191" xr:uid="{00000000-0005-0000-0000-000095040000}"/>
    <cellStyle name="Normal 19 2 3" xfId="1192" xr:uid="{00000000-0005-0000-0000-000096040000}"/>
    <cellStyle name="Normal 19 2 4" xfId="1713" xr:uid="{00000000-0005-0000-0000-000097040000}"/>
    <cellStyle name="Normal 19 3" xfId="1059" xr:uid="{00000000-0005-0000-0000-000098040000}"/>
    <cellStyle name="Normal 19 3 2" xfId="1193" xr:uid="{00000000-0005-0000-0000-000099040000}"/>
    <cellStyle name="Normal 19 4" xfId="1194" xr:uid="{00000000-0005-0000-0000-00009A040000}"/>
    <cellStyle name="Normal 19 5" xfId="1714" xr:uid="{00000000-0005-0000-0000-00009B040000}"/>
    <cellStyle name="Normal 19_DGO" xfId="1715" xr:uid="{00000000-0005-0000-0000-00009C040000}"/>
    <cellStyle name="Normal 2" xfId="7" xr:uid="{00000000-0005-0000-0000-00009D040000}"/>
    <cellStyle name="Normal 2 10" xfId="27" xr:uid="{00000000-0005-0000-0000-00009E040000}"/>
    <cellStyle name="Normal 2 10 2" xfId="507" xr:uid="{00000000-0005-0000-0000-00009F040000}"/>
    <cellStyle name="Normal 2 10 3" xfId="2004" xr:uid="{00000000-0005-0000-0000-0000A0040000}"/>
    <cellStyle name="Normal 2 11" xfId="508" xr:uid="{00000000-0005-0000-0000-0000A1040000}"/>
    <cellStyle name="Normal 2 11 2" xfId="509" xr:uid="{00000000-0005-0000-0000-0000A2040000}"/>
    <cellStyle name="Normal 2 11 3" xfId="2005" xr:uid="{00000000-0005-0000-0000-0000A3040000}"/>
    <cellStyle name="Normal 2 12" xfId="510" xr:uid="{00000000-0005-0000-0000-0000A4040000}"/>
    <cellStyle name="Normal 2 12 2" xfId="511" xr:uid="{00000000-0005-0000-0000-0000A5040000}"/>
    <cellStyle name="Normal 2 12 3" xfId="512" xr:uid="{00000000-0005-0000-0000-0000A6040000}"/>
    <cellStyle name="Normal 2 12 3 2" xfId="2006" xr:uid="{00000000-0005-0000-0000-0000A7040000}"/>
    <cellStyle name="Normal 2 12 4" xfId="2007" xr:uid="{00000000-0005-0000-0000-0000A8040000}"/>
    <cellStyle name="Normal 2 13" xfId="513" xr:uid="{00000000-0005-0000-0000-0000A9040000}"/>
    <cellStyle name="Normal 2 13 2" xfId="514" xr:uid="{00000000-0005-0000-0000-0000AA040000}"/>
    <cellStyle name="Normal 2 13 3" xfId="2008" xr:uid="{00000000-0005-0000-0000-0000AB040000}"/>
    <cellStyle name="Normal 2 14" xfId="515" xr:uid="{00000000-0005-0000-0000-0000AC040000}"/>
    <cellStyle name="Normal 2 14 2" xfId="516" xr:uid="{00000000-0005-0000-0000-0000AD040000}"/>
    <cellStyle name="Normal 2 14 3" xfId="2009" xr:uid="{00000000-0005-0000-0000-0000AE040000}"/>
    <cellStyle name="Normal 2 15" xfId="517" xr:uid="{00000000-0005-0000-0000-0000AF040000}"/>
    <cellStyle name="Normal 2 15 2" xfId="518" xr:uid="{00000000-0005-0000-0000-0000B0040000}"/>
    <cellStyle name="Normal 2 15 3" xfId="2010" xr:uid="{00000000-0005-0000-0000-0000B1040000}"/>
    <cellStyle name="Normal 2 16" xfId="519" xr:uid="{00000000-0005-0000-0000-0000B2040000}"/>
    <cellStyle name="Normal 2 16 2" xfId="520" xr:uid="{00000000-0005-0000-0000-0000B3040000}"/>
    <cellStyle name="Normal 2 16 3" xfId="2011" xr:uid="{00000000-0005-0000-0000-0000B4040000}"/>
    <cellStyle name="Normal 2 17" xfId="521" xr:uid="{00000000-0005-0000-0000-0000B5040000}"/>
    <cellStyle name="Normal 2 17 2" xfId="522" xr:uid="{00000000-0005-0000-0000-0000B6040000}"/>
    <cellStyle name="Normal 2 17 3" xfId="2012" xr:uid="{00000000-0005-0000-0000-0000B7040000}"/>
    <cellStyle name="Normal 2 18" xfId="523" xr:uid="{00000000-0005-0000-0000-0000B8040000}"/>
    <cellStyle name="Normal 2 18 2" xfId="2013" xr:uid="{00000000-0005-0000-0000-0000B9040000}"/>
    <cellStyle name="Normal 2 19" xfId="524" xr:uid="{00000000-0005-0000-0000-0000BA040000}"/>
    <cellStyle name="Normal 2 2" xfId="12" xr:uid="{00000000-0005-0000-0000-0000BB040000}"/>
    <cellStyle name="Normal 2 2 10" xfId="525" xr:uid="{00000000-0005-0000-0000-0000BC040000}"/>
    <cellStyle name="Normal 2 2 11" xfId="526" xr:uid="{00000000-0005-0000-0000-0000BD040000}"/>
    <cellStyle name="Normal 2 2 12" xfId="527" xr:uid="{00000000-0005-0000-0000-0000BE040000}"/>
    <cellStyle name="Normal 2 2 12 2" xfId="2014" xr:uid="{00000000-0005-0000-0000-0000BF040000}"/>
    <cellStyle name="Normal 2 2 13" xfId="1471" xr:uid="{00000000-0005-0000-0000-0000C0040000}"/>
    <cellStyle name="Normal 2 2 2" xfId="528" xr:uid="{00000000-0005-0000-0000-0000C1040000}"/>
    <cellStyle name="Normal 2 2 2 2" xfId="529" xr:uid="{00000000-0005-0000-0000-0000C2040000}"/>
    <cellStyle name="Normal 2 2 2 2 2" xfId="530" xr:uid="{00000000-0005-0000-0000-0000C3040000}"/>
    <cellStyle name="Normal 2 2 2 2 3" xfId="531" xr:uid="{00000000-0005-0000-0000-0000C4040000}"/>
    <cellStyle name="Normal 2 2 2 2 4" xfId="532" xr:uid="{00000000-0005-0000-0000-0000C5040000}"/>
    <cellStyle name="Normal 2 2 2 2 5" xfId="974" xr:uid="{00000000-0005-0000-0000-0000C6040000}"/>
    <cellStyle name="Normal 2 2 2 2 5 2" xfId="1195" xr:uid="{00000000-0005-0000-0000-0000C7040000}"/>
    <cellStyle name="Normal 2 2 2 2 6" xfId="1196" xr:uid="{00000000-0005-0000-0000-0000C8040000}"/>
    <cellStyle name="Normal 2 2 2 2 7" xfId="1716" xr:uid="{00000000-0005-0000-0000-0000C9040000}"/>
    <cellStyle name="Normal 2 2 2 2_DGO" xfId="1717" xr:uid="{00000000-0005-0000-0000-0000CA040000}"/>
    <cellStyle name="Normal 2 2 2 3" xfId="533" xr:uid="{00000000-0005-0000-0000-0000CB040000}"/>
    <cellStyle name="Normal 2 2 2 3 2" xfId="975" xr:uid="{00000000-0005-0000-0000-0000CC040000}"/>
    <cellStyle name="Normal 2 2 2 3 2 2" xfId="1197" xr:uid="{00000000-0005-0000-0000-0000CD040000}"/>
    <cellStyle name="Normal 2 2 2 3 3" xfId="1198" xr:uid="{00000000-0005-0000-0000-0000CE040000}"/>
    <cellStyle name="Normal 2 2 2 3 4" xfId="1718" xr:uid="{00000000-0005-0000-0000-0000CF040000}"/>
    <cellStyle name="Normal 2 2 2 4" xfId="534" xr:uid="{00000000-0005-0000-0000-0000D0040000}"/>
    <cellStyle name="Normal 2 2 2 4 2" xfId="976" xr:uid="{00000000-0005-0000-0000-0000D1040000}"/>
    <cellStyle name="Normal 2 2 2 4 2 2" xfId="1199" xr:uid="{00000000-0005-0000-0000-0000D2040000}"/>
    <cellStyle name="Normal 2 2 2 4 3" xfId="1200" xr:uid="{00000000-0005-0000-0000-0000D3040000}"/>
    <cellStyle name="Normal 2 2 2 4 4" xfId="1719" xr:uid="{00000000-0005-0000-0000-0000D4040000}"/>
    <cellStyle name="Normal 2 2 2 5" xfId="977" xr:uid="{00000000-0005-0000-0000-0000D5040000}"/>
    <cellStyle name="Normal 2 2 2 6" xfId="978" xr:uid="{00000000-0005-0000-0000-0000D6040000}"/>
    <cellStyle name="Normal 2 2 2 7" xfId="979" xr:uid="{00000000-0005-0000-0000-0000D7040000}"/>
    <cellStyle name="Normal 2 2 2 8" xfId="973" xr:uid="{00000000-0005-0000-0000-0000D8040000}"/>
    <cellStyle name="Normal 2 2 3" xfId="535" xr:uid="{00000000-0005-0000-0000-0000D9040000}"/>
    <cellStyle name="Normal 2 2 3 2" xfId="536" xr:uid="{00000000-0005-0000-0000-0000DA040000}"/>
    <cellStyle name="Normal 2 2 3 2 2" xfId="980" xr:uid="{00000000-0005-0000-0000-0000DB040000}"/>
    <cellStyle name="Normal 2 2 3 3" xfId="537" xr:uid="{00000000-0005-0000-0000-0000DC040000}"/>
    <cellStyle name="Normal 2 2 3 3 2" xfId="981" xr:uid="{00000000-0005-0000-0000-0000DD040000}"/>
    <cellStyle name="Normal 2 2 3 4" xfId="982" xr:uid="{00000000-0005-0000-0000-0000DE040000}"/>
    <cellStyle name="Normal 2 2 3 4 2" xfId="2015" xr:uid="{00000000-0005-0000-0000-0000DF040000}"/>
    <cellStyle name="Normal 2 2 3 5" xfId="983" xr:uid="{00000000-0005-0000-0000-0000E0040000}"/>
    <cellStyle name="Normal 2 2 3 5 2" xfId="2016" xr:uid="{00000000-0005-0000-0000-0000E1040000}"/>
    <cellStyle name="Normal 2 2 3 6" xfId="984" xr:uid="{00000000-0005-0000-0000-0000E2040000}"/>
    <cellStyle name="Normal 2 2 3 6 2" xfId="2017" xr:uid="{00000000-0005-0000-0000-0000E3040000}"/>
    <cellStyle name="Normal 2 2 3 7" xfId="985" xr:uid="{00000000-0005-0000-0000-0000E4040000}"/>
    <cellStyle name="Normal 2 2 3 7 2" xfId="2018" xr:uid="{00000000-0005-0000-0000-0000E5040000}"/>
    <cellStyle name="Normal 2 2 3 8" xfId="2019" xr:uid="{00000000-0005-0000-0000-0000E6040000}"/>
    <cellStyle name="Normal 2 2 4" xfId="538" xr:uid="{00000000-0005-0000-0000-0000E7040000}"/>
    <cellStyle name="Normal 2 2 5" xfId="539" xr:uid="{00000000-0005-0000-0000-0000E8040000}"/>
    <cellStyle name="Normal 2 2 6" xfId="540" xr:uid="{00000000-0005-0000-0000-0000E9040000}"/>
    <cellStyle name="Normal 2 2 7" xfId="541" xr:uid="{00000000-0005-0000-0000-0000EA040000}"/>
    <cellStyle name="Normal 2 2 8" xfId="542" xr:uid="{00000000-0005-0000-0000-0000EB040000}"/>
    <cellStyle name="Normal 2 2 9" xfId="543" xr:uid="{00000000-0005-0000-0000-0000EC040000}"/>
    <cellStyle name="Normal 2 20" xfId="1201" xr:uid="{00000000-0005-0000-0000-0000ED040000}"/>
    <cellStyle name="Normal 2 20 2" xfId="2020" xr:uid="{00000000-0005-0000-0000-0000EE040000}"/>
    <cellStyle name="Normal 2 3" xfId="16" xr:uid="{00000000-0005-0000-0000-0000EF040000}"/>
    <cellStyle name="Normal 2 3 2" xfId="29" xr:uid="{00000000-0005-0000-0000-0000F0040000}"/>
    <cellStyle name="Normal 2 3 2 2" xfId="987" xr:uid="{00000000-0005-0000-0000-0000F1040000}"/>
    <cellStyle name="Normal 2 3 2 2 2" xfId="2021" xr:uid="{00000000-0005-0000-0000-0000F2040000}"/>
    <cellStyle name="Normal 2 3 2 3" xfId="988" xr:uid="{00000000-0005-0000-0000-0000F3040000}"/>
    <cellStyle name="Normal 2 3 2 3 2" xfId="2022" xr:uid="{00000000-0005-0000-0000-0000F4040000}"/>
    <cellStyle name="Normal 2 3 2 4" xfId="989" xr:uid="{00000000-0005-0000-0000-0000F5040000}"/>
    <cellStyle name="Normal 2 3 2 4 2" xfId="2023" xr:uid="{00000000-0005-0000-0000-0000F6040000}"/>
    <cellStyle name="Normal 2 3 2 5" xfId="990" xr:uid="{00000000-0005-0000-0000-0000F7040000}"/>
    <cellStyle name="Normal 2 3 2 5 2" xfId="2024" xr:uid="{00000000-0005-0000-0000-0000F8040000}"/>
    <cellStyle name="Normal 2 3 2 6" xfId="991" xr:uid="{00000000-0005-0000-0000-0000F9040000}"/>
    <cellStyle name="Normal 2 3 2 6 2" xfId="2025" xr:uid="{00000000-0005-0000-0000-0000FA040000}"/>
    <cellStyle name="Normal 2 3 2 7" xfId="992" xr:uid="{00000000-0005-0000-0000-0000FB040000}"/>
    <cellStyle name="Normal 2 3 2 7 2" xfId="2026" xr:uid="{00000000-0005-0000-0000-0000FC040000}"/>
    <cellStyle name="Normal 2 3 2 8" xfId="986" xr:uid="{00000000-0005-0000-0000-0000FD040000}"/>
    <cellStyle name="Normal 2 3 2 8 2" xfId="2027" xr:uid="{00000000-0005-0000-0000-0000FE040000}"/>
    <cellStyle name="Normal 2 3 3" xfId="544" xr:uid="{00000000-0005-0000-0000-0000FF040000}"/>
    <cellStyle name="Normal 2 3 3 2" xfId="2028" xr:uid="{00000000-0005-0000-0000-000000050000}"/>
    <cellStyle name="Normal 2 3 4" xfId="993" xr:uid="{00000000-0005-0000-0000-000001050000}"/>
    <cellStyle name="Normal 2 3 5" xfId="994" xr:uid="{00000000-0005-0000-0000-000002050000}"/>
    <cellStyle name="Normal 2 3 6" xfId="995" xr:uid="{00000000-0005-0000-0000-000003050000}"/>
    <cellStyle name="Normal 2 3 7" xfId="996" xr:uid="{00000000-0005-0000-0000-000004050000}"/>
    <cellStyle name="Normal 2 3 8" xfId="997" xr:uid="{00000000-0005-0000-0000-000005050000}"/>
    <cellStyle name="Normal 2 4" xfId="545" xr:uid="{00000000-0005-0000-0000-000006050000}"/>
    <cellStyle name="Normal 2 4 2" xfId="546" xr:uid="{00000000-0005-0000-0000-000007050000}"/>
    <cellStyle name="Normal 2 4 2 2" xfId="2029" xr:uid="{00000000-0005-0000-0000-000008050000}"/>
    <cellStyle name="Normal 2 4 3" xfId="547" xr:uid="{00000000-0005-0000-0000-000009050000}"/>
    <cellStyle name="Normal 2 4 4" xfId="2030" xr:uid="{00000000-0005-0000-0000-00000A050000}"/>
    <cellStyle name="Normal 2 5" xfId="548" xr:uid="{00000000-0005-0000-0000-00000B050000}"/>
    <cellStyle name="Normal 2 5 2" xfId="549" xr:uid="{00000000-0005-0000-0000-00000C050000}"/>
    <cellStyle name="Normal 2 5 3" xfId="999" xr:uid="{00000000-0005-0000-0000-00000D050000}"/>
    <cellStyle name="Normal 2 5 3 2" xfId="1204" xr:uid="{00000000-0005-0000-0000-00000E050000}"/>
    <cellStyle name="Normal 2 5 4" xfId="1205" xr:uid="{00000000-0005-0000-0000-00000F050000}"/>
    <cellStyle name="Normal 2 5_DGO" xfId="1720" xr:uid="{00000000-0005-0000-0000-000010050000}"/>
    <cellStyle name="Normal 2 6" xfId="550" xr:uid="{00000000-0005-0000-0000-000011050000}"/>
    <cellStyle name="Normal 2 6 2" xfId="551" xr:uid="{00000000-0005-0000-0000-000012050000}"/>
    <cellStyle name="Normal 2 6 3" xfId="1000" xr:uid="{00000000-0005-0000-0000-000013050000}"/>
    <cellStyle name="Normal 2 7" xfId="552" xr:uid="{00000000-0005-0000-0000-000014050000}"/>
    <cellStyle name="Normal 2 7 2" xfId="553" xr:uid="{00000000-0005-0000-0000-000015050000}"/>
    <cellStyle name="Normal 2 7 3" xfId="1001" xr:uid="{00000000-0005-0000-0000-000016050000}"/>
    <cellStyle name="Normal 2 7 3 2" xfId="2031" xr:uid="{00000000-0005-0000-0000-000017050000}"/>
    <cellStyle name="Normal 2 8" xfId="554" xr:uid="{00000000-0005-0000-0000-000018050000}"/>
    <cellStyle name="Normal 2 8 2" xfId="555" xr:uid="{00000000-0005-0000-0000-000019050000}"/>
    <cellStyle name="Normal 2 8 3" xfId="2032" xr:uid="{00000000-0005-0000-0000-00001A050000}"/>
    <cellStyle name="Normal 2 9" xfId="556" xr:uid="{00000000-0005-0000-0000-00001B050000}"/>
    <cellStyle name="Normal 2 9 2" xfId="557" xr:uid="{00000000-0005-0000-0000-00001C050000}"/>
    <cellStyle name="Normal 2 9 3" xfId="2033" xr:uid="{00000000-0005-0000-0000-00001D050000}"/>
    <cellStyle name="Normal 2_2012-2016 Prestações Desemprego_6_Março" xfId="1721" xr:uid="{00000000-0005-0000-0000-00001E050000}"/>
    <cellStyle name="Normal 20" xfId="558" xr:uid="{00000000-0005-0000-0000-00001F050000}"/>
    <cellStyle name="Normal 20 2" xfId="559" xr:uid="{00000000-0005-0000-0000-000020050000}"/>
    <cellStyle name="Normal 20 2 2" xfId="1206" xr:uid="{00000000-0005-0000-0000-000021050000}"/>
    <cellStyle name="Normal 20 2 3" xfId="1207" xr:uid="{00000000-0005-0000-0000-000022050000}"/>
    <cellStyle name="Normal 20 2 4" xfId="1722" xr:uid="{00000000-0005-0000-0000-000023050000}"/>
    <cellStyle name="Normal 20 3" xfId="1060" xr:uid="{00000000-0005-0000-0000-000024050000}"/>
    <cellStyle name="Normal 20 3 2" xfId="1208" xr:uid="{00000000-0005-0000-0000-000025050000}"/>
    <cellStyle name="Normal 20 4" xfId="1209" xr:uid="{00000000-0005-0000-0000-000026050000}"/>
    <cellStyle name="Normal 20 5" xfId="1723" xr:uid="{00000000-0005-0000-0000-000027050000}"/>
    <cellStyle name="Normal 20_DGO" xfId="1724" xr:uid="{00000000-0005-0000-0000-000028050000}"/>
    <cellStyle name="Normal 21" xfId="560" xr:uid="{00000000-0005-0000-0000-000029050000}"/>
    <cellStyle name="Normal 21 2" xfId="1061" xr:uid="{00000000-0005-0000-0000-00002A050000}"/>
    <cellStyle name="Normal 21 2 2" xfId="1210" xr:uid="{00000000-0005-0000-0000-00002B050000}"/>
    <cellStyle name="Normal 21 3" xfId="1211" xr:uid="{00000000-0005-0000-0000-00002C050000}"/>
    <cellStyle name="Normal 21 4" xfId="1725" xr:uid="{00000000-0005-0000-0000-00002D050000}"/>
    <cellStyle name="Normal 22" xfId="561" xr:uid="{00000000-0005-0000-0000-00002E050000}"/>
    <cellStyle name="Normal 22 2" xfId="1062" xr:uid="{00000000-0005-0000-0000-00002F050000}"/>
    <cellStyle name="Normal 22 2 2" xfId="2034" xr:uid="{00000000-0005-0000-0000-000030050000}"/>
    <cellStyle name="Normal 23" xfId="562" xr:uid="{00000000-0005-0000-0000-000031050000}"/>
    <cellStyle name="Normal 23 2" xfId="1063" xr:uid="{00000000-0005-0000-0000-000032050000}"/>
    <cellStyle name="Normal 24" xfId="563" xr:uid="{00000000-0005-0000-0000-000033050000}"/>
    <cellStyle name="Normal 24 2" xfId="1079" xr:uid="{00000000-0005-0000-0000-000034050000}"/>
    <cellStyle name="Normal 24 2 2" xfId="2035" xr:uid="{00000000-0005-0000-0000-000035050000}"/>
    <cellStyle name="Normal 25" xfId="564" xr:uid="{00000000-0005-0000-0000-000036050000}"/>
    <cellStyle name="Normal 25 2" xfId="2036" xr:uid="{00000000-0005-0000-0000-000037050000}"/>
    <cellStyle name="Normal 26" xfId="565" xr:uid="{00000000-0005-0000-0000-000038050000}"/>
    <cellStyle name="Normal 26 2" xfId="2037" xr:uid="{00000000-0005-0000-0000-000039050000}"/>
    <cellStyle name="Normal 27" xfId="566" xr:uid="{00000000-0005-0000-0000-00003A050000}"/>
    <cellStyle name="Normal 27 2" xfId="2038" xr:uid="{00000000-0005-0000-0000-00003B050000}"/>
    <cellStyle name="Normal 28" xfId="567" xr:uid="{00000000-0005-0000-0000-00003C050000}"/>
    <cellStyle name="Normal 28 2" xfId="1003" xr:uid="{00000000-0005-0000-0000-00003D050000}"/>
    <cellStyle name="Normal 28 2 2" xfId="1212" xr:uid="{00000000-0005-0000-0000-00003E050000}"/>
    <cellStyle name="Normal 28 2 3" xfId="1726" xr:uid="{00000000-0005-0000-0000-00003F050000}"/>
    <cellStyle name="Normal 28 3" xfId="1002" xr:uid="{00000000-0005-0000-0000-000040050000}"/>
    <cellStyle name="Normal 28 3 2" xfId="2039" xr:uid="{00000000-0005-0000-0000-000041050000}"/>
    <cellStyle name="Normal 29" xfId="568" xr:uid="{00000000-0005-0000-0000-000042050000}"/>
    <cellStyle name="Normal 29 2" xfId="2040" xr:uid="{00000000-0005-0000-0000-000043050000}"/>
    <cellStyle name="Normal 3" xfId="569" xr:uid="{00000000-0005-0000-0000-000044050000}"/>
    <cellStyle name="Normal 3 10" xfId="570" xr:uid="{00000000-0005-0000-0000-000045050000}"/>
    <cellStyle name="Normal 3 11" xfId="571" xr:uid="{00000000-0005-0000-0000-000046050000}"/>
    <cellStyle name="Normal 3 12" xfId="572" xr:uid="{00000000-0005-0000-0000-000047050000}"/>
    <cellStyle name="Normal 3 13" xfId="573" xr:uid="{00000000-0005-0000-0000-000048050000}"/>
    <cellStyle name="Normal 3 14" xfId="574" xr:uid="{00000000-0005-0000-0000-000049050000}"/>
    <cellStyle name="Normal 3 15" xfId="575" xr:uid="{00000000-0005-0000-0000-00004A050000}"/>
    <cellStyle name="Normal 3 15 2" xfId="1213" xr:uid="{00000000-0005-0000-0000-00004B050000}"/>
    <cellStyle name="Normal 3 15 3" xfId="1214" xr:uid="{00000000-0005-0000-0000-00004C050000}"/>
    <cellStyle name="Normal 3 15 4" xfId="1727" xr:uid="{00000000-0005-0000-0000-00004D050000}"/>
    <cellStyle name="Normal 3 16" xfId="2041" xr:uid="{00000000-0005-0000-0000-00004E050000}"/>
    <cellStyle name="Normal 3 17" xfId="2320" xr:uid="{00000000-0005-0000-0000-00004F050000}"/>
    <cellStyle name="Normal 3 2" xfId="576" xr:uid="{00000000-0005-0000-0000-000050050000}"/>
    <cellStyle name="Normal 3 2 10" xfId="1215" xr:uid="{00000000-0005-0000-0000-000051050000}"/>
    <cellStyle name="Normal 3 2 11" xfId="1216" xr:uid="{00000000-0005-0000-0000-000052050000}"/>
    <cellStyle name="Normal 3 2 2" xfId="577" xr:uid="{00000000-0005-0000-0000-000053050000}"/>
    <cellStyle name="Normal 3 2 2 2" xfId="578" xr:uid="{00000000-0005-0000-0000-000054050000}"/>
    <cellStyle name="Normal 3 2 2 2 2" xfId="579" xr:uid="{00000000-0005-0000-0000-000055050000}"/>
    <cellStyle name="Normal 3 2 2 2 2 2" xfId="1217" xr:uid="{00000000-0005-0000-0000-000056050000}"/>
    <cellStyle name="Normal 3 2 2 2 2 3" xfId="1218" xr:uid="{00000000-0005-0000-0000-000057050000}"/>
    <cellStyle name="Normal 3 2 2 2 2 4" xfId="1728" xr:uid="{00000000-0005-0000-0000-000058050000}"/>
    <cellStyle name="Normal 3 2 2 2 3" xfId="1219" xr:uid="{00000000-0005-0000-0000-000059050000}"/>
    <cellStyle name="Normal 3 2 2 2 4" xfId="1220" xr:uid="{00000000-0005-0000-0000-00005A050000}"/>
    <cellStyle name="Normal 3 2 2 2 5" xfId="1729" xr:uid="{00000000-0005-0000-0000-00005B050000}"/>
    <cellStyle name="Normal 3 2 2 2_DGO" xfId="1730" xr:uid="{00000000-0005-0000-0000-00005C050000}"/>
    <cellStyle name="Normal 3 2 2 3" xfId="580" xr:uid="{00000000-0005-0000-0000-00005D050000}"/>
    <cellStyle name="Normal 3 2 2 3 2" xfId="581" xr:uid="{00000000-0005-0000-0000-00005E050000}"/>
    <cellStyle name="Normal 3 2 2 3 2 2" xfId="1221" xr:uid="{00000000-0005-0000-0000-00005F050000}"/>
    <cellStyle name="Normal 3 2 2 3 2 3" xfId="1222" xr:uid="{00000000-0005-0000-0000-000060050000}"/>
    <cellStyle name="Normal 3 2 2 3 2 4" xfId="1731" xr:uid="{00000000-0005-0000-0000-000061050000}"/>
    <cellStyle name="Normal 3 2 2 3_DGO" xfId="1732" xr:uid="{00000000-0005-0000-0000-000062050000}"/>
    <cellStyle name="Normal 3 2 2 4" xfId="582" xr:uid="{00000000-0005-0000-0000-000063050000}"/>
    <cellStyle name="Normal 3 2 2 4 2" xfId="1223" xr:uid="{00000000-0005-0000-0000-000064050000}"/>
    <cellStyle name="Normal 3 2 2 4 3" xfId="1224" xr:uid="{00000000-0005-0000-0000-000065050000}"/>
    <cellStyle name="Normal 3 2 2 4 4" xfId="1733" xr:uid="{00000000-0005-0000-0000-000066050000}"/>
    <cellStyle name="Normal 3 2 2 5" xfId="583" xr:uid="{00000000-0005-0000-0000-000067050000}"/>
    <cellStyle name="Normal 3 2 2 6" xfId="1225" xr:uid="{00000000-0005-0000-0000-000068050000}"/>
    <cellStyle name="Normal 3 2 2 7" xfId="1226" xr:uid="{00000000-0005-0000-0000-000069050000}"/>
    <cellStyle name="Normal 3 2 2_DGO" xfId="1734" xr:uid="{00000000-0005-0000-0000-00006A050000}"/>
    <cellStyle name="Normal 3 2 3" xfId="19" xr:uid="{00000000-0005-0000-0000-00006B050000}"/>
    <cellStyle name="Normal 3 2 3 10" xfId="1735" xr:uid="{00000000-0005-0000-0000-00006C050000}"/>
    <cellStyle name="Normal 3 2 3 2" xfId="584" xr:uid="{00000000-0005-0000-0000-00006D050000}"/>
    <cellStyle name="Normal 3 2 3 2 2" xfId="585" xr:uid="{00000000-0005-0000-0000-00006E050000}"/>
    <cellStyle name="Normal 3 2 3 2 2 2" xfId="1227" xr:uid="{00000000-0005-0000-0000-00006F050000}"/>
    <cellStyle name="Normal 3 2 3 2 2 3" xfId="1228" xr:uid="{00000000-0005-0000-0000-000070050000}"/>
    <cellStyle name="Normal 3 2 3 2 2 4" xfId="1736" xr:uid="{00000000-0005-0000-0000-000071050000}"/>
    <cellStyle name="Normal 3 2 3 2 3" xfId="1229" xr:uid="{00000000-0005-0000-0000-000072050000}"/>
    <cellStyle name="Normal 3 2 3 2 3 2" xfId="1230" xr:uid="{00000000-0005-0000-0000-000073050000}"/>
    <cellStyle name="Normal 3 2 3 2 4" xfId="1231" xr:uid="{00000000-0005-0000-0000-000074050000}"/>
    <cellStyle name="Normal 3 2 3 2 5" xfId="1737" xr:uid="{00000000-0005-0000-0000-000075050000}"/>
    <cellStyle name="Normal 3 2 3 2_DGO" xfId="1738" xr:uid="{00000000-0005-0000-0000-000076050000}"/>
    <cellStyle name="Normal 3 2 3 3" xfId="586" xr:uid="{00000000-0005-0000-0000-000077050000}"/>
    <cellStyle name="Normal 3 2 3 3 2" xfId="587" xr:uid="{00000000-0005-0000-0000-000078050000}"/>
    <cellStyle name="Normal 3 2 3 3 2 2" xfId="1232" xr:uid="{00000000-0005-0000-0000-000079050000}"/>
    <cellStyle name="Normal 3 2 3 3 2 3" xfId="1233" xr:uid="{00000000-0005-0000-0000-00007A050000}"/>
    <cellStyle name="Normal 3 2 3 3 2 4" xfId="1739" xr:uid="{00000000-0005-0000-0000-00007B050000}"/>
    <cellStyle name="Normal 3 2 3 3 3" xfId="1234" xr:uid="{00000000-0005-0000-0000-00007C050000}"/>
    <cellStyle name="Normal 3 2 3 3 4" xfId="1235" xr:uid="{00000000-0005-0000-0000-00007D050000}"/>
    <cellStyle name="Normal 3 2 3 3 5" xfId="1740" xr:uid="{00000000-0005-0000-0000-00007E050000}"/>
    <cellStyle name="Normal 3 2 3 3_DGO" xfId="1741" xr:uid="{00000000-0005-0000-0000-00007F050000}"/>
    <cellStyle name="Normal 3 2 3 4" xfId="588" xr:uid="{00000000-0005-0000-0000-000080050000}"/>
    <cellStyle name="Normal 3 2 3 4 2" xfId="589" xr:uid="{00000000-0005-0000-0000-000081050000}"/>
    <cellStyle name="Normal 3 2 3 4 2 2" xfId="1236" xr:uid="{00000000-0005-0000-0000-000082050000}"/>
    <cellStyle name="Normal 3 2 3 4 2 3" xfId="1237" xr:uid="{00000000-0005-0000-0000-000083050000}"/>
    <cellStyle name="Normal 3 2 3 4 2 4" xfId="1742" xr:uid="{00000000-0005-0000-0000-000084050000}"/>
    <cellStyle name="Normal 3 2 3 4 3" xfId="590" xr:uid="{00000000-0005-0000-0000-000085050000}"/>
    <cellStyle name="Normal 3 2 3 4 3 2" xfId="591" xr:uid="{00000000-0005-0000-0000-000086050000}"/>
    <cellStyle name="Normal 3 2 3 4 3 2 2" xfId="1238" xr:uid="{00000000-0005-0000-0000-000087050000}"/>
    <cellStyle name="Normal 3 2 3 4 3 2 3" xfId="1239" xr:uid="{00000000-0005-0000-0000-000088050000}"/>
    <cellStyle name="Normal 3 2 3 4 3 2 4" xfId="1743" xr:uid="{00000000-0005-0000-0000-000089050000}"/>
    <cellStyle name="Normal 3 2 3 4 3 3" xfId="1240" xr:uid="{00000000-0005-0000-0000-00008A050000}"/>
    <cellStyle name="Normal 3 2 3 4 3 4" xfId="1241" xr:uid="{00000000-0005-0000-0000-00008B050000}"/>
    <cellStyle name="Normal 3 2 3 4 3 5" xfId="1744" xr:uid="{00000000-0005-0000-0000-00008C050000}"/>
    <cellStyle name="Normal 3 2 3 4 3_DGO" xfId="1745" xr:uid="{00000000-0005-0000-0000-00008D050000}"/>
    <cellStyle name="Normal 3 2 3 4 4" xfId="1242" xr:uid="{00000000-0005-0000-0000-00008E050000}"/>
    <cellStyle name="Normal 3 2 3 4 5" xfId="1243" xr:uid="{00000000-0005-0000-0000-00008F050000}"/>
    <cellStyle name="Normal 3 2 3 4 6" xfId="1746" xr:uid="{00000000-0005-0000-0000-000090050000}"/>
    <cellStyle name="Normal 3 2 3 4_DGO" xfId="1747" xr:uid="{00000000-0005-0000-0000-000091050000}"/>
    <cellStyle name="Normal 3 2 3 5" xfId="592" xr:uid="{00000000-0005-0000-0000-000092050000}"/>
    <cellStyle name="Normal 3 2 3 5 2" xfId="593" xr:uid="{00000000-0005-0000-0000-000093050000}"/>
    <cellStyle name="Normal 3 2 3 5 2 2" xfId="1244" xr:uid="{00000000-0005-0000-0000-000094050000}"/>
    <cellStyle name="Normal 3 2 3 5 2 3" xfId="1245" xr:uid="{00000000-0005-0000-0000-000095050000}"/>
    <cellStyle name="Normal 3 2 3 5 2 4" xfId="1748" xr:uid="{00000000-0005-0000-0000-000096050000}"/>
    <cellStyle name="Normal 3 2 3 5 3" xfId="594" xr:uid="{00000000-0005-0000-0000-000097050000}"/>
    <cellStyle name="Normal 3 2 3 5 3 2" xfId="1246" xr:uid="{00000000-0005-0000-0000-000098050000}"/>
    <cellStyle name="Normal 3 2 3 5 3 3" xfId="1247" xr:uid="{00000000-0005-0000-0000-000099050000}"/>
    <cellStyle name="Normal 3 2 3 5 3 4" xfId="1749" xr:uid="{00000000-0005-0000-0000-00009A050000}"/>
    <cellStyle name="Normal 3 2 3 5 4" xfId="1248" xr:uid="{00000000-0005-0000-0000-00009B050000}"/>
    <cellStyle name="Normal 3 2 3 5 4 2" xfId="1249" xr:uid="{00000000-0005-0000-0000-00009C050000}"/>
    <cellStyle name="Normal 3 2 3 5 5" xfId="1250" xr:uid="{00000000-0005-0000-0000-00009D050000}"/>
    <cellStyle name="Normal 3 2 3 5 6" xfId="1750" xr:uid="{00000000-0005-0000-0000-00009E050000}"/>
    <cellStyle name="Normal 3 2 3 5_DGO" xfId="1751" xr:uid="{00000000-0005-0000-0000-00009F050000}"/>
    <cellStyle name="Normal 3 2 3 6" xfId="25" xr:uid="{00000000-0005-0000-0000-0000A0050000}"/>
    <cellStyle name="Normal 3 2 3 6 2" xfId="1251" xr:uid="{00000000-0005-0000-0000-0000A1050000}"/>
    <cellStyle name="Normal 3 2 3 6 2 2" xfId="1752" xr:uid="{00000000-0005-0000-0000-0000A2050000}"/>
    <cellStyle name="Normal 3 2 3 6 3" xfId="1252" xr:uid="{00000000-0005-0000-0000-0000A3050000}"/>
    <cellStyle name="Normal 3 2 3 6 4" xfId="1753" xr:uid="{00000000-0005-0000-0000-0000A4050000}"/>
    <cellStyle name="Normal 3 2 3 6_DGO" xfId="1754" xr:uid="{00000000-0005-0000-0000-0000A5050000}"/>
    <cellStyle name="Normal 3 2 3 7" xfId="20" xr:uid="{00000000-0005-0000-0000-0000A6050000}"/>
    <cellStyle name="Normal 3 2 3 7 2" xfId="1253" xr:uid="{00000000-0005-0000-0000-0000A7050000}"/>
    <cellStyle name="Normal 3 2 3 7 3" xfId="1254" xr:uid="{00000000-0005-0000-0000-0000A8050000}"/>
    <cellStyle name="Normal 3 2 3 7 4" xfId="1443" xr:uid="{00000000-0005-0000-0000-0000A9050000}"/>
    <cellStyle name="Normal 3 2 3 7 5" xfId="1446" xr:uid="{00000000-0005-0000-0000-0000AA050000}"/>
    <cellStyle name="Normal 3 2 3 7 5 2" xfId="1448" xr:uid="{00000000-0005-0000-0000-0000AB050000}"/>
    <cellStyle name="Normal 3 2 3 7 6" xfId="1452" xr:uid="{00000000-0005-0000-0000-0000AC050000}"/>
    <cellStyle name="Normal 3 2 3 7 7" xfId="1455" xr:uid="{00000000-0005-0000-0000-0000AD050000}"/>
    <cellStyle name="Normal 3 2 3 7 8" xfId="1755" xr:uid="{00000000-0005-0000-0000-0000AE050000}"/>
    <cellStyle name="Normal 3 2 3 8" xfId="1255" xr:uid="{00000000-0005-0000-0000-0000AF050000}"/>
    <cellStyle name="Normal 3 2 3 8 2" xfId="1256" xr:uid="{00000000-0005-0000-0000-0000B0050000}"/>
    <cellStyle name="Normal 3 2 3 9" xfId="1257" xr:uid="{00000000-0005-0000-0000-0000B1050000}"/>
    <cellStyle name="Normal 3 2 3_DGO" xfId="1756" xr:uid="{00000000-0005-0000-0000-0000B2050000}"/>
    <cellStyle name="Normal 3 2 4" xfId="595" xr:uid="{00000000-0005-0000-0000-0000B3050000}"/>
    <cellStyle name="Normal 3 2 4 2" xfId="596" xr:uid="{00000000-0005-0000-0000-0000B4050000}"/>
    <cellStyle name="Normal 3 2 4 2 2" xfId="597" xr:uid="{00000000-0005-0000-0000-0000B5050000}"/>
    <cellStyle name="Normal 3 2 4 2 2 2" xfId="1258" xr:uid="{00000000-0005-0000-0000-0000B6050000}"/>
    <cellStyle name="Normal 3 2 4 2 2 3" xfId="1259" xr:uid="{00000000-0005-0000-0000-0000B7050000}"/>
    <cellStyle name="Normal 3 2 4 2 2 4" xfId="1757" xr:uid="{00000000-0005-0000-0000-0000B8050000}"/>
    <cellStyle name="Normal 3 2 4 2 3" xfId="1260" xr:uid="{00000000-0005-0000-0000-0000B9050000}"/>
    <cellStyle name="Normal 3 2 4 2 4" xfId="1261" xr:uid="{00000000-0005-0000-0000-0000BA050000}"/>
    <cellStyle name="Normal 3 2 4 2 5" xfId="1758" xr:uid="{00000000-0005-0000-0000-0000BB050000}"/>
    <cellStyle name="Normal 3 2 4 2_DGO" xfId="1759" xr:uid="{00000000-0005-0000-0000-0000BC050000}"/>
    <cellStyle name="Normal 3 2 4 3" xfId="598" xr:uid="{00000000-0005-0000-0000-0000BD050000}"/>
    <cellStyle name="Normal 3 2 4 3 2" xfId="599" xr:uid="{00000000-0005-0000-0000-0000BE050000}"/>
    <cellStyle name="Normal 3 2 4 3 2 2" xfId="1262" xr:uid="{00000000-0005-0000-0000-0000BF050000}"/>
    <cellStyle name="Normal 3 2 4 3 2 3" xfId="1263" xr:uid="{00000000-0005-0000-0000-0000C0050000}"/>
    <cellStyle name="Normal 3 2 4 3 2 4" xfId="1760" xr:uid="{00000000-0005-0000-0000-0000C1050000}"/>
    <cellStyle name="Normal 3 2 4 3 3" xfId="1264" xr:uid="{00000000-0005-0000-0000-0000C2050000}"/>
    <cellStyle name="Normal 3 2 4 3 4" xfId="1265" xr:uid="{00000000-0005-0000-0000-0000C3050000}"/>
    <cellStyle name="Normal 3 2 4 3 5" xfId="1761" xr:uid="{00000000-0005-0000-0000-0000C4050000}"/>
    <cellStyle name="Normal 3 2 4 3_DGO" xfId="1762" xr:uid="{00000000-0005-0000-0000-0000C5050000}"/>
    <cellStyle name="Normal 3 2 4 4" xfId="600" xr:uid="{00000000-0005-0000-0000-0000C6050000}"/>
    <cellStyle name="Normal 3 2 4 4 2" xfId="1266" xr:uid="{00000000-0005-0000-0000-0000C7050000}"/>
    <cellStyle name="Normal 3 2 4 4 3" xfId="1267" xr:uid="{00000000-0005-0000-0000-0000C8050000}"/>
    <cellStyle name="Normal 3 2 4 4 4" xfId="1763" xr:uid="{00000000-0005-0000-0000-0000C9050000}"/>
    <cellStyle name="Normal 3 2 4 5" xfId="1268" xr:uid="{00000000-0005-0000-0000-0000CA050000}"/>
    <cellStyle name="Normal 3 2 4 5 2" xfId="1269" xr:uid="{00000000-0005-0000-0000-0000CB050000}"/>
    <cellStyle name="Normal 3 2 4 6" xfId="1270" xr:uid="{00000000-0005-0000-0000-0000CC050000}"/>
    <cellStyle name="Normal 3 2 4 7" xfId="1764" xr:uid="{00000000-0005-0000-0000-0000CD050000}"/>
    <cellStyle name="Normal 3 2 4_DGO" xfId="1765" xr:uid="{00000000-0005-0000-0000-0000CE050000}"/>
    <cellStyle name="Normal 3 2 5" xfId="601" xr:uid="{00000000-0005-0000-0000-0000CF050000}"/>
    <cellStyle name="Normal 3 2 5 2" xfId="602" xr:uid="{00000000-0005-0000-0000-0000D0050000}"/>
    <cellStyle name="Normal 3 2 5 2 2" xfId="1271" xr:uid="{00000000-0005-0000-0000-0000D1050000}"/>
    <cellStyle name="Normal 3 2 5 2 3" xfId="1272" xr:uid="{00000000-0005-0000-0000-0000D2050000}"/>
    <cellStyle name="Normal 3 2 5 2 4" xfId="1766" xr:uid="{00000000-0005-0000-0000-0000D3050000}"/>
    <cellStyle name="Normal 3 2 5 3" xfId="603" xr:uid="{00000000-0005-0000-0000-0000D4050000}"/>
    <cellStyle name="Normal 3 2 5 4" xfId="1273" xr:uid="{00000000-0005-0000-0000-0000D5050000}"/>
    <cellStyle name="Normal 3 2 5 4 2" xfId="1274" xr:uid="{00000000-0005-0000-0000-0000D6050000}"/>
    <cellStyle name="Normal 3 2 5 5" xfId="1275" xr:uid="{00000000-0005-0000-0000-0000D7050000}"/>
    <cellStyle name="Normal 3 2 5_DGO" xfId="1767" xr:uid="{00000000-0005-0000-0000-0000D8050000}"/>
    <cellStyle name="Normal 3 2 6" xfId="604" xr:uid="{00000000-0005-0000-0000-0000D9050000}"/>
    <cellStyle name="Normal 3 2 6 2" xfId="605" xr:uid="{00000000-0005-0000-0000-0000DA050000}"/>
    <cellStyle name="Normal 3 2 6 2 2" xfId="1276" xr:uid="{00000000-0005-0000-0000-0000DB050000}"/>
    <cellStyle name="Normal 3 2 6 2 3" xfId="1277" xr:uid="{00000000-0005-0000-0000-0000DC050000}"/>
    <cellStyle name="Normal 3 2 6 2 4" xfId="1768" xr:uid="{00000000-0005-0000-0000-0000DD050000}"/>
    <cellStyle name="Normal 3 2 6 3" xfId="1278" xr:uid="{00000000-0005-0000-0000-0000DE050000}"/>
    <cellStyle name="Normal 3 2 6 4" xfId="1279" xr:uid="{00000000-0005-0000-0000-0000DF050000}"/>
    <cellStyle name="Normal 3 2 6 5" xfId="1769" xr:uid="{00000000-0005-0000-0000-0000E0050000}"/>
    <cellStyle name="Normal 3 2 6_DGO" xfId="1770" xr:uid="{00000000-0005-0000-0000-0000E1050000}"/>
    <cellStyle name="Normal 3 2 7" xfId="606" xr:uid="{00000000-0005-0000-0000-0000E2050000}"/>
    <cellStyle name="Normal 3 2 7 2" xfId="1280" xr:uid="{00000000-0005-0000-0000-0000E3050000}"/>
    <cellStyle name="Normal 3 2 7 3" xfId="1281" xr:uid="{00000000-0005-0000-0000-0000E4050000}"/>
    <cellStyle name="Normal 3 2 7 4" xfId="1771" xr:uid="{00000000-0005-0000-0000-0000E5050000}"/>
    <cellStyle name="Normal 3 2 8" xfId="607" xr:uid="{00000000-0005-0000-0000-0000E6050000}"/>
    <cellStyle name="Normal 3 2 8 2" xfId="608" xr:uid="{00000000-0005-0000-0000-0000E7050000}"/>
    <cellStyle name="Normal 3 2 8 2 2" xfId="1282" xr:uid="{00000000-0005-0000-0000-0000E8050000}"/>
    <cellStyle name="Normal 3 2 8 2 3" xfId="1283" xr:uid="{00000000-0005-0000-0000-0000E9050000}"/>
    <cellStyle name="Normal 3 2 8 2 4" xfId="1772" xr:uid="{00000000-0005-0000-0000-0000EA050000}"/>
    <cellStyle name="Normal 3 2 8 3" xfId="1284" xr:uid="{00000000-0005-0000-0000-0000EB050000}"/>
    <cellStyle name="Normal 3 2 8 4" xfId="1285" xr:uid="{00000000-0005-0000-0000-0000EC050000}"/>
    <cellStyle name="Normal 3 2 8 5" xfId="1773" xr:uid="{00000000-0005-0000-0000-0000ED050000}"/>
    <cellStyle name="Normal 3 2 8_DGO" xfId="1774" xr:uid="{00000000-0005-0000-0000-0000EE050000}"/>
    <cellStyle name="Normal 3 2 9" xfId="609" xr:uid="{00000000-0005-0000-0000-0000EF050000}"/>
    <cellStyle name="Normal 3 2 9 2" xfId="1286" xr:uid="{00000000-0005-0000-0000-0000F0050000}"/>
    <cellStyle name="Normal 3 2 9 3" xfId="1287" xr:uid="{00000000-0005-0000-0000-0000F1050000}"/>
    <cellStyle name="Normal 3 2 9 4" xfId="1775" xr:uid="{00000000-0005-0000-0000-0000F2050000}"/>
    <cellStyle name="Normal 3 2_DGO" xfId="1776" xr:uid="{00000000-0005-0000-0000-0000F3050000}"/>
    <cellStyle name="Normal 3 3" xfId="14" xr:uid="{00000000-0005-0000-0000-0000F4050000}"/>
    <cellStyle name="Normal 3 3 2" xfId="1004" xr:uid="{00000000-0005-0000-0000-0000F5050000}"/>
    <cellStyle name="Normal 3 4" xfId="610" xr:uid="{00000000-0005-0000-0000-0000F6050000}"/>
    <cellStyle name="Normal 3 5" xfId="611" xr:uid="{00000000-0005-0000-0000-0000F7050000}"/>
    <cellStyle name="Normal 3 6" xfId="612" xr:uid="{00000000-0005-0000-0000-0000F8050000}"/>
    <cellStyle name="Normal 3 6 2" xfId="1073" xr:uid="{00000000-0005-0000-0000-0000F9050000}"/>
    <cellStyle name="Normal 3 6 2 2" xfId="2042" xr:uid="{00000000-0005-0000-0000-0000FA050000}"/>
    <cellStyle name="Normal 3 7" xfId="613" xr:uid="{00000000-0005-0000-0000-0000FB050000}"/>
    <cellStyle name="Normal 3 8" xfId="614" xr:uid="{00000000-0005-0000-0000-0000FC050000}"/>
    <cellStyle name="Normal 3 9" xfId="615" xr:uid="{00000000-0005-0000-0000-0000FD050000}"/>
    <cellStyle name="Normal 3_Xl0000003" xfId="616" xr:uid="{00000000-0005-0000-0000-0000FE050000}"/>
    <cellStyle name="Normal 30" xfId="617" xr:uid="{00000000-0005-0000-0000-0000FF050000}"/>
    <cellStyle name="Normal 30 2" xfId="2043" xr:uid="{00000000-0005-0000-0000-000000060000}"/>
    <cellStyle name="Normal 31" xfId="618" xr:uid="{00000000-0005-0000-0000-000001060000}"/>
    <cellStyle name="Normal 31 2" xfId="2044" xr:uid="{00000000-0005-0000-0000-000002060000}"/>
    <cellStyle name="Normal 32" xfId="619" xr:uid="{00000000-0005-0000-0000-000003060000}"/>
    <cellStyle name="Normal 32 2" xfId="2045" xr:uid="{00000000-0005-0000-0000-000004060000}"/>
    <cellStyle name="Normal 33" xfId="620" xr:uid="{00000000-0005-0000-0000-000005060000}"/>
    <cellStyle name="Normal 33 2" xfId="2046" xr:uid="{00000000-0005-0000-0000-000006060000}"/>
    <cellStyle name="Normal 34" xfId="621" xr:uid="{00000000-0005-0000-0000-000007060000}"/>
    <cellStyle name="Normal 34 2" xfId="2047" xr:uid="{00000000-0005-0000-0000-000008060000}"/>
    <cellStyle name="Normal 35" xfId="622" xr:uid="{00000000-0005-0000-0000-000009060000}"/>
    <cellStyle name="Normal 35 2" xfId="2048" xr:uid="{00000000-0005-0000-0000-00000A060000}"/>
    <cellStyle name="Normal 36" xfId="623" xr:uid="{00000000-0005-0000-0000-00000B060000}"/>
    <cellStyle name="Normal 36 2" xfId="2049" xr:uid="{00000000-0005-0000-0000-00000C060000}"/>
    <cellStyle name="Normal 37" xfId="624" xr:uid="{00000000-0005-0000-0000-00000D060000}"/>
    <cellStyle name="Normal 37 2" xfId="2050" xr:uid="{00000000-0005-0000-0000-00000E060000}"/>
    <cellStyle name="Normal 38" xfId="625" xr:uid="{00000000-0005-0000-0000-00000F060000}"/>
    <cellStyle name="Normal 38 2" xfId="2051" xr:uid="{00000000-0005-0000-0000-000010060000}"/>
    <cellStyle name="Normal 39" xfId="626" xr:uid="{00000000-0005-0000-0000-000011060000}"/>
    <cellStyle name="Normal 39 2" xfId="2052" xr:uid="{00000000-0005-0000-0000-000012060000}"/>
    <cellStyle name="Normal 4" xfId="627" xr:uid="{00000000-0005-0000-0000-000013060000}"/>
    <cellStyle name="Normal 4 10" xfId="628" xr:uid="{00000000-0005-0000-0000-000014060000}"/>
    <cellStyle name="Normal 4 10 2" xfId="2053" xr:uid="{00000000-0005-0000-0000-000015060000}"/>
    <cellStyle name="Normal 4 2" xfId="10" xr:uid="{00000000-0005-0000-0000-000016060000}"/>
    <cellStyle name="Normal 4 2 2" xfId="1007" xr:uid="{00000000-0005-0000-0000-000017060000}"/>
    <cellStyle name="Normal 4 3" xfId="629" xr:uid="{00000000-0005-0000-0000-000018060000}"/>
    <cellStyle name="Normal 4 3 2" xfId="1008" xr:uid="{00000000-0005-0000-0000-000019060000}"/>
    <cellStyle name="Normal 4 3 2 2" xfId="1288" xr:uid="{00000000-0005-0000-0000-00001A060000}"/>
    <cellStyle name="Normal 4 3 3" xfId="1289" xr:uid="{00000000-0005-0000-0000-00001B060000}"/>
    <cellStyle name="Normal 4 3 4" xfId="1777" xr:uid="{00000000-0005-0000-0000-00001C060000}"/>
    <cellStyle name="Normal 4 4" xfId="630" xr:uid="{00000000-0005-0000-0000-00001D060000}"/>
    <cellStyle name="Normal 4 4 2" xfId="2054" xr:uid="{00000000-0005-0000-0000-00001E060000}"/>
    <cellStyle name="Normal 4 5" xfId="631" xr:uid="{00000000-0005-0000-0000-00001F060000}"/>
    <cellStyle name="Normal 4 5 2" xfId="2055" xr:uid="{00000000-0005-0000-0000-000020060000}"/>
    <cellStyle name="Normal 4 6" xfId="632" xr:uid="{00000000-0005-0000-0000-000021060000}"/>
    <cellStyle name="Normal 4 6 2" xfId="2056" xr:uid="{00000000-0005-0000-0000-000022060000}"/>
    <cellStyle name="Normal 4 7" xfId="633" xr:uid="{00000000-0005-0000-0000-000023060000}"/>
    <cellStyle name="Normal 4 7 2" xfId="2057" xr:uid="{00000000-0005-0000-0000-000024060000}"/>
    <cellStyle name="Normal 4 8" xfId="634" xr:uid="{00000000-0005-0000-0000-000025060000}"/>
    <cellStyle name="Normal 4 8 2" xfId="2058" xr:uid="{00000000-0005-0000-0000-000026060000}"/>
    <cellStyle name="Normal 4 9" xfId="635" xr:uid="{00000000-0005-0000-0000-000027060000}"/>
    <cellStyle name="Normal 4 9 2" xfId="2059" xr:uid="{00000000-0005-0000-0000-000028060000}"/>
    <cellStyle name="Normal 40" xfId="636" xr:uid="{00000000-0005-0000-0000-000029060000}"/>
    <cellStyle name="Normal 40 2" xfId="1065" xr:uid="{00000000-0005-0000-0000-00002A060000}"/>
    <cellStyle name="Normal 40 2 2" xfId="2060" xr:uid="{00000000-0005-0000-0000-00002B060000}"/>
    <cellStyle name="Normal 41" xfId="637" xr:uid="{00000000-0005-0000-0000-00002C060000}"/>
    <cellStyle name="Normal 41 2" xfId="2061" xr:uid="{00000000-0005-0000-0000-00002D060000}"/>
    <cellStyle name="Normal 42" xfId="638" xr:uid="{00000000-0005-0000-0000-00002E060000}"/>
    <cellStyle name="Normal 42 2" xfId="2062" xr:uid="{00000000-0005-0000-0000-00002F060000}"/>
    <cellStyle name="Normal 43" xfId="639" xr:uid="{00000000-0005-0000-0000-000030060000}"/>
    <cellStyle name="Normal 43 2" xfId="2063" xr:uid="{00000000-0005-0000-0000-000031060000}"/>
    <cellStyle name="Normal 44" xfId="640" xr:uid="{00000000-0005-0000-0000-000032060000}"/>
    <cellStyle name="Normal 44 2" xfId="1066" xr:uid="{00000000-0005-0000-0000-000033060000}"/>
    <cellStyle name="Normal 44 2 2" xfId="1290" xr:uid="{00000000-0005-0000-0000-000034060000}"/>
    <cellStyle name="Normal 44 2 3" xfId="1778" xr:uid="{00000000-0005-0000-0000-000035060000}"/>
    <cellStyle name="Normal 44 3" xfId="1009" xr:uid="{00000000-0005-0000-0000-000036060000}"/>
    <cellStyle name="Normal 44 3 2" xfId="2064" xr:uid="{00000000-0005-0000-0000-000037060000}"/>
    <cellStyle name="Normal 45" xfId="641" xr:uid="{00000000-0005-0000-0000-000038060000}"/>
    <cellStyle name="Normal 45 2" xfId="2065" xr:uid="{00000000-0005-0000-0000-000039060000}"/>
    <cellStyle name="Normal 46" xfId="642" xr:uid="{00000000-0005-0000-0000-00003A060000}"/>
    <cellStyle name="Normal 46 2" xfId="2066" xr:uid="{00000000-0005-0000-0000-00003B060000}"/>
    <cellStyle name="Normal 47" xfId="643" xr:uid="{00000000-0005-0000-0000-00003C060000}"/>
    <cellStyle name="Normal 47 2" xfId="2067" xr:uid="{00000000-0005-0000-0000-00003D060000}"/>
    <cellStyle name="Normal 48" xfId="644" xr:uid="{00000000-0005-0000-0000-00003E060000}"/>
    <cellStyle name="Normal 48 2" xfId="2068" xr:uid="{00000000-0005-0000-0000-00003F060000}"/>
    <cellStyle name="Normal 49" xfId="645" xr:uid="{00000000-0005-0000-0000-000040060000}"/>
    <cellStyle name="Normal 49 2" xfId="2069" xr:uid="{00000000-0005-0000-0000-000041060000}"/>
    <cellStyle name="Normal 5" xfId="646" xr:uid="{00000000-0005-0000-0000-000042060000}"/>
    <cellStyle name="Normal 5 10" xfId="647" xr:uid="{00000000-0005-0000-0000-000043060000}"/>
    <cellStyle name="Normal 5 10 2" xfId="648" xr:uid="{00000000-0005-0000-0000-000044060000}"/>
    <cellStyle name="Normal 5 10 2 10" xfId="649" xr:uid="{00000000-0005-0000-0000-000045060000}"/>
    <cellStyle name="Normal 5 10 2 10 2" xfId="2070" xr:uid="{00000000-0005-0000-0000-000046060000}"/>
    <cellStyle name="Normal 5 10 2 11" xfId="650" xr:uid="{00000000-0005-0000-0000-000047060000}"/>
    <cellStyle name="Normal 5 10 2 11 2" xfId="2071" xr:uid="{00000000-0005-0000-0000-000048060000}"/>
    <cellStyle name="Normal 5 10 2 12" xfId="651" xr:uid="{00000000-0005-0000-0000-000049060000}"/>
    <cellStyle name="Normal 5 10 2 12 2" xfId="2072" xr:uid="{00000000-0005-0000-0000-00004A060000}"/>
    <cellStyle name="Normal 5 10 2 13" xfId="2073" xr:uid="{00000000-0005-0000-0000-00004B060000}"/>
    <cellStyle name="Normal 5 10 2 2" xfId="652" xr:uid="{00000000-0005-0000-0000-00004C060000}"/>
    <cellStyle name="Normal 5 10 2 2 2" xfId="2074" xr:uid="{00000000-0005-0000-0000-00004D060000}"/>
    <cellStyle name="Normal 5 10 2 3" xfId="653" xr:uid="{00000000-0005-0000-0000-00004E060000}"/>
    <cellStyle name="Normal 5 10 2 3 2" xfId="2075" xr:uid="{00000000-0005-0000-0000-00004F060000}"/>
    <cellStyle name="Normal 5 10 2 4" xfId="654" xr:uid="{00000000-0005-0000-0000-000050060000}"/>
    <cellStyle name="Normal 5 10 2 4 2" xfId="2076" xr:uid="{00000000-0005-0000-0000-000051060000}"/>
    <cellStyle name="Normal 5 10 2 5" xfId="655" xr:uid="{00000000-0005-0000-0000-000052060000}"/>
    <cellStyle name="Normal 5 10 2 5 2" xfId="2077" xr:uid="{00000000-0005-0000-0000-000053060000}"/>
    <cellStyle name="Normal 5 10 2 6" xfId="656" xr:uid="{00000000-0005-0000-0000-000054060000}"/>
    <cellStyle name="Normal 5 10 2 6 2" xfId="2078" xr:uid="{00000000-0005-0000-0000-000055060000}"/>
    <cellStyle name="Normal 5 10 2 7" xfId="657" xr:uid="{00000000-0005-0000-0000-000056060000}"/>
    <cellStyle name="Normal 5 10 2 7 2" xfId="2079" xr:uid="{00000000-0005-0000-0000-000057060000}"/>
    <cellStyle name="Normal 5 10 2 8" xfId="658" xr:uid="{00000000-0005-0000-0000-000058060000}"/>
    <cellStyle name="Normal 5 10 2 8 2" xfId="2080" xr:uid="{00000000-0005-0000-0000-000059060000}"/>
    <cellStyle name="Normal 5 10 2 9" xfId="659" xr:uid="{00000000-0005-0000-0000-00005A060000}"/>
    <cellStyle name="Normal 5 10 2 9 2" xfId="2081" xr:uid="{00000000-0005-0000-0000-00005B060000}"/>
    <cellStyle name="Normal 5 10 3" xfId="2082" xr:uid="{00000000-0005-0000-0000-00005C060000}"/>
    <cellStyle name="Normal 5 2" xfId="5" xr:uid="{00000000-0005-0000-0000-00005D060000}"/>
    <cellStyle name="Normal 5 2 2" xfId="660" xr:uid="{00000000-0005-0000-0000-00005E060000}"/>
    <cellStyle name="Normal 5 3" xfId="661" xr:uid="{00000000-0005-0000-0000-00005F060000}"/>
    <cellStyle name="Normal 5 4" xfId="662" xr:uid="{00000000-0005-0000-0000-000060060000}"/>
    <cellStyle name="Normal 5 4 2" xfId="1010" xr:uid="{00000000-0005-0000-0000-000061060000}"/>
    <cellStyle name="Normal 5 4 2 2" xfId="1291" xr:uid="{00000000-0005-0000-0000-000062060000}"/>
    <cellStyle name="Normal 5 4 3" xfId="1292" xr:uid="{00000000-0005-0000-0000-000063060000}"/>
    <cellStyle name="Normal 5 4 4" xfId="1779" xr:uid="{00000000-0005-0000-0000-000064060000}"/>
    <cellStyle name="Normal 5 5" xfId="663" xr:uid="{00000000-0005-0000-0000-000065060000}"/>
    <cellStyle name="Normal 5 5 2" xfId="664" xr:uid="{00000000-0005-0000-0000-000066060000}"/>
    <cellStyle name="Normal 5 5 2 2" xfId="1293" xr:uid="{00000000-0005-0000-0000-000067060000}"/>
    <cellStyle name="Normal 5 5 2 3" xfId="1294" xr:uid="{00000000-0005-0000-0000-000068060000}"/>
    <cellStyle name="Normal 5 5 2 4" xfId="1780" xr:uid="{00000000-0005-0000-0000-000069060000}"/>
    <cellStyle name="Normal 5 5 3" xfId="2083" xr:uid="{00000000-0005-0000-0000-00006A060000}"/>
    <cellStyle name="Normal 5 6" xfId="665" xr:uid="{00000000-0005-0000-0000-00006B060000}"/>
    <cellStyle name="Normal 5 6 2" xfId="2084" xr:uid="{00000000-0005-0000-0000-00006C060000}"/>
    <cellStyle name="Normal 5 7" xfId="666" xr:uid="{00000000-0005-0000-0000-00006D060000}"/>
    <cellStyle name="Normal 5 7 2" xfId="2085" xr:uid="{00000000-0005-0000-0000-00006E060000}"/>
    <cellStyle name="Normal 5 8" xfId="667" xr:uid="{00000000-0005-0000-0000-00006F060000}"/>
    <cellStyle name="Normal 5 8 2" xfId="2086" xr:uid="{00000000-0005-0000-0000-000070060000}"/>
    <cellStyle name="Normal 5 9" xfId="668" xr:uid="{00000000-0005-0000-0000-000071060000}"/>
    <cellStyle name="Normal 5 9 2" xfId="2087" xr:uid="{00000000-0005-0000-0000-000072060000}"/>
    <cellStyle name="Normal 50" xfId="669" xr:uid="{00000000-0005-0000-0000-000073060000}"/>
    <cellStyle name="Normal 50 2" xfId="2088" xr:uid="{00000000-0005-0000-0000-000074060000}"/>
    <cellStyle name="Normal 51" xfId="670" xr:uid="{00000000-0005-0000-0000-000075060000}"/>
    <cellStyle name="Normal 51 2" xfId="2089" xr:uid="{00000000-0005-0000-0000-000076060000}"/>
    <cellStyle name="Normal 52" xfId="671" xr:uid="{00000000-0005-0000-0000-000077060000}"/>
    <cellStyle name="Normal 52 2" xfId="2090" xr:uid="{00000000-0005-0000-0000-000078060000}"/>
    <cellStyle name="Normal 53" xfId="672" xr:uid="{00000000-0005-0000-0000-000079060000}"/>
    <cellStyle name="Normal 53 2" xfId="2091" xr:uid="{00000000-0005-0000-0000-00007A060000}"/>
    <cellStyle name="Normal 54" xfId="673" xr:uid="{00000000-0005-0000-0000-00007B060000}"/>
    <cellStyle name="Normal 54 2" xfId="1295" xr:uid="{00000000-0005-0000-0000-00007C060000}"/>
    <cellStyle name="Normal 54 3" xfId="1296" xr:uid="{00000000-0005-0000-0000-00007D060000}"/>
    <cellStyle name="Normal 54 4" xfId="1781" xr:uid="{00000000-0005-0000-0000-00007E060000}"/>
    <cellStyle name="Normal 55" xfId="674" xr:uid="{00000000-0005-0000-0000-00007F060000}"/>
    <cellStyle name="Normal 55 2" xfId="2092" xr:uid="{00000000-0005-0000-0000-000080060000}"/>
    <cellStyle name="Normal 56" xfId="675" xr:uid="{00000000-0005-0000-0000-000081060000}"/>
    <cellStyle name="Normal 57" xfId="676" xr:uid="{00000000-0005-0000-0000-000082060000}"/>
    <cellStyle name="Normal 57 2" xfId="1297" xr:uid="{00000000-0005-0000-0000-000083060000}"/>
    <cellStyle name="Normal 57 3" xfId="1298" xr:uid="{00000000-0005-0000-0000-000084060000}"/>
    <cellStyle name="Normal 57 4" xfId="1782" xr:uid="{00000000-0005-0000-0000-000085060000}"/>
    <cellStyle name="Normal 58" xfId="677" xr:uid="{00000000-0005-0000-0000-000086060000}"/>
    <cellStyle name="Normal 58 2" xfId="1783" xr:uid="{00000000-0005-0000-0000-000087060000}"/>
    <cellStyle name="Normal 59" xfId="30" xr:uid="{00000000-0005-0000-0000-000088060000}"/>
    <cellStyle name="Normal 59 2" xfId="1784" xr:uid="{00000000-0005-0000-0000-000089060000}"/>
    <cellStyle name="Normal 6" xfId="678" xr:uid="{00000000-0005-0000-0000-00008A060000}"/>
    <cellStyle name="Normal 6 10" xfId="679" xr:uid="{00000000-0005-0000-0000-00008B060000}"/>
    <cellStyle name="Normal 6 10 2" xfId="2093" xr:uid="{00000000-0005-0000-0000-00008C060000}"/>
    <cellStyle name="Normal 6 11" xfId="680" xr:uid="{00000000-0005-0000-0000-00008D060000}"/>
    <cellStyle name="Normal 6 11 2" xfId="2094" xr:uid="{00000000-0005-0000-0000-00008E060000}"/>
    <cellStyle name="Normal 6 12" xfId="681" xr:uid="{00000000-0005-0000-0000-00008F060000}"/>
    <cellStyle name="Normal 6 12 2" xfId="2095" xr:uid="{00000000-0005-0000-0000-000090060000}"/>
    <cellStyle name="Normal 6 13" xfId="1299" xr:uid="{00000000-0005-0000-0000-000091060000}"/>
    <cellStyle name="Normal 6 14" xfId="1300" xr:uid="{00000000-0005-0000-0000-000092060000}"/>
    <cellStyle name="Normal 6 2" xfId="682" xr:uid="{00000000-0005-0000-0000-000093060000}"/>
    <cellStyle name="Normal 6 2 2" xfId="683" xr:uid="{00000000-0005-0000-0000-000094060000}"/>
    <cellStyle name="Normal 6 2 2 2" xfId="684" xr:uid="{00000000-0005-0000-0000-000095060000}"/>
    <cellStyle name="Normal 6 2 2 2 2" xfId="1301" xr:uid="{00000000-0005-0000-0000-000096060000}"/>
    <cellStyle name="Normal 6 2 2 2 3" xfId="1302" xr:uid="{00000000-0005-0000-0000-000097060000}"/>
    <cellStyle name="Normal 6 2 2 2 4" xfId="1785" xr:uid="{00000000-0005-0000-0000-000098060000}"/>
    <cellStyle name="Normal 6 2 2 3" xfId="1074" xr:uid="{00000000-0005-0000-0000-000099060000}"/>
    <cellStyle name="Normal 6 2 2 3 2" xfId="1303" xr:uid="{00000000-0005-0000-0000-00009A060000}"/>
    <cellStyle name="Normal 6 2 2 4" xfId="1304" xr:uid="{00000000-0005-0000-0000-00009B060000}"/>
    <cellStyle name="Normal 6 2 2 5" xfId="1786" xr:uid="{00000000-0005-0000-0000-00009C060000}"/>
    <cellStyle name="Normal 6 2 2_DGO" xfId="1787" xr:uid="{00000000-0005-0000-0000-00009D060000}"/>
    <cellStyle name="Normal 6 2 3" xfId="685" xr:uid="{00000000-0005-0000-0000-00009E060000}"/>
    <cellStyle name="Normal 6 2 3 2" xfId="686" xr:uid="{00000000-0005-0000-0000-00009F060000}"/>
    <cellStyle name="Normal 6 2 3 2 2" xfId="1305" xr:uid="{00000000-0005-0000-0000-0000A0060000}"/>
    <cellStyle name="Normal 6 2 3 2 3" xfId="1306" xr:uid="{00000000-0005-0000-0000-0000A1060000}"/>
    <cellStyle name="Normal 6 2 3 2 4" xfId="1788" xr:uid="{00000000-0005-0000-0000-0000A2060000}"/>
    <cellStyle name="Normal 6 2 3_DGO" xfId="1789" xr:uid="{00000000-0005-0000-0000-0000A3060000}"/>
    <cellStyle name="Normal 6 2 4" xfId="687" xr:uid="{00000000-0005-0000-0000-0000A4060000}"/>
    <cellStyle name="Normal 6 2 4 2" xfId="1307" xr:uid="{00000000-0005-0000-0000-0000A5060000}"/>
    <cellStyle name="Normal 6 2 4 3" xfId="1308" xr:uid="{00000000-0005-0000-0000-0000A6060000}"/>
    <cellStyle name="Normal 6 2 4 4" xfId="1790" xr:uid="{00000000-0005-0000-0000-0000A7060000}"/>
    <cellStyle name="Normal 6 2 5" xfId="688" xr:uid="{00000000-0005-0000-0000-0000A8060000}"/>
    <cellStyle name="Normal 6 2 6" xfId="1309" xr:uid="{00000000-0005-0000-0000-0000A9060000}"/>
    <cellStyle name="Normal 6 2 7" xfId="1310" xr:uid="{00000000-0005-0000-0000-0000AA060000}"/>
    <cellStyle name="Normal 6 2_DGO" xfId="1791" xr:uid="{00000000-0005-0000-0000-0000AB060000}"/>
    <cellStyle name="Normal 6 3" xfId="689" xr:uid="{00000000-0005-0000-0000-0000AC060000}"/>
    <cellStyle name="Normal 6 3 2" xfId="690" xr:uid="{00000000-0005-0000-0000-0000AD060000}"/>
    <cellStyle name="Normal 6 3 2 2" xfId="2096" xr:uid="{00000000-0005-0000-0000-0000AE060000}"/>
    <cellStyle name="Normal 6 3 3" xfId="1311" xr:uid="{00000000-0005-0000-0000-0000AF060000}"/>
    <cellStyle name="Normal 6 3 4" xfId="1312" xr:uid="{00000000-0005-0000-0000-0000B0060000}"/>
    <cellStyle name="Normal 6 3 5" xfId="1792" xr:uid="{00000000-0005-0000-0000-0000B1060000}"/>
    <cellStyle name="Normal 6 3_DGO" xfId="1793" xr:uid="{00000000-0005-0000-0000-0000B2060000}"/>
    <cellStyle name="Normal 6 4" xfId="691" xr:uid="{00000000-0005-0000-0000-0000B3060000}"/>
    <cellStyle name="Normal 6 4 2" xfId="692" xr:uid="{00000000-0005-0000-0000-0000B4060000}"/>
    <cellStyle name="Normal 6 4 2 2" xfId="1313" xr:uid="{00000000-0005-0000-0000-0000B5060000}"/>
    <cellStyle name="Normal 6 4 2 3" xfId="1314" xr:uid="{00000000-0005-0000-0000-0000B6060000}"/>
    <cellStyle name="Normal 6 4 2 4" xfId="1794" xr:uid="{00000000-0005-0000-0000-0000B7060000}"/>
    <cellStyle name="Normal 6 4_DGO" xfId="1795" xr:uid="{00000000-0005-0000-0000-0000B8060000}"/>
    <cellStyle name="Normal 6 5" xfId="693" xr:uid="{00000000-0005-0000-0000-0000B9060000}"/>
    <cellStyle name="Normal 6 5 2" xfId="1315" xr:uid="{00000000-0005-0000-0000-0000BA060000}"/>
    <cellStyle name="Normal 6 5 3" xfId="1316" xr:uid="{00000000-0005-0000-0000-0000BB060000}"/>
    <cellStyle name="Normal 6 5 4" xfId="1796" xr:uid="{00000000-0005-0000-0000-0000BC060000}"/>
    <cellStyle name="Normal 6 6" xfId="694" xr:uid="{00000000-0005-0000-0000-0000BD060000}"/>
    <cellStyle name="Normal 6 7" xfId="695" xr:uid="{00000000-0005-0000-0000-0000BE060000}"/>
    <cellStyle name="Normal 6 7 2" xfId="2097" xr:uid="{00000000-0005-0000-0000-0000BF060000}"/>
    <cellStyle name="Normal 6 8" xfId="696" xr:uid="{00000000-0005-0000-0000-0000C0060000}"/>
    <cellStyle name="Normal 6 8 2" xfId="2098" xr:uid="{00000000-0005-0000-0000-0000C1060000}"/>
    <cellStyle name="Normal 6 9" xfId="697" xr:uid="{00000000-0005-0000-0000-0000C2060000}"/>
    <cellStyle name="Normal 6 9 2" xfId="2099" xr:uid="{00000000-0005-0000-0000-0000C3060000}"/>
    <cellStyle name="Normal 6_DGO" xfId="1797" xr:uid="{00000000-0005-0000-0000-0000C4060000}"/>
    <cellStyle name="Normal 60" xfId="919" xr:uid="{00000000-0005-0000-0000-0000C5060000}"/>
    <cellStyle name="Normal 60 2" xfId="40" xr:uid="{00000000-0005-0000-0000-0000C6060000}"/>
    <cellStyle name="Normal 60_Cópia de INE_DGO_TC_NV" xfId="1798" xr:uid="{00000000-0005-0000-0000-0000C7060000}"/>
    <cellStyle name="Normal 61" xfId="928" xr:uid="{00000000-0005-0000-0000-0000C8060000}"/>
    <cellStyle name="Normal 61 2" xfId="2100" xr:uid="{00000000-0005-0000-0000-0000C9060000}"/>
    <cellStyle name="Normal 61 3" xfId="1317" xr:uid="{00000000-0005-0000-0000-0000CA060000}"/>
    <cellStyle name="Normal 62" xfId="929" xr:uid="{00000000-0005-0000-0000-0000CB060000}"/>
    <cellStyle name="Normal 62 2" xfId="2101" xr:uid="{00000000-0005-0000-0000-0000CC060000}"/>
    <cellStyle name="Normal 62 3" xfId="2102" xr:uid="{00000000-0005-0000-0000-0000CD060000}"/>
    <cellStyle name="Normal 62 4" xfId="1318" xr:uid="{00000000-0005-0000-0000-0000CE060000}"/>
    <cellStyle name="Normal 63" xfId="1466" xr:uid="{00000000-0005-0000-0000-0000CF060000}"/>
    <cellStyle name="Normal 64" xfId="1467" xr:uid="{00000000-0005-0000-0000-0000D0060000}"/>
    <cellStyle name="Normal 65" xfId="1468" xr:uid="{00000000-0005-0000-0000-0000D1060000}"/>
    <cellStyle name="Normal 66" xfId="1799" xr:uid="{00000000-0005-0000-0000-0000D2060000}"/>
    <cellStyle name="Normal 67" xfId="2103" xr:uid="{00000000-0005-0000-0000-0000D3060000}"/>
    <cellStyle name="Normal 68" xfId="2233" xr:uid="{00000000-0005-0000-0000-0000D4060000}"/>
    <cellStyle name="Normal 69" xfId="3" xr:uid="{00000000-0005-0000-0000-0000D5060000}"/>
    <cellStyle name="Normal 69 2" xfId="4" xr:uid="{00000000-0005-0000-0000-0000D6060000}"/>
    <cellStyle name="Normal 7" xfId="698" xr:uid="{00000000-0005-0000-0000-0000D7060000}"/>
    <cellStyle name="Normal 7 2" xfId="32" xr:uid="{00000000-0005-0000-0000-0000D8060000}"/>
    <cellStyle name="Normal 7 2 2" xfId="699" xr:uid="{00000000-0005-0000-0000-0000D9060000}"/>
    <cellStyle name="Normal 7 2 2 2" xfId="700" xr:uid="{00000000-0005-0000-0000-0000DA060000}"/>
    <cellStyle name="Normal 7 2 2 2 2" xfId="1319" xr:uid="{00000000-0005-0000-0000-0000DB060000}"/>
    <cellStyle name="Normal 7 2 2 2 3" xfId="998" xr:uid="{00000000-0005-0000-0000-0000DC060000}"/>
    <cellStyle name="Normal 7 2 2 2 3 2" xfId="1439" xr:uid="{00000000-0005-0000-0000-0000DD060000}"/>
    <cellStyle name="Normal 7 2 2 2 3 2 2" xfId="1442" xr:uid="{00000000-0005-0000-0000-0000DE060000}"/>
    <cellStyle name="Normal 7 2 2 2 3 2 3" xfId="1445" xr:uid="{00000000-0005-0000-0000-0000DF060000}"/>
    <cellStyle name="Normal 7 2 2 2 3 2 3 2" xfId="1449" xr:uid="{00000000-0005-0000-0000-0000E0060000}"/>
    <cellStyle name="Normal 7 2 2 2 3 2 4" xfId="1451" xr:uid="{00000000-0005-0000-0000-0000E1060000}"/>
    <cellStyle name="Normal 7 2 2 2 3 2 5" xfId="1454" xr:uid="{00000000-0005-0000-0000-0000E2060000}"/>
    <cellStyle name="Normal 7 2 2 2 3 2 5 2" xfId="1457" xr:uid="{00000000-0005-0000-0000-0000E3060000}"/>
    <cellStyle name="Normal 7 2 2 2 3 2 5 2 2" xfId="1463" xr:uid="{00000000-0005-0000-0000-0000E4060000}"/>
    <cellStyle name="Normal 7 2 2 2 3 2 5 2 3" xfId="1469" xr:uid="{00000000-0005-0000-0000-0000E5060000}"/>
    <cellStyle name="Normal 7 2 2 2 3 2 5 2 4" xfId="1474" xr:uid="{00000000-0005-0000-0000-0000E6060000}"/>
    <cellStyle name="Normal 7 2 2 2 3 2 5 2 4 2" xfId="1480" xr:uid="{00000000-0005-0000-0000-0000E7060000}"/>
    <cellStyle name="Normal 7 2 2 2 3 2 5 2 4 2 2" xfId="1485" xr:uid="{00000000-0005-0000-0000-0000E8060000}"/>
    <cellStyle name="Normal 7 2 2 2 3 2 5 2 4 2 2 2" xfId="1490" xr:uid="{00000000-0005-0000-0000-0000E9060000}"/>
    <cellStyle name="Normal 7 2 2 2 3 2 5 2 4 2 2 2 2" xfId="1497" xr:uid="{00000000-0005-0000-0000-0000EA060000}"/>
    <cellStyle name="Normal 7 2 2 2 3 2 5 2 4 2 2 2 2 2" xfId="1501" xr:uid="{00000000-0005-0000-0000-0000EB060000}"/>
    <cellStyle name="Normal 7 2 2 2 3 2 5 2 4 2 2 2 2 2 10" xfId="35" xr:uid="{00000000-0005-0000-0000-0000EC060000}"/>
    <cellStyle name="Normal 7 2 2 2 3 2 5 2 4 2 2 2 2 2 2" xfId="1506" xr:uid="{00000000-0005-0000-0000-0000ED060000}"/>
    <cellStyle name="Normal 7 2 2 2 3 2 5 2 4 2 2 2 2 2 3" xfId="1512" xr:uid="{00000000-0005-0000-0000-0000EE060000}"/>
    <cellStyle name="Normal 7 2 2 2 3 2 5 2 4 2 2 2 2 2 4" xfId="1518" xr:uid="{00000000-0005-0000-0000-0000EF060000}"/>
    <cellStyle name="Normal 7 2 2 2 3 2 5 2 4 2 2 2 2 2 5" xfId="1872" xr:uid="{00000000-0005-0000-0000-0000F0060000}"/>
    <cellStyle name="Normal 7 2 2 2 3 2 5 2 4 2 2 2 2 2 5 2" xfId="2205" xr:uid="{00000000-0005-0000-0000-0000F1060000}"/>
    <cellStyle name="Normal 7 2 2 2 3 2 5 2 4 2 2 2 2 2 6" xfId="2200" xr:uid="{00000000-0005-0000-0000-0000F2060000}"/>
    <cellStyle name="Normal 7 2 2 2 3 2 5 2 4 2 2 2 2 2 7" xfId="2209" xr:uid="{00000000-0005-0000-0000-0000F3060000}"/>
    <cellStyle name="Normal 7 2 2 2 3 2 5 2 4 2 2 2 2 2 7 2" xfId="2215" xr:uid="{00000000-0005-0000-0000-0000F4060000}"/>
    <cellStyle name="Normal 7 2 2 2 3 2 5 2 4 2 2 2 2 2 8" xfId="2221" xr:uid="{00000000-0005-0000-0000-0000F5060000}"/>
    <cellStyle name="Normal 7 2 2 2 3 2 5 2 4 2 2 2 2 2 9" xfId="2227" xr:uid="{00000000-0005-0000-0000-0000F6060000}"/>
    <cellStyle name="Normal 7 2 2 2 3 2 5 2 4 3" xfId="1482" xr:uid="{00000000-0005-0000-0000-0000F7060000}"/>
    <cellStyle name="Normal 7 2 2 2 3 2 5 2 4 3 2" xfId="1487" xr:uid="{00000000-0005-0000-0000-0000F8060000}"/>
    <cellStyle name="Normal 7 2 2 2 3 2 5 2 4 3 3" xfId="1492" xr:uid="{00000000-0005-0000-0000-0000F9060000}"/>
    <cellStyle name="Normal 7 2 2 2 3 2 5 2 4 3 4" xfId="1493" xr:uid="{00000000-0005-0000-0000-0000FA060000}"/>
    <cellStyle name="Normal 7 2 2 2 3 2 5 2 4 3 5" xfId="1499" xr:uid="{00000000-0005-0000-0000-0000FB060000}"/>
    <cellStyle name="Normal 7 2 2 2 3 2 5 2 4 3 5 2" xfId="1508" xr:uid="{00000000-0005-0000-0000-0000FC060000}"/>
    <cellStyle name="Normal 7 2 2 2 3 2 5 2 4 3 5 3" xfId="1514" xr:uid="{00000000-0005-0000-0000-0000FD060000}"/>
    <cellStyle name="Normal 7 2 2 2 3 2 5 2 4 3 5 4" xfId="1520" xr:uid="{00000000-0005-0000-0000-0000FE060000}"/>
    <cellStyle name="Normal 7 2 2 2 3 2 5 2 4 3 5 4 2" xfId="37" xr:uid="{00000000-0005-0000-0000-0000FF060000}"/>
    <cellStyle name="Normal 7 2 2 2 3 2 5 2 4 3 5 4 2 2" xfId="2202" xr:uid="{00000000-0005-0000-0000-000000070000}"/>
    <cellStyle name="Normal 7 2 2 2 3 2 5 2 4 3 5 4 2 3" xfId="2211" xr:uid="{00000000-0005-0000-0000-000001070000}"/>
    <cellStyle name="Normal 7 2 2 2 3 2 5 2 4 3 5 4 2 4" xfId="2223" xr:uid="{00000000-0005-0000-0000-000002070000}"/>
    <cellStyle name="Normal 7 2 2 2 3 2 5 2 4 3 5 4 2 5" xfId="2229" xr:uid="{00000000-0005-0000-0000-000003070000}"/>
    <cellStyle name="Normal 7 2 2 2 3 2 5 2 4 3 5 4 2 6" xfId="2232" xr:uid="{00000000-0005-0000-0000-000004070000}"/>
    <cellStyle name="Normal 7 2 2 2 3 2 5 3" xfId="1462" xr:uid="{00000000-0005-0000-0000-000005070000}"/>
    <cellStyle name="Normal 7 2 2 2 4" xfId="1800" xr:uid="{00000000-0005-0000-0000-000006070000}"/>
    <cellStyle name="Normal 7 2 2 3" xfId="1064" xr:uid="{00000000-0005-0000-0000-000007070000}"/>
    <cellStyle name="Normal 7 2 2 3 2" xfId="1440" xr:uid="{00000000-0005-0000-0000-000008070000}"/>
    <cellStyle name="Normal 7 2 2 3 2 2" xfId="1441" xr:uid="{00000000-0005-0000-0000-000009070000}"/>
    <cellStyle name="Normal 7 2 2 3 2 3" xfId="1444" xr:uid="{00000000-0005-0000-0000-00000A070000}"/>
    <cellStyle name="Normal 7 2 2 3 2 3 2" xfId="1447" xr:uid="{00000000-0005-0000-0000-00000B070000}"/>
    <cellStyle name="Normal 7 2 2 3 2 4" xfId="1450" xr:uid="{00000000-0005-0000-0000-00000C070000}"/>
    <cellStyle name="Normal 7 2 2 3 2 5" xfId="1453" xr:uid="{00000000-0005-0000-0000-00000D070000}"/>
    <cellStyle name="Normal 7 2 2 3 2 5 2" xfId="1458" xr:uid="{00000000-0005-0000-0000-00000E070000}"/>
    <cellStyle name="Normal 7 2 2 3 2 5 2 2" xfId="1465" xr:uid="{00000000-0005-0000-0000-00000F070000}"/>
    <cellStyle name="Normal 7 2 2 3 2 5 2 3" xfId="1473" xr:uid="{00000000-0005-0000-0000-000010070000}"/>
    <cellStyle name="Normal 7 2 2 3 2 5 2 3 2" xfId="1481" xr:uid="{00000000-0005-0000-0000-000011070000}"/>
    <cellStyle name="Normal 7 2 2 3 2 5 2 3 2 2" xfId="1486" xr:uid="{00000000-0005-0000-0000-000012070000}"/>
    <cellStyle name="Normal 7 2 2 3 2 5 2 3 2 2 2" xfId="1491" xr:uid="{00000000-0005-0000-0000-000013070000}"/>
    <cellStyle name="Normal 7 2 2 3 2 5 2 3 2 2 2 2" xfId="1498" xr:uid="{00000000-0005-0000-0000-000014070000}"/>
    <cellStyle name="Normal 7 2 2 3 2 5 2 3 2 2 2 2 2" xfId="1502" xr:uid="{00000000-0005-0000-0000-000015070000}"/>
    <cellStyle name="Normal 7 2 2 3 2 5 2 3 2 2 2 2 2 10" xfId="36" xr:uid="{00000000-0005-0000-0000-000016070000}"/>
    <cellStyle name="Normal 7 2 2 3 2 5 2 3 2 2 2 2 2 2" xfId="1507" xr:uid="{00000000-0005-0000-0000-000017070000}"/>
    <cellStyle name="Normal 7 2 2 3 2 5 2 3 2 2 2 2 2 3" xfId="1513" xr:uid="{00000000-0005-0000-0000-000018070000}"/>
    <cellStyle name="Normal 7 2 2 3 2 5 2 3 2 2 2 2 2 4" xfId="1519" xr:uid="{00000000-0005-0000-0000-000019070000}"/>
    <cellStyle name="Normal 7 2 2 3 2 5 2 3 2 2 2 2 2 5" xfId="1873" xr:uid="{00000000-0005-0000-0000-00001A070000}"/>
    <cellStyle name="Normal 7 2 2 3 2 5 2 3 2 2 2 2 2 5 2" xfId="2203" xr:uid="{00000000-0005-0000-0000-00001B070000}"/>
    <cellStyle name="Normal 7 2 2 3 2 5 2 3 2 2 2 2 2 6" xfId="2201" xr:uid="{00000000-0005-0000-0000-00001C070000}"/>
    <cellStyle name="Normal 7 2 2 3 2 5 2 3 2 2 2 2 2 7" xfId="2210" xr:uid="{00000000-0005-0000-0000-00001D070000}"/>
    <cellStyle name="Normal 7 2 2 3 2 5 2 3 2 2 2 2 2 7 2" xfId="2216" xr:uid="{00000000-0005-0000-0000-00001E070000}"/>
    <cellStyle name="Normal 7 2 2 3 2 5 2 3 2 2 2 2 2 8" xfId="2222" xr:uid="{00000000-0005-0000-0000-00001F070000}"/>
    <cellStyle name="Normal 7 2 2 3 2 5 2 3 2 2 2 2 2 9" xfId="2228" xr:uid="{00000000-0005-0000-0000-000020070000}"/>
    <cellStyle name="Normal 7 2 2 3 2 5 3" xfId="1464" xr:uid="{00000000-0005-0000-0000-000021070000}"/>
    <cellStyle name="Normal 7 2 2 3 2 6" xfId="1456" xr:uid="{00000000-0005-0000-0000-000022070000}"/>
    <cellStyle name="Normal 7 2 2 3 2 6 2" xfId="1461" xr:uid="{00000000-0005-0000-0000-000023070000}"/>
    <cellStyle name="Normal 7 2 2 3 2 6 3" xfId="1475" xr:uid="{00000000-0005-0000-0000-000024070000}"/>
    <cellStyle name="Normal 7 2 2 3 2 6 3 2" xfId="1479" xr:uid="{00000000-0005-0000-0000-000025070000}"/>
    <cellStyle name="Normal 7 2 2 3 2 6 3 2 2" xfId="1484" xr:uid="{00000000-0005-0000-0000-000026070000}"/>
    <cellStyle name="Normal 7 2 2 3 2 6 3 2 3" xfId="1489" xr:uid="{00000000-0005-0000-0000-000027070000}"/>
    <cellStyle name="Normal 7 2 2 3 2 6 3 2 3 2" xfId="1496" xr:uid="{00000000-0005-0000-0000-000028070000}"/>
    <cellStyle name="Normal 7 2 2 3 2 6 3 2 3 2 2" xfId="1500" xr:uid="{00000000-0005-0000-0000-000029070000}"/>
    <cellStyle name="Normal 7 2 2 3 2 6 3 2 3 2 2 10" xfId="34" xr:uid="{00000000-0005-0000-0000-00002A070000}"/>
    <cellStyle name="Normal 7 2 2 3 2 6 3 2 3 2 2 2" xfId="1505" xr:uid="{00000000-0005-0000-0000-00002B070000}"/>
    <cellStyle name="Normal 7 2 2 3 2 6 3 2 3 2 2 3" xfId="1511" xr:uid="{00000000-0005-0000-0000-00002C070000}"/>
    <cellStyle name="Normal 7 2 2 3 2 6 3 2 3 2 2 4" xfId="1517" xr:uid="{00000000-0005-0000-0000-00002D070000}"/>
    <cellStyle name="Normal 7 2 2 3 2 6 3 2 3 2 2 5" xfId="1871" xr:uid="{00000000-0005-0000-0000-00002E070000}"/>
    <cellStyle name="Normal 7 2 2 3 2 6 3 2 3 2 2 5 2" xfId="2204" xr:uid="{00000000-0005-0000-0000-00002F070000}"/>
    <cellStyle name="Normal 7 2 2 3 2 6 3 2 3 2 2 6" xfId="2199" xr:uid="{00000000-0005-0000-0000-000030070000}"/>
    <cellStyle name="Normal 7 2 2 3 2 6 3 2 3 2 2 7" xfId="2208" xr:uid="{00000000-0005-0000-0000-000031070000}"/>
    <cellStyle name="Normal 7 2 2 3 2 6 3 2 3 2 2 7 2" xfId="2214" xr:uid="{00000000-0005-0000-0000-000032070000}"/>
    <cellStyle name="Normal 7 2 2 3 2 6 3 2 3 2 2 8" xfId="2220" xr:uid="{00000000-0005-0000-0000-000033070000}"/>
    <cellStyle name="Normal 7 2 2 3 2 6 3 2 3 2 2 9" xfId="2226" xr:uid="{00000000-0005-0000-0000-000034070000}"/>
    <cellStyle name="Normal 7 2 2 3 2 7" xfId="1460" xr:uid="{00000000-0005-0000-0000-000035070000}"/>
    <cellStyle name="Normal 7 2 2 3 2 8" xfId="1472" xr:uid="{00000000-0005-0000-0000-000036070000}"/>
    <cellStyle name="Normal 7 2 2 3 2 8 2" xfId="1478" xr:uid="{00000000-0005-0000-0000-000037070000}"/>
    <cellStyle name="Normal 7 2 2 3 2 8 2 2" xfId="1483" xr:uid="{00000000-0005-0000-0000-000038070000}"/>
    <cellStyle name="Normal 7 2 2 3 2 8 2 3" xfId="1488" xr:uid="{00000000-0005-0000-0000-000039070000}"/>
    <cellStyle name="Normal 7 2 2 3 2 8 2 3 2" xfId="1495" xr:uid="{00000000-0005-0000-0000-00003A070000}"/>
    <cellStyle name="Normal 7 2 2 3 2 8 2 3 2 2" xfId="33" xr:uid="{00000000-0005-0000-0000-00003B070000}"/>
    <cellStyle name="Normal 7 2 2 3 2 8 2 3 2 2 10" xfId="2231" xr:uid="{00000000-0005-0000-0000-00003C070000}"/>
    <cellStyle name="Normal 7 2 2 3 2 8 2 3 2 2 2" xfId="1504" xr:uid="{00000000-0005-0000-0000-00003D070000}"/>
    <cellStyle name="Normal 7 2 2 3 2 8 2 3 2 2 3" xfId="1510" xr:uid="{00000000-0005-0000-0000-00003E070000}"/>
    <cellStyle name="Normal 7 2 2 3 2 8 2 3 2 2 4" xfId="1516" xr:uid="{00000000-0005-0000-0000-00003F070000}"/>
    <cellStyle name="Normal 7 2 2 3 2 8 2 3 2 2 5" xfId="1870" xr:uid="{00000000-0005-0000-0000-000040070000}"/>
    <cellStyle name="Normal 7 2 2 3 2 8 2 3 2 2 5 2" xfId="39" xr:uid="{00000000-0005-0000-0000-000041070000}"/>
    <cellStyle name="Normal 7 2 2 3 2 8 2 3 2 2 6" xfId="2198" xr:uid="{00000000-0005-0000-0000-000042070000}"/>
    <cellStyle name="Normal 7 2 2 3 2 8 2 3 2 2 7" xfId="2207" xr:uid="{00000000-0005-0000-0000-000043070000}"/>
    <cellStyle name="Normal 7 2 2 3 2 8 2 3 2 2 7 2" xfId="2213" xr:uid="{00000000-0005-0000-0000-000044070000}"/>
    <cellStyle name="Normal 7 2 2 3 2 8 2 3 2 2 8" xfId="2219" xr:uid="{00000000-0005-0000-0000-000045070000}"/>
    <cellStyle name="Normal 7 2 2 3 2 8 2 3 2 2 9" xfId="2225" xr:uid="{00000000-0005-0000-0000-000046070000}"/>
    <cellStyle name="Normal 7 2 2 3 2 8 2 4" xfId="1494" xr:uid="{00000000-0005-0000-0000-000047070000}"/>
    <cellStyle name="Normal 7 2 2 3 2 8 2 4 2" xfId="31" xr:uid="{00000000-0005-0000-0000-000048070000}"/>
    <cellStyle name="Normal 7 2 2 3 2 8 2 4 2 10" xfId="2230" xr:uid="{00000000-0005-0000-0000-000049070000}"/>
    <cellStyle name="Normal 7 2 2 3 2 8 2 4 2 2" xfId="1503" xr:uid="{00000000-0005-0000-0000-00004A070000}"/>
    <cellStyle name="Normal 7 2 2 3 2 8 2 4 2 3" xfId="1509" xr:uid="{00000000-0005-0000-0000-00004B070000}"/>
    <cellStyle name="Normal 7 2 2 3 2 8 2 4 2 4" xfId="1515" xr:uid="{00000000-0005-0000-0000-00004C070000}"/>
    <cellStyle name="Normal 7 2 2 3 2 8 2 4 2 5" xfId="1869" xr:uid="{00000000-0005-0000-0000-00004D070000}"/>
    <cellStyle name="Normal 7 2 2 3 2 8 2 4 2 5 2" xfId="38" xr:uid="{00000000-0005-0000-0000-00004E070000}"/>
    <cellStyle name="Normal 7 2 2 3 2 8 2 4 2 6" xfId="2197" xr:uid="{00000000-0005-0000-0000-00004F070000}"/>
    <cellStyle name="Normal 7 2 2 3 2 8 2 4 2 7" xfId="2206" xr:uid="{00000000-0005-0000-0000-000050070000}"/>
    <cellStyle name="Normal 7 2 2 3 2 8 2 4 2 7 2" xfId="2212" xr:uid="{00000000-0005-0000-0000-000051070000}"/>
    <cellStyle name="Normal 7 2 2 3 2 8 2 4 2 8" xfId="2218" xr:uid="{00000000-0005-0000-0000-000052070000}"/>
    <cellStyle name="Normal 7 2 2 3 2 8 2 4 2 9" xfId="2224" xr:uid="{00000000-0005-0000-0000-000053070000}"/>
    <cellStyle name="Normal 7 2 2 4" xfId="1320" xr:uid="{00000000-0005-0000-0000-000054070000}"/>
    <cellStyle name="Normal 7 2 2 5" xfId="1801" xr:uid="{00000000-0005-0000-0000-000055070000}"/>
    <cellStyle name="Normal 7 2 2 6" xfId="2217" xr:uid="{00000000-0005-0000-0000-000056070000}"/>
    <cellStyle name="Normal 7 2 2_DGO" xfId="1802" xr:uid="{00000000-0005-0000-0000-000057070000}"/>
    <cellStyle name="Normal 7 2 4" xfId="701" xr:uid="{00000000-0005-0000-0000-000058070000}"/>
    <cellStyle name="Normal 7 3" xfId="702" xr:uid="{00000000-0005-0000-0000-000059070000}"/>
    <cellStyle name="Normal 7 3 2" xfId="703" xr:uid="{00000000-0005-0000-0000-00005A070000}"/>
    <cellStyle name="Normal 7 3 2 2" xfId="1321" xr:uid="{00000000-0005-0000-0000-00005B070000}"/>
    <cellStyle name="Normal 7 3 2 3" xfId="1322" xr:uid="{00000000-0005-0000-0000-00005C070000}"/>
    <cellStyle name="Normal 7 3 2 4" xfId="1803" xr:uid="{00000000-0005-0000-0000-00005D070000}"/>
    <cellStyle name="Normal 7 3 3" xfId="1323" xr:uid="{00000000-0005-0000-0000-00005E070000}"/>
    <cellStyle name="Normal 7 3 4" xfId="1324" xr:uid="{00000000-0005-0000-0000-00005F070000}"/>
    <cellStyle name="Normal 7 3 5" xfId="1804" xr:uid="{00000000-0005-0000-0000-000060070000}"/>
    <cellStyle name="Normal 7 3_DGO" xfId="1805" xr:uid="{00000000-0005-0000-0000-000061070000}"/>
    <cellStyle name="Normal 7 4" xfId="704" xr:uid="{00000000-0005-0000-0000-000062070000}"/>
    <cellStyle name="Normal 7 4 2" xfId="1325" xr:uid="{00000000-0005-0000-0000-000063070000}"/>
    <cellStyle name="Normal 7 4 3" xfId="1326" xr:uid="{00000000-0005-0000-0000-000064070000}"/>
    <cellStyle name="Normal 7 4 4" xfId="1806" xr:uid="{00000000-0005-0000-0000-000065070000}"/>
    <cellStyle name="Normal 7 5" xfId="1011" xr:uid="{00000000-0005-0000-0000-000066070000}"/>
    <cellStyle name="Normal 7_Livro1" xfId="1807" xr:uid="{00000000-0005-0000-0000-000067070000}"/>
    <cellStyle name="Normal 70" xfId="1006" xr:uid="{00000000-0005-0000-0000-000068070000}"/>
    <cellStyle name="Normal 71" xfId="1438" xr:uid="{00000000-0005-0000-0000-000069070000}"/>
    <cellStyle name="Normal 72" xfId="2249" xr:uid="{00000000-0005-0000-0000-00006A070000}"/>
    <cellStyle name="Normal 72 2" xfId="2321" xr:uid="{00000000-0005-0000-0000-00006B070000}"/>
    <cellStyle name="Normal 73" xfId="2257" xr:uid="{00000000-0005-0000-0000-00006C070000}"/>
    <cellStyle name="Normal 74" xfId="2258" xr:uid="{00000000-0005-0000-0000-00006D070000}"/>
    <cellStyle name="Normal 75" xfId="2259" xr:uid="{00000000-0005-0000-0000-00006E070000}"/>
    <cellStyle name="Normal 76" xfId="2260" xr:uid="{00000000-0005-0000-0000-00006F070000}"/>
    <cellStyle name="Normal 77" xfId="2261" xr:uid="{00000000-0005-0000-0000-000070070000}"/>
    <cellStyle name="Normal 78" xfId="2262" xr:uid="{00000000-0005-0000-0000-000071070000}"/>
    <cellStyle name="Normal 79" xfId="2270" xr:uid="{00000000-0005-0000-0000-000072070000}"/>
    <cellStyle name="Normal 8" xfId="705" xr:uid="{00000000-0005-0000-0000-000073070000}"/>
    <cellStyle name="Normal 8 2" xfId="706" xr:uid="{00000000-0005-0000-0000-000074070000}"/>
    <cellStyle name="Normal 8 2 2" xfId="707" xr:uid="{00000000-0005-0000-0000-000075070000}"/>
    <cellStyle name="Normal 8 2 2 2" xfId="1327" xr:uid="{00000000-0005-0000-0000-000076070000}"/>
    <cellStyle name="Normal 8 2 2 3" xfId="1328" xr:uid="{00000000-0005-0000-0000-000077070000}"/>
    <cellStyle name="Normal 8 2 2 4" xfId="1808" xr:uid="{00000000-0005-0000-0000-000078070000}"/>
    <cellStyle name="Normal 8 2 3" xfId="1067" xr:uid="{00000000-0005-0000-0000-000079070000}"/>
    <cellStyle name="Normal 8 2 3 2" xfId="1329" xr:uid="{00000000-0005-0000-0000-00007A070000}"/>
    <cellStyle name="Normal 8 2 4" xfId="1330" xr:uid="{00000000-0005-0000-0000-00007B070000}"/>
    <cellStyle name="Normal 8 2 5" xfId="1809" xr:uid="{00000000-0005-0000-0000-00007C070000}"/>
    <cellStyle name="Normal 8 2_DGO" xfId="1810" xr:uid="{00000000-0005-0000-0000-00007D070000}"/>
    <cellStyle name="Normal 8 3" xfId="708" xr:uid="{00000000-0005-0000-0000-00007E070000}"/>
    <cellStyle name="Normal 8 3 2" xfId="1075" xr:uid="{00000000-0005-0000-0000-00007F070000}"/>
    <cellStyle name="Normal 8 3 2 2" xfId="1331" xr:uid="{00000000-0005-0000-0000-000080070000}"/>
    <cellStyle name="Normal 8 3 3" xfId="1332" xr:uid="{00000000-0005-0000-0000-000081070000}"/>
    <cellStyle name="Normal 8 3 4" xfId="1811" xr:uid="{00000000-0005-0000-0000-000082070000}"/>
    <cellStyle name="Normal 8 4" xfId="709" xr:uid="{00000000-0005-0000-0000-000083070000}"/>
    <cellStyle name="Normal 8 4 2" xfId="2104" xr:uid="{00000000-0005-0000-0000-000084070000}"/>
    <cellStyle name="Normal 8 5" xfId="1012" xr:uid="{00000000-0005-0000-0000-000085070000}"/>
    <cellStyle name="Normal 8 5 2" xfId="1333" xr:uid="{00000000-0005-0000-0000-000086070000}"/>
    <cellStyle name="Normal 8 6" xfId="1334" xr:uid="{00000000-0005-0000-0000-000087070000}"/>
    <cellStyle name="Normal 8 7" xfId="1812" xr:uid="{00000000-0005-0000-0000-000088070000}"/>
    <cellStyle name="Normal 8_DGO" xfId="1813" xr:uid="{00000000-0005-0000-0000-000089070000}"/>
    <cellStyle name="Normal 80" xfId="2271" xr:uid="{00000000-0005-0000-0000-00008A070000}"/>
    <cellStyle name="Normal 81" xfId="2272" xr:uid="{00000000-0005-0000-0000-00008B070000}"/>
    <cellStyle name="Normal 82" xfId="2273" xr:uid="{00000000-0005-0000-0000-00008C070000}"/>
    <cellStyle name="Normal 83" xfId="2305" xr:uid="{00000000-0005-0000-0000-00008D070000}"/>
    <cellStyle name="Normal 84" xfId="2306" xr:uid="{00000000-0005-0000-0000-00008E070000}"/>
    <cellStyle name="Normal 85" xfId="2307" xr:uid="{00000000-0005-0000-0000-00008F070000}"/>
    <cellStyle name="Normal 86" xfId="2309" xr:uid="{00000000-0005-0000-0000-000090070000}"/>
    <cellStyle name="Normal 87" xfId="2317" xr:uid="{00000000-0005-0000-0000-000091070000}"/>
    <cellStyle name="Normal 88" xfId="2318" xr:uid="{00000000-0005-0000-0000-000092070000}"/>
    <cellStyle name="Normal 89" xfId="2319" xr:uid="{00000000-0005-0000-0000-000093070000}"/>
    <cellStyle name="Normal 9" xfId="710" xr:uid="{00000000-0005-0000-0000-000094070000}"/>
    <cellStyle name="Normal 9 2" xfId="711" xr:uid="{00000000-0005-0000-0000-000095070000}"/>
    <cellStyle name="Normal 9 3" xfId="712" xr:uid="{00000000-0005-0000-0000-000096070000}"/>
    <cellStyle name="Normal 90" xfId="2323" xr:uid="{00000000-0005-0000-0000-000097070000}"/>
    <cellStyle name="Normal 91" xfId="2331" xr:uid="{00000000-0005-0000-0000-000098070000}"/>
    <cellStyle name="Normal 92" xfId="2332" xr:uid="{00000000-0005-0000-0000-000099070000}"/>
    <cellStyle name="Normal 93" xfId="2333" xr:uid="{00000000-0005-0000-0000-00009A070000}"/>
    <cellStyle name="Normal 94" xfId="2334" xr:uid="{00000000-0005-0000-0000-00009B070000}"/>
    <cellStyle name="Normal 95" xfId="2335" xr:uid="{00000000-0005-0000-0000-00009C070000}"/>
    <cellStyle name="Normal 96" xfId="2343" xr:uid="{00000000-0005-0000-0000-00009D070000}"/>
    <cellStyle name="Normal 97" xfId="2344" xr:uid="{00000000-0005-0000-0000-00009E070000}"/>
    <cellStyle name="Normal 98" xfId="2345" xr:uid="{00000000-0005-0000-0000-00009F070000}"/>
    <cellStyle name="Normal 99" xfId="2346" xr:uid="{00000000-0005-0000-0000-0000A0070000}"/>
    <cellStyle name="Normal Bold" xfId="713" xr:uid="{00000000-0005-0000-0000-0000A1070000}"/>
    <cellStyle name="Normal_DGO" xfId="2322" xr:uid="{00000000-0005-0000-0000-0000A2070000}"/>
    <cellStyle name="Normal_Quadro11_142006" xfId="28" xr:uid="{00000000-0005-0000-0000-0000A3070000}"/>
    <cellStyle name="Normalny_koszt" xfId="714" xr:uid="{00000000-0005-0000-0000-0000A4070000}"/>
    <cellStyle name="Nota 10" xfId="715" xr:uid="{00000000-0005-0000-0000-0000A5070000}"/>
    <cellStyle name="Nota 10 2" xfId="1336" xr:uid="{00000000-0005-0000-0000-0000A6070000}"/>
    <cellStyle name="Nota 10 3" xfId="1337" xr:uid="{00000000-0005-0000-0000-0000A7070000}"/>
    <cellStyle name="Nota 10 4" xfId="1814" xr:uid="{00000000-0005-0000-0000-0000A8070000}"/>
    <cellStyle name="Nota 11" xfId="716" xr:uid="{00000000-0005-0000-0000-0000A9070000}"/>
    <cellStyle name="Nota 11 2" xfId="1338" xr:uid="{00000000-0005-0000-0000-0000AA070000}"/>
    <cellStyle name="Nota 11 3" xfId="1339" xr:uid="{00000000-0005-0000-0000-0000AB070000}"/>
    <cellStyle name="Nota 11 4" xfId="1815" xr:uid="{00000000-0005-0000-0000-0000AC070000}"/>
    <cellStyle name="Nota 12" xfId="717" xr:uid="{00000000-0005-0000-0000-0000AD070000}"/>
    <cellStyle name="Nota 12 2" xfId="2105" xr:uid="{00000000-0005-0000-0000-0000AE070000}"/>
    <cellStyle name="Nota 2" xfId="718" xr:uid="{00000000-0005-0000-0000-0000AF070000}"/>
    <cellStyle name="Nota 2 10" xfId="719" xr:uid="{00000000-0005-0000-0000-0000B0070000}"/>
    <cellStyle name="Nota 2 10 2" xfId="2106" xr:uid="{00000000-0005-0000-0000-0000B1070000}"/>
    <cellStyle name="Nota 2 11" xfId="720" xr:uid="{00000000-0005-0000-0000-0000B2070000}"/>
    <cellStyle name="Nota 2 11 2" xfId="2107" xr:uid="{00000000-0005-0000-0000-0000B3070000}"/>
    <cellStyle name="Nota 2 12" xfId="1340" xr:uid="{00000000-0005-0000-0000-0000B4070000}"/>
    <cellStyle name="Nota 2 13" xfId="1341" xr:uid="{00000000-0005-0000-0000-0000B5070000}"/>
    <cellStyle name="Nota 2 2" xfId="721" xr:uid="{00000000-0005-0000-0000-0000B6070000}"/>
    <cellStyle name="Nota 2 2 2" xfId="1013" xr:uid="{00000000-0005-0000-0000-0000B7070000}"/>
    <cellStyle name="Nota 2 2 2 2" xfId="2108" xr:uid="{00000000-0005-0000-0000-0000B8070000}"/>
    <cellStyle name="Nota 2 3" xfId="722" xr:uid="{00000000-0005-0000-0000-0000B9070000}"/>
    <cellStyle name="Nota 2 3 2" xfId="1014" xr:uid="{00000000-0005-0000-0000-0000BA070000}"/>
    <cellStyle name="Nota 2 3 2 2" xfId="2109" xr:uid="{00000000-0005-0000-0000-0000BB070000}"/>
    <cellStyle name="Nota 2 4" xfId="723" xr:uid="{00000000-0005-0000-0000-0000BC070000}"/>
    <cellStyle name="Nota 2 4 2" xfId="1015" xr:uid="{00000000-0005-0000-0000-0000BD070000}"/>
    <cellStyle name="Nota 2 4 2 2" xfId="2110" xr:uid="{00000000-0005-0000-0000-0000BE070000}"/>
    <cellStyle name="Nota 2 5" xfId="724" xr:uid="{00000000-0005-0000-0000-0000BF070000}"/>
    <cellStyle name="Nota 2 5 2" xfId="2111" xr:uid="{00000000-0005-0000-0000-0000C0070000}"/>
    <cellStyle name="Nota 2 6" xfId="725" xr:uid="{00000000-0005-0000-0000-0000C1070000}"/>
    <cellStyle name="Nota 2 6 2" xfId="2112" xr:uid="{00000000-0005-0000-0000-0000C2070000}"/>
    <cellStyle name="Nota 2 7" xfId="726" xr:uid="{00000000-0005-0000-0000-0000C3070000}"/>
    <cellStyle name="Nota 2 7 2" xfId="2113" xr:uid="{00000000-0005-0000-0000-0000C4070000}"/>
    <cellStyle name="Nota 2 8" xfId="727" xr:uid="{00000000-0005-0000-0000-0000C5070000}"/>
    <cellStyle name="Nota 2 8 2" xfId="2114" xr:uid="{00000000-0005-0000-0000-0000C6070000}"/>
    <cellStyle name="Nota 2 9" xfId="728" xr:uid="{00000000-0005-0000-0000-0000C7070000}"/>
    <cellStyle name="Nota 2 9 2" xfId="2115" xr:uid="{00000000-0005-0000-0000-0000C8070000}"/>
    <cellStyle name="Nota 2_INE_DGO_TC" xfId="1816" xr:uid="{00000000-0005-0000-0000-0000C9070000}"/>
    <cellStyle name="Nota 3" xfId="729" xr:uid="{00000000-0005-0000-0000-0000CA070000}"/>
    <cellStyle name="Nota 4" xfId="730" xr:uid="{00000000-0005-0000-0000-0000CB070000}"/>
    <cellStyle name="Nota 5" xfId="731" xr:uid="{00000000-0005-0000-0000-0000CC070000}"/>
    <cellStyle name="Nota 5 2" xfId="1342" xr:uid="{00000000-0005-0000-0000-0000CD070000}"/>
    <cellStyle name="Nota 5 3" xfId="1343" xr:uid="{00000000-0005-0000-0000-0000CE070000}"/>
    <cellStyle name="Nota 5 4" xfId="1817" xr:uid="{00000000-0005-0000-0000-0000CF070000}"/>
    <cellStyle name="Nota 6" xfId="732" xr:uid="{00000000-0005-0000-0000-0000D0070000}"/>
    <cellStyle name="Nota 6 2" xfId="1344" xr:uid="{00000000-0005-0000-0000-0000D1070000}"/>
    <cellStyle name="Nota 6 3" xfId="1345" xr:uid="{00000000-0005-0000-0000-0000D2070000}"/>
    <cellStyle name="Nota 6 4" xfId="1818" xr:uid="{00000000-0005-0000-0000-0000D3070000}"/>
    <cellStyle name="Nota 7" xfId="733" xr:uid="{00000000-0005-0000-0000-0000D4070000}"/>
    <cellStyle name="Nota 7 2" xfId="1346" xr:uid="{00000000-0005-0000-0000-0000D5070000}"/>
    <cellStyle name="Nota 7 3" xfId="1347" xr:uid="{00000000-0005-0000-0000-0000D6070000}"/>
    <cellStyle name="Nota 7 4" xfId="1819" xr:uid="{00000000-0005-0000-0000-0000D7070000}"/>
    <cellStyle name="Nota 8" xfId="734" xr:uid="{00000000-0005-0000-0000-0000D8070000}"/>
    <cellStyle name="Nota 8 2" xfId="1348" xr:uid="{00000000-0005-0000-0000-0000D9070000}"/>
    <cellStyle name="Nota 8 3" xfId="1349" xr:uid="{00000000-0005-0000-0000-0000DA070000}"/>
    <cellStyle name="Nota 8 4" xfId="1820" xr:uid="{00000000-0005-0000-0000-0000DB070000}"/>
    <cellStyle name="Nota 9" xfId="735" xr:uid="{00000000-0005-0000-0000-0000DC070000}"/>
    <cellStyle name="Nota 9 2" xfId="1350" xr:uid="{00000000-0005-0000-0000-0000DD070000}"/>
    <cellStyle name="Nota 9 3" xfId="1351" xr:uid="{00000000-0005-0000-0000-0000DE070000}"/>
    <cellStyle name="Nota 9 4" xfId="1821" xr:uid="{00000000-0005-0000-0000-0000DF070000}"/>
    <cellStyle name="Note" xfId="736" xr:uid="{00000000-0005-0000-0000-0000E0070000}"/>
    <cellStyle name="Note 2" xfId="737" xr:uid="{00000000-0005-0000-0000-0000E1070000}"/>
    <cellStyle name="Note 2 2" xfId="1017" xr:uid="{00000000-0005-0000-0000-0000E2070000}"/>
    <cellStyle name="Note 2 2 2" xfId="1353" xr:uid="{00000000-0005-0000-0000-0000E3070000}"/>
    <cellStyle name="Note 2 3" xfId="1354" xr:uid="{00000000-0005-0000-0000-0000E4070000}"/>
    <cellStyle name="Note 3" xfId="1018" xr:uid="{00000000-0005-0000-0000-0000E5070000}"/>
    <cellStyle name="Note 3 2" xfId="2116" xr:uid="{00000000-0005-0000-0000-0000E6070000}"/>
    <cellStyle name="Note 4" xfId="1019" xr:uid="{00000000-0005-0000-0000-0000E7070000}"/>
    <cellStyle name="Note 4 2" xfId="2117" xr:uid="{00000000-0005-0000-0000-0000E8070000}"/>
    <cellStyle name="Note 5" xfId="1016" xr:uid="{00000000-0005-0000-0000-0000E9070000}"/>
    <cellStyle name="Note 5 2" xfId="1355" xr:uid="{00000000-0005-0000-0000-0000EA070000}"/>
    <cellStyle name="Note 6" xfId="1356" xr:uid="{00000000-0005-0000-0000-0000EB070000}"/>
    <cellStyle name="Note_DGO" xfId="1822" xr:uid="{00000000-0005-0000-0000-0000EC070000}"/>
    <cellStyle name="num s dec" xfId="738" xr:uid="{00000000-0005-0000-0000-0000ED070000}"/>
    <cellStyle name="num s dec 2" xfId="2118" xr:uid="{00000000-0005-0000-0000-0000EE070000}"/>
    <cellStyle name="NUMLINHA" xfId="1823" xr:uid="{00000000-0005-0000-0000-0000EF070000}"/>
    <cellStyle name="NUMLINHA 2" xfId="2119" xr:uid="{00000000-0005-0000-0000-0000F0070000}"/>
    <cellStyle name="Opis" xfId="739" xr:uid="{00000000-0005-0000-0000-0000F1070000}"/>
    <cellStyle name="Output" xfId="740" xr:uid="{00000000-0005-0000-0000-0000F2070000}"/>
    <cellStyle name="Output 2" xfId="741" xr:uid="{00000000-0005-0000-0000-0000F3070000}"/>
    <cellStyle name="Output 2 2" xfId="1357" xr:uid="{00000000-0005-0000-0000-0000F4070000}"/>
    <cellStyle name="Output 2 3" xfId="1358" xr:uid="{00000000-0005-0000-0000-0000F5070000}"/>
    <cellStyle name="Output 3" xfId="1020" xr:uid="{00000000-0005-0000-0000-0000F6070000}"/>
    <cellStyle name="Output 4" xfId="1021" xr:uid="{00000000-0005-0000-0000-0000F7070000}"/>
    <cellStyle name="Output 5" xfId="1359" xr:uid="{00000000-0005-0000-0000-0000F8070000}"/>
    <cellStyle name="Output 6" xfId="1360" xr:uid="{00000000-0005-0000-0000-0000F9070000}"/>
    <cellStyle name="Output_efeito da reposicao de subsidios em 2013 (2)" xfId="1824" xr:uid="{00000000-0005-0000-0000-0000FA070000}"/>
    <cellStyle name="pequeno" xfId="742" xr:uid="{00000000-0005-0000-0000-0000FB070000}"/>
    <cellStyle name="pequeno 2" xfId="2120" xr:uid="{00000000-0005-0000-0000-0000FC070000}"/>
    <cellStyle name="PERCENT" xfId="743" xr:uid="{00000000-0005-0000-0000-0000FD070000}"/>
    <cellStyle name="Percent [0]" xfId="1825" xr:uid="{00000000-0005-0000-0000-0000FE070000}"/>
    <cellStyle name="Percent [0] 2" xfId="2121" xr:uid="{00000000-0005-0000-0000-0000FF070000}"/>
    <cellStyle name="Percent [00]" xfId="1826" xr:uid="{00000000-0005-0000-0000-000000080000}"/>
    <cellStyle name="Percent [00] 2" xfId="2122" xr:uid="{00000000-0005-0000-0000-000001080000}"/>
    <cellStyle name="Percent [2]" xfId="744" xr:uid="{00000000-0005-0000-0000-000002080000}"/>
    <cellStyle name="Percent [2] 2" xfId="2123" xr:uid="{00000000-0005-0000-0000-000003080000}"/>
    <cellStyle name="Percent 2" xfId="745" xr:uid="{00000000-0005-0000-0000-000004080000}"/>
    <cellStyle name="Percent 2 10" xfId="746" xr:uid="{00000000-0005-0000-0000-000005080000}"/>
    <cellStyle name="Percent 2 10 2" xfId="2124" xr:uid="{00000000-0005-0000-0000-000006080000}"/>
    <cellStyle name="Percent 2 11" xfId="747" xr:uid="{00000000-0005-0000-0000-000007080000}"/>
    <cellStyle name="Percent 2 11 2" xfId="2125" xr:uid="{00000000-0005-0000-0000-000008080000}"/>
    <cellStyle name="Percent 2 12" xfId="748" xr:uid="{00000000-0005-0000-0000-000009080000}"/>
    <cellStyle name="Percent 2 12 2" xfId="2126" xr:uid="{00000000-0005-0000-0000-00000A080000}"/>
    <cellStyle name="Percent 2 13" xfId="749" xr:uid="{00000000-0005-0000-0000-00000B080000}"/>
    <cellStyle name="Percent 2 13 2" xfId="2127" xr:uid="{00000000-0005-0000-0000-00000C080000}"/>
    <cellStyle name="Percent 2 14" xfId="750" xr:uid="{00000000-0005-0000-0000-00000D080000}"/>
    <cellStyle name="Percent 2 14 2" xfId="2128" xr:uid="{00000000-0005-0000-0000-00000E080000}"/>
    <cellStyle name="Percent 2 15" xfId="751" xr:uid="{00000000-0005-0000-0000-00000F080000}"/>
    <cellStyle name="Percent 2 15 2" xfId="2129" xr:uid="{00000000-0005-0000-0000-000010080000}"/>
    <cellStyle name="Percent 2 16" xfId="752" xr:uid="{00000000-0005-0000-0000-000011080000}"/>
    <cellStyle name="Percent 2 16 2" xfId="2130" xr:uid="{00000000-0005-0000-0000-000012080000}"/>
    <cellStyle name="Percent 2 17" xfId="753" xr:uid="{00000000-0005-0000-0000-000013080000}"/>
    <cellStyle name="Percent 2 17 2" xfId="2131" xr:uid="{00000000-0005-0000-0000-000014080000}"/>
    <cellStyle name="Percent 2 18" xfId="754" xr:uid="{00000000-0005-0000-0000-000015080000}"/>
    <cellStyle name="Percent 2 18 2" xfId="2132" xr:uid="{00000000-0005-0000-0000-000016080000}"/>
    <cellStyle name="Percent 2 19" xfId="1361" xr:uid="{00000000-0005-0000-0000-000017080000}"/>
    <cellStyle name="Percent 2 2" xfId="755" xr:uid="{00000000-0005-0000-0000-000018080000}"/>
    <cellStyle name="Percent 2 2 2" xfId="756" xr:uid="{00000000-0005-0000-0000-000019080000}"/>
    <cellStyle name="Percent 2 20" xfId="1363" xr:uid="{00000000-0005-0000-0000-00001A080000}"/>
    <cellStyle name="Percent 2 3" xfId="757" xr:uid="{00000000-0005-0000-0000-00001B080000}"/>
    <cellStyle name="Percent 2 3 2" xfId="758" xr:uid="{00000000-0005-0000-0000-00001C080000}"/>
    <cellStyle name="Percent 2 3 2 2" xfId="1364" xr:uid="{00000000-0005-0000-0000-00001D080000}"/>
    <cellStyle name="Percent 2 3 2 3" xfId="1365" xr:uid="{00000000-0005-0000-0000-00001E080000}"/>
    <cellStyle name="Percent 2 3 2 4" xfId="1827" xr:uid="{00000000-0005-0000-0000-00001F080000}"/>
    <cellStyle name="Percent 2 3 3" xfId="1366" xr:uid="{00000000-0005-0000-0000-000020080000}"/>
    <cellStyle name="Percent 2 3 4" xfId="1367" xr:uid="{00000000-0005-0000-0000-000021080000}"/>
    <cellStyle name="Percent 2 3 5" xfId="1828" xr:uid="{00000000-0005-0000-0000-000022080000}"/>
    <cellStyle name="Percent 2 4" xfId="759" xr:uid="{00000000-0005-0000-0000-000023080000}"/>
    <cellStyle name="Percent 2 4 2" xfId="1368" xr:uid="{00000000-0005-0000-0000-000024080000}"/>
    <cellStyle name="Percent 2 4 3" xfId="1369" xr:uid="{00000000-0005-0000-0000-000025080000}"/>
    <cellStyle name="Percent 2 4 4" xfId="1829" xr:uid="{00000000-0005-0000-0000-000026080000}"/>
    <cellStyle name="Percent 2 5" xfId="760" xr:uid="{00000000-0005-0000-0000-000027080000}"/>
    <cellStyle name="Percent 2 5 2" xfId="1370" xr:uid="{00000000-0005-0000-0000-000028080000}"/>
    <cellStyle name="Percent 2 5 3" xfId="1371" xr:uid="{00000000-0005-0000-0000-000029080000}"/>
    <cellStyle name="Percent 2 5 4" xfId="1830" xr:uid="{00000000-0005-0000-0000-00002A080000}"/>
    <cellStyle name="Percent 2 6" xfId="761" xr:uid="{00000000-0005-0000-0000-00002B080000}"/>
    <cellStyle name="Percent 2 6 2" xfId="1372" xr:uid="{00000000-0005-0000-0000-00002C080000}"/>
    <cellStyle name="Percent 2 6 3" xfId="1373" xr:uid="{00000000-0005-0000-0000-00002D080000}"/>
    <cellStyle name="Percent 2 6 4" xfId="1831" xr:uid="{00000000-0005-0000-0000-00002E080000}"/>
    <cellStyle name="Percent 2 7" xfId="762" xr:uid="{00000000-0005-0000-0000-00002F080000}"/>
    <cellStyle name="Percent 2 7 2" xfId="763" xr:uid="{00000000-0005-0000-0000-000030080000}"/>
    <cellStyle name="Percent 2 7 2 2" xfId="764" xr:uid="{00000000-0005-0000-0000-000031080000}"/>
    <cellStyle name="Percent 2 7 2 2 2" xfId="2133" xr:uid="{00000000-0005-0000-0000-000032080000}"/>
    <cellStyle name="Percent 2 7 2 3" xfId="765" xr:uid="{00000000-0005-0000-0000-000033080000}"/>
    <cellStyle name="Percent 2 7 2 3 2" xfId="2134" xr:uid="{00000000-0005-0000-0000-000034080000}"/>
    <cellStyle name="Percent 2 7 2 4" xfId="766" xr:uid="{00000000-0005-0000-0000-000035080000}"/>
    <cellStyle name="Percent 2 7 2 4 2" xfId="2135" xr:uid="{00000000-0005-0000-0000-000036080000}"/>
    <cellStyle name="Percent 2 7 3" xfId="767" xr:uid="{00000000-0005-0000-0000-000037080000}"/>
    <cellStyle name="Percent 2 7 4" xfId="768" xr:uid="{00000000-0005-0000-0000-000038080000}"/>
    <cellStyle name="Percent 2 7 5" xfId="1374" xr:uid="{00000000-0005-0000-0000-000039080000}"/>
    <cellStyle name="Percent 2 7 6" xfId="1375" xr:uid="{00000000-0005-0000-0000-00003A080000}"/>
    <cellStyle name="Percent 2 8" xfId="769" xr:uid="{00000000-0005-0000-0000-00003B080000}"/>
    <cellStyle name="Percent 2 8 2" xfId="1376" xr:uid="{00000000-0005-0000-0000-00003C080000}"/>
    <cellStyle name="Percent 2 8 3" xfId="1377" xr:uid="{00000000-0005-0000-0000-00003D080000}"/>
    <cellStyle name="Percent 2 8 4" xfId="1832" xr:uid="{00000000-0005-0000-0000-00003E080000}"/>
    <cellStyle name="Percent 2 9" xfId="770" xr:uid="{00000000-0005-0000-0000-00003F080000}"/>
    <cellStyle name="Percent 2 9 2" xfId="2136" xr:uid="{00000000-0005-0000-0000-000040080000}"/>
    <cellStyle name="Percent 3" xfId="771" xr:uid="{00000000-0005-0000-0000-000041080000}"/>
    <cellStyle name="Percent 3 2" xfId="772" xr:uid="{00000000-0005-0000-0000-000042080000}"/>
    <cellStyle name="Percent 3 3" xfId="2137" xr:uid="{00000000-0005-0000-0000-000043080000}"/>
    <cellStyle name="Percent 4" xfId="773" xr:uid="{00000000-0005-0000-0000-000044080000}"/>
    <cellStyle name="Percent 5" xfId="774" xr:uid="{00000000-0005-0000-0000-000045080000}"/>
    <cellStyle name="Percent 5 2" xfId="2138" xr:uid="{00000000-0005-0000-0000-000046080000}"/>
    <cellStyle name="Percent 6" xfId="775" xr:uid="{00000000-0005-0000-0000-000047080000}"/>
    <cellStyle name="Percent 6 2" xfId="2139" xr:uid="{00000000-0005-0000-0000-000048080000}"/>
    <cellStyle name="Percent 7" xfId="776" xr:uid="{00000000-0005-0000-0000-000049080000}"/>
    <cellStyle name="Percent 7 2" xfId="1378" xr:uid="{00000000-0005-0000-0000-00004A080000}"/>
    <cellStyle name="Percent 7 3" xfId="1379" xr:uid="{00000000-0005-0000-0000-00004B080000}"/>
    <cellStyle name="Percent 7 4" xfId="1833" xr:uid="{00000000-0005-0000-0000-00004C080000}"/>
    <cellStyle name="Percent 8" xfId="777" xr:uid="{00000000-0005-0000-0000-00004D080000}"/>
    <cellStyle name="Percent 8 2" xfId="1380" xr:uid="{00000000-0005-0000-0000-00004E080000}"/>
    <cellStyle name="Percent 8 3" xfId="1381" xr:uid="{00000000-0005-0000-0000-00004F080000}"/>
    <cellStyle name="Percent 8 4" xfId="1834" xr:uid="{00000000-0005-0000-0000-000050080000}"/>
    <cellStyle name="PERCENT 9" xfId="2140" xr:uid="{00000000-0005-0000-0000-000051080000}"/>
    <cellStyle name="Percentagem 10" xfId="778" xr:uid="{00000000-0005-0000-0000-000052080000}"/>
    <cellStyle name="Percentagem 10 2" xfId="1382" xr:uid="{00000000-0005-0000-0000-000053080000}"/>
    <cellStyle name="Percentagem 10 3" xfId="1383" xr:uid="{00000000-0005-0000-0000-000054080000}"/>
    <cellStyle name="Percentagem 10 4" xfId="1835" xr:uid="{00000000-0005-0000-0000-000055080000}"/>
    <cellStyle name="Percentagem 11" xfId="779" xr:uid="{00000000-0005-0000-0000-000056080000}"/>
    <cellStyle name="Percentagem 11 2" xfId="780" xr:uid="{00000000-0005-0000-0000-000057080000}"/>
    <cellStyle name="Percentagem 11 2 2" xfId="1384" xr:uid="{00000000-0005-0000-0000-000058080000}"/>
    <cellStyle name="Percentagem 11 2 3" xfId="1385" xr:uid="{00000000-0005-0000-0000-000059080000}"/>
    <cellStyle name="Percentagem 11 2 4" xfId="1836" xr:uid="{00000000-0005-0000-0000-00005A080000}"/>
    <cellStyle name="Percentagem 11 3" xfId="1386" xr:uid="{00000000-0005-0000-0000-00005B080000}"/>
    <cellStyle name="Percentagem 11 4" xfId="1387" xr:uid="{00000000-0005-0000-0000-00005C080000}"/>
    <cellStyle name="Percentagem 11 5" xfId="1837" xr:uid="{00000000-0005-0000-0000-00005D080000}"/>
    <cellStyle name="Percentagem 12" xfId="1838" xr:uid="{00000000-0005-0000-0000-00005E080000}"/>
    <cellStyle name="Percentagem 13" xfId="781" xr:uid="{00000000-0005-0000-0000-00005F080000}"/>
    <cellStyle name="Percentagem 13 2" xfId="2141" xr:uid="{00000000-0005-0000-0000-000060080000}"/>
    <cellStyle name="Percentagem 14" xfId="2142" xr:uid="{00000000-0005-0000-0000-000061080000}"/>
    <cellStyle name="Percentagem 14 2" xfId="2143" xr:uid="{00000000-0005-0000-0000-000062080000}"/>
    <cellStyle name="Percentagem 14 2 2" xfId="2144" xr:uid="{00000000-0005-0000-0000-000063080000}"/>
    <cellStyle name="Percentagem 14 3" xfId="2145" xr:uid="{00000000-0005-0000-0000-000064080000}"/>
    <cellStyle name="Percentagem 2" xfId="13" xr:uid="{00000000-0005-0000-0000-000065080000}"/>
    <cellStyle name="Percentagem 2 10" xfId="783" xr:uid="{00000000-0005-0000-0000-000066080000}"/>
    <cellStyle name="Percentagem 2 11" xfId="784" xr:uid="{00000000-0005-0000-0000-000067080000}"/>
    <cellStyle name="Percentagem 2 12" xfId="782" xr:uid="{00000000-0005-0000-0000-000068080000}"/>
    <cellStyle name="Percentagem 2 12 2" xfId="1388" xr:uid="{00000000-0005-0000-0000-000069080000}"/>
    <cellStyle name="Percentagem 2 2" xfId="785" xr:uid="{00000000-0005-0000-0000-00006A080000}"/>
    <cellStyle name="Percentagem 2 2 2" xfId="1022" xr:uid="{00000000-0005-0000-0000-00006B080000}"/>
    <cellStyle name="Percentagem 2 2 2 2" xfId="2146" xr:uid="{00000000-0005-0000-0000-00006C080000}"/>
    <cellStyle name="Percentagem 2 2 2 3" xfId="1389" xr:uid="{00000000-0005-0000-0000-00006D080000}"/>
    <cellStyle name="Percentagem 2 2 3" xfId="1390" xr:uid="{00000000-0005-0000-0000-00006E080000}"/>
    <cellStyle name="Percentagem 2 2 3 2" xfId="1391" xr:uid="{00000000-0005-0000-0000-00006F080000}"/>
    <cellStyle name="Percentagem 2 2 4" xfId="1392" xr:uid="{00000000-0005-0000-0000-000070080000}"/>
    <cellStyle name="Percentagem 2 2 5" xfId="1839" xr:uid="{00000000-0005-0000-0000-000071080000}"/>
    <cellStyle name="Percentagem 2 3" xfId="786" xr:uid="{00000000-0005-0000-0000-000072080000}"/>
    <cellStyle name="Percentagem 2 4" xfId="787" xr:uid="{00000000-0005-0000-0000-000073080000}"/>
    <cellStyle name="Percentagem 2 5" xfId="788" xr:uid="{00000000-0005-0000-0000-000074080000}"/>
    <cellStyle name="Percentagem 2 6" xfId="789" xr:uid="{00000000-0005-0000-0000-000075080000}"/>
    <cellStyle name="Percentagem 2 7" xfId="790" xr:uid="{00000000-0005-0000-0000-000076080000}"/>
    <cellStyle name="Percentagem 2 8" xfId="791" xr:uid="{00000000-0005-0000-0000-000077080000}"/>
    <cellStyle name="Percentagem 2 9" xfId="792" xr:uid="{00000000-0005-0000-0000-000078080000}"/>
    <cellStyle name="Percentagem 3" xfId="793" xr:uid="{00000000-0005-0000-0000-000079080000}"/>
    <cellStyle name="Percentagem 3 2" xfId="794" xr:uid="{00000000-0005-0000-0000-00007A080000}"/>
    <cellStyle name="Percentagem 4" xfId="6" xr:uid="{00000000-0005-0000-0000-00007B080000}"/>
    <cellStyle name="Percentagem 4 10" xfId="795" xr:uid="{00000000-0005-0000-0000-00007C080000}"/>
    <cellStyle name="Percentagem 4 10 2" xfId="2147" xr:uid="{00000000-0005-0000-0000-00007D080000}"/>
    <cellStyle name="Percentagem 4 2" xfId="796" xr:uid="{00000000-0005-0000-0000-00007E080000}"/>
    <cellStyle name="Percentagem 4 2 2" xfId="1393" xr:uid="{00000000-0005-0000-0000-00007F080000}"/>
    <cellStyle name="Percentagem 4 2 2 2" xfId="1394" xr:uid="{00000000-0005-0000-0000-000080080000}"/>
    <cellStyle name="Percentagem 4 2 2 3" xfId="1840" xr:uid="{00000000-0005-0000-0000-000081080000}"/>
    <cellStyle name="Percentagem 4 2 3" xfId="2148" xr:uid="{00000000-0005-0000-0000-000082080000}"/>
    <cellStyle name="Percentagem 4 3" xfId="797" xr:uid="{00000000-0005-0000-0000-000083080000}"/>
    <cellStyle name="Percentagem 4 3 2" xfId="1023" xr:uid="{00000000-0005-0000-0000-000084080000}"/>
    <cellStyle name="Percentagem 4 3 2 2" xfId="2149" xr:uid="{00000000-0005-0000-0000-000085080000}"/>
    <cellStyle name="Percentagem 4 4" xfId="798" xr:uid="{00000000-0005-0000-0000-000086080000}"/>
    <cellStyle name="Percentagem 4 4 2" xfId="2150" xr:uid="{00000000-0005-0000-0000-000087080000}"/>
    <cellStyle name="Percentagem 4 5" xfId="799" xr:uid="{00000000-0005-0000-0000-000088080000}"/>
    <cellStyle name="Percentagem 4 5 2" xfId="2151" xr:uid="{00000000-0005-0000-0000-000089080000}"/>
    <cellStyle name="Percentagem 4 6" xfId="800" xr:uid="{00000000-0005-0000-0000-00008A080000}"/>
    <cellStyle name="Percentagem 4 6 2" xfId="2152" xr:uid="{00000000-0005-0000-0000-00008B080000}"/>
    <cellStyle name="Percentagem 4 7" xfId="801" xr:uid="{00000000-0005-0000-0000-00008C080000}"/>
    <cellStyle name="Percentagem 4 7 2" xfId="2153" xr:uid="{00000000-0005-0000-0000-00008D080000}"/>
    <cellStyle name="Percentagem 4 8" xfId="802" xr:uid="{00000000-0005-0000-0000-00008E080000}"/>
    <cellStyle name="Percentagem 4 8 2" xfId="2154" xr:uid="{00000000-0005-0000-0000-00008F080000}"/>
    <cellStyle name="Percentagem 4 9" xfId="803" xr:uid="{00000000-0005-0000-0000-000090080000}"/>
    <cellStyle name="Percentagem 4 9 2" xfId="2155" xr:uid="{00000000-0005-0000-0000-000091080000}"/>
    <cellStyle name="Percentagem 5" xfId="804" xr:uid="{00000000-0005-0000-0000-000092080000}"/>
    <cellStyle name="Percentagem 5 10" xfId="805" xr:uid="{00000000-0005-0000-0000-000093080000}"/>
    <cellStyle name="Percentagem 5 10 2" xfId="2156" xr:uid="{00000000-0005-0000-0000-000094080000}"/>
    <cellStyle name="Percentagem 5 11" xfId="806" xr:uid="{00000000-0005-0000-0000-000095080000}"/>
    <cellStyle name="Percentagem 5 11 2" xfId="2157" xr:uid="{00000000-0005-0000-0000-000096080000}"/>
    <cellStyle name="Percentagem 5 12" xfId="807" xr:uid="{00000000-0005-0000-0000-000097080000}"/>
    <cellStyle name="Percentagem 5 12 2" xfId="2158" xr:uid="{00000000-0005-0000-0000-000098080000}"/>
    <cellStyle name="Percentagem 5 13" xfId="2159" xr:uid="{00000000-0005-0000-0000-000099080000}"/>
    <cellStyle name="Percentagem 5 2" xfId="808" xr:uid="{00000000-0005-0000-0000-00009A080000}"/>
    <cellStyle name="Percentagem 5 2 2" xfId="1076" xr:uid="{00000000-0005-0000-0000-00009B080000}"/>
    <cellStyle name="Percentagem 5 2 2 2" xfId="1395" xr:uid="{00000000-0005-0000-0000-00009C080000}"/>
    <cellStyle name="Percentagem 5 2 3" xfId="1396" xr:uid="{00000000-0005-0000-0000-00009D080000}"/>
    <cellStyle name="Percentagem 5 2 4" xfId="1841" xr:uid="{00000000-0005-0000-0000-00009E080000}"/>
    <cellStyle name="Percentagem 5 3" xfId="809" xr:uid="{00000000-0005-0000-0000-00009F080000}"/>
    <cellStyle name="Percentagem 5 3 2" xfId="2160" xr:uid="{00000000-0005-0000-0000-0000A0080000}"/>
    <cellStyle name="Percentagem 5 4" xfId="810" xr:uid="{00000000-0005-0000-0000-0000A1080000}"/>
    <cellStyle name="Percentagem 5 4 2" xfId="2161" xr:uid="{00000000-0005-0000-0000-0000A2080000}"/>
    <cellStyle name="Percentagem 5 5" xfId="811" xr:uid="{00000000-0005-0000-0000-0000A3080000}"/>
    <cellStyle name="Percentagem 5 5 2" xfId="2162" xr:uid="{00000000-0005-0000-0000-0000A4080000}"/>
    <cellStyle name="Percentagem 5 6" xfId="812" xr:uid="{00000000-0005-0000-0000-0000A5080000}"/>
    <cellStyle name="Percentagem 5 6 2" xfId="2163" xr:uid="{00000000-0005-0000-0000-0000A6080000}"/>
    <cellStyle name="Percentagem 5 7" xfId="813" xr:uid="{00000000-0005-0000-0000-0000A7080000}"/>
    <cellStyle name="Percentagem 5 7 2" xfId="2164" xr:uid="{00000000-0005-0000-0000-0000A8080000}"/>
    <cellStyle name="Percentagem 5 8" xfId="814" xr:uid="{00000000-0005-0000-0000-0000A9080000}"/>
    <cellStyle name="Percentagem 5 8 2" xfId="2165" xr:uid="{00000000-0005-0000-0000-0000AA080000}"/>
    <cellStyle name="Percentagem 5 9" xfId="815" xr:uid="{00000000-0005-0000-0000-0000AB080000}"/>
    <cellStyle name="Percentagem 5 9 2" xfId="2166" xr:uid="{00000000-0005-0000-0000-0000AC080000}"/>
    <cellStyle name="Percentagem 6" xfId="816" xr:uid="{00000000-0005-0000-0000-0000AD080000}"/>
    <cellStyle name="Percentagem 6 2" xfId="817" xr:uid="{00000000-0005-0000-0000-0000AE080000}"/>
    <cellStyle name="Percentagem 6 3" xfId="1397" xr:uid="{00000000-0005-0000-0000-0000AF080000}"/>
    <cellStyle name="Percentagem 6 3 2" xfId="1398" xr:uid="{00000000-0005-0000-0000-0000B0080000}"/>
    <cellStyle name="Percentagem 6 4" xfId="1399" xr:uid="{00000000-0005-0000-0000-0000B1080000}"/>
    <cellStyle name="Percentagem 6 5" xfId="1842" xr:uid="{00000000-0005-0000-0000-0000B2080000}"/>
    <cellStyle name="Percentagem 7" xfId="818" xr:uid="{00000000-0005-0000-0000-0000B3080000}"/>
    <cellStyle name="Percentagem 7 2" xfId="1077" xr:uid="{00000000-0005-0000-0000-0000B4080000}"/>
    <cellStyle name="Percentagem 7 2 2" xfId="1400" xr:uid="{00000000-0005-0000-0000-0000B5080000}"/>
    <cellStyle name="Percentagem 7 3" xfId="1401" xr:uid="{00000000-0005-0000-0000-0000B6080000}"/>
    <cellStyle name="Percentagem 7 4" xfId="1843" xr:uid="{00000000-0005-0000-0000-0000B7080000}"/>
    <cellStyle name="Percentagem 8" xfId="819" xr:uid="{00000000-0005-0000-0000-0000B8080000}"/>
    <cellStyle name="Percentagem 8 2" xfId="1402" xr:uid="{00000000-0005-0000-0000-0000B9080000}"/>
    <cellStyle name="Percentagem 8 3" xfId="1403" xr:uid="{00000000-0005-0000-0000-0000BA080000}"/>
    <cellStyle name="Percentagem 8 4" xfId="1844" xr:uid="{00000000-0005-0000-0000-0000BB080000}"/>
    <cellStyle name="Percentagem 9" xfId="820" xr:uid="{00000000-0005-0000-0000-0000BC080000}"/>
    <cellStyle name="Percentagem 9 2" xfId="821" xr:uid="{00000000-0005-0000-0000-0000BD080000}"/>
    <cellStyle name="Percentagem 9 2 2" xfId="1404" xr:uid="{00000000-0005-0000-0000-0000BE080000}"/>
    <cellStyle name="Percentagem 9 2 3" xfId="1405" xr:uid="{00000000-0005-0000-0000-0000BF080000}"/>
    <cellStyle name="Percentagem 9 2 4" xfId="1845" xr:uid="{00000000-0005-0000-0000-0000C0080000}"/>
    <cellStyle name="Percentagem 9 3" xfId="1406" xr:uid="{00000000-0005-0000-0000-0000C1080000}"/>
    <cellStyle name="Percentagem 9 4" xfId="1407" xr:uid="{00000000-0005-0000-0000-0000C2080000}"/>
    <cellStyle name="Percentagem 9 5" xfId="1846" xr:uid="{00000000-0005-0000-0000-0000C3080000}"/>
    <cellStyle name="PercentSales" xfId="822" xr:uid="{00000000-0005-0000-0000-0000C4080000}"/>
    <cellStyle name="PercentSales 2" xfId="2167" xr:uid="{00000000-0005-0000-0000-0000C5080000}"/>
    <cellStyle name="PrePop Currency (0)" xfId="1847" xr:uid="{00000000-0005-0000-0000-0000C6080000}"/>
    <cellStyle name="PrePop Currency (2)" xfId="1848" xr:uid="{00000000-0005-0000-0000-0000C7080000}"/>
    <cellStyle name="PrePop Units (0)" xfId="1849" xr:uid="{00000000-0005-0000-0000-0000C8080000}"/>
    <cellStyle name="PrePop Units (1)" xfId="1850" xr:uid="{00000000-0005-0000-0000-0000C9080000}"/>
    <cellStyle name="PrePop Units (2)" xfId="1851" xr:uid="{00000000-0005-0000-0000-0000CA080000}"/>
    <cellStyle name="Ratio" xfId="823" xr:uid="{00000000-0005-0000-0000-0000CB080000}"/>
    <cellStyle name="Red font" xfId="824" xr:uid="{00000000-0005-0000-0000-0000CC080000}"/>
    <cellStyle name="RInfo" xfId="825" xr:uid="{00000000-0005-0000-0000-0000CD080000}"/>
    <cellStyle name="Saída 2" xfId="826" xr:uid="{00000000-0005-0000-0000-0000CE080000}"/>
    <cellStyle name="Saída 2 2" xfId="1024" xr:uid="{00000000-0005-0000-0000-0000CF080000}"/>
    <cellStyle name="Saída 2 3" xfId="1025" xr:uid="{00000000-0005-0000-0000-0000D0080000}"/>
    <cellStyle name="Saída 2 4" xfId="1026" xr:uid="{00000000-0005-0000-0000-0000D1080000}"/>
    <cellStyle name="Saída 2 5" xfId="1408" xr:uid="{00000000-0005-0000-0000-0000D2080000}"/>
    <cellStyle name="Saída 2 6" xfId="1409" xr:uid="{00000000-0005-0000-0000-0000D3080000}"/>
    <cellStyle name="Saída 3" xfId="827" xr:uid="{00000000-0005-0000-0000-0000D4080000}"/>
    <cellStyle name="Saída 4" xfId="828" xr:uid="{00000000-0005-0000-0000-0000D5080000}"/>
    <cellStyle name="Sheet Title" xfId="829" xr:uid="{00000000-0005-0000-0000-0000D6080000}"/>
    <cellStyle name="sombreado" xfId="830" xr:uid="{00000000-0005-0000-0000-0000D7080000}"/>
    <cellStyle name="sombreado 2" xfId="2168" xr:uid="{00000000-0005-0000-0000-0000D8080000}"/>
    <cellStyle name="Standard_WBBasis" xfId="1027" xr:uid="{00000000-0005-0000-0000-0000D9080000}"/>
    <cellStyle name="Style 1" xfId="831" xr:uid="{00000000-0005-0000-0000-0000DA080000}"/>
    <cellStyle name="Style 1 2" xfId="832" xr:uid="{00000000-0005-0000-0000-0000DB080000}"/>
    <cellStyle name="Style 1 2 2" xfId="833" xr:uid="{00000000-0005-0000-0000-0000DC080000}"/>
    <cellStyle name="Style 1 2 2 2" xfId="2169" xr:uid="{00000000-0005-0000-0000-0000DD080000}"/>
    <cellStyle name="Style 1 2 3" xfId="834" xr:uid="{00000000-0005-0000-0000-0000DE080000}"/>
    <cellStyle name="Style 1 2 3 2" xfId="2170" xr:uid="{00000000-0005-0000-0000-0000DF080000}"/>
    <cellStyle name="Style 1 2 4" xfId="835" xr:uid="{00000000-0005-0000-0000-0000E0080000}"/>
    <cellStyle name="Style 1 2 4 2" xfId="2171" xr:uid="{00000000-0005-0000-0000-0000E1080000}"/>
    <cellStyle name="Style 1 2 5" xfId="2172" xr:uid="{00000000-0005-0000-0000-0000E2080000}"/>
    <cellStyle name="Style 1 3" xfId="836" xr:uid="{00000000-0005-0000-0000-0000E3080000}"/>
    <cellStyle name="Style 1 3 2" xfId="2173" xr:uid="{00000000-0005-0000-0000-0000E4080000}"/>
    <cellStyle name="Style 1 4" xfId="837" xr:uid="{00000000-0005-0000-0000-0000E5080000}"/>
    <cellStyle name="Style 1 4 2" xfId="2174" xr:uid="{00000000-0005-0000-0000-0000E6080000}"/>
    <cellStyle name="Style 1 5" xfId="2175" xr:uid="{00000000-0005-0000-0000-0000E7080000}"/>
    <cellStyle name="Text Indent A" xfId="1852" xr:uid="{00000000-0005-0000-0000-0000E8080000}"/>
    <cellStyle name="Text Indent B" xfId="1853" xr:uid="{00000000-0005-0000-0000-0000E9080000}"/>
    <cellStyle name="Text Indent C" xfId="1854" xr:uid="{00000000-0005-0000-0000-0000EA080000}"/>
    <cellStyle name="Texto de Aviso 10" xfId="838" xr:uid="{00000000-0005-0000-0000-0000EB080000}"/>
    <cellStyle name="Texto de Aviso 10 2" xfId="1855" xr:uid="{00000000-0005-0000-0000-0000EC080000}"/>
    <cellStyle name="Texto de Aviso 11" xfId="839" xr:uid="{00000000-0005-0000-0000-0000ED080000}"/>
    <cellStyle name="Texto de Aviso 11 2" xfId="1856" xr:uid="{00000000-0005-0000-0000-0000EE080000}"/>
    <cellStyle name="Texto de Aviso 2" xfId="840" xr:uid="{00000000-0005-0000-0000-0000EF080000}"/>
    <cellStyle name="Texto de Aviso 2 10" xfId="841" xr:uid="{00000000-0005-0000-0000-0000F0080000}"/>
    <cellStyle name="Texto de Aviso 2 11" xfId="842" xr:uid="{00000000-0005-0000-0000-0000F1080000}"/>
    <cellStyle name="Texto de Aviso 2 2" xfId="843" xr:uid="{00000000-0005-0000-0000-0000F2080000}"/>
    <cellStyle name="Texto de Aviso 2 3" xfId="844" xr:uid="{00000000-0005-0000-0000-0000F3080000}"/>
    <cellStyle name="Texto de Aviso 2 4" xfId="845" xr:uid="{00000000-0005-0000-0000-0000F4080000}"/>
    <cellStyle name="Texto de Aviso 2 5" xfId="846" xr:uid="{00000000-0005-0000-0000-0000F5080000}"/>
    <cellStyle name="Texto de Aviso 2 6" xfId="847" xr:uid="{00000000-0005-0000-0000-0000F6080000}"/>
    <cellStyle name="Texto de Aviso 2 7" xfId="848" xr:uid="{00000000-0005-0000-0000-0000F7080000}"/>
    <cellStyle name="Texto de Aviso 2 8" xfId="849" xr:uid="{00000000-0005-0000-0000-0000F8080000}"/>
    <cellStyle name="Texto de Aviso 2 9" xfId="850" xr:uid="{00000000-0005-0000-0000-0000F9080000}"/>
    <cellStyle name="Texto de Aviso 2_DGO" xfId="1857" xr:uid="{00000000-0005-0000-0000-0000FA080000}"/>
    <cellStyle name="Texto de Aviso 3" xfId="851" xr:uid="{00000000-0005-0000-0000-0000FB080000}"/>
    <cellStyle name="Texto de Aviso 4" xfId="852" xr:uid="{00000000-0005-0000-0000-0000FC080000}"/>
    <cellStyle name="Texto de Aviso 5" xfId="853" xr:uid="{00000000-0005-0000-0000-0000FD080000}"/>
    <cellStyle name="Texto de Aviso 5 2" xfId="1858" xr:uid="{00000000-0005-0000-0000-0000FE080000}"/>
    <cellStyle name="Texto de Aviso 6" xfId="854" xr:uid="{00000000-0005-0000-0000-0000FF080000}"/>
    <cellStyle name="Texto de Aviso 6 2" xfId="1859" xr:uid="{00000000-0005-0000-0000-000000090000}"/>
    <cellStyle name="Texto de Aviso 7" xfId="855" xr:uid="{00000000-0005-0000-0000-000001090000}"/>
    <cellStyle name="Texto de Aviso 7 2" xfId="1860" xr:uid="{00000000-0005-0000-0000-000002090000}"/>
    <cellStyle name="Texto de Aviso 8" xfId="856" xr:uid="{00000000-0005-0000-0000-000003090000}"/>
    <cellStyle name="Texto de Aviso 8 2" xfId="1861" xr:uid="{00000000-0005-0000-0000-000004090000}"/>
    <cellStyle name="Texto de Aviso 9" xfId="857" xr:uid="{00000000-0005-0000-0000-000005090000}"/>
    <cellStyle name="Texto de Aviso 9 2" xfId="1862" xr:uid="{00000000-0005-0000-0000-000006090000}"/>
    <cellStyle name="Texto Explicativo 2" xfId="858" xr:uid="{00000000-0005-0000-0000-000007090000}"/>
    <cellStyle name="Texto Explicativo 3" xfId="859" xr:uid="{00000000-0005-0000-0000-000008090000}"/>
    <cellStyle name="Texto Explicativo 4" xfId="860" xr:uid="{00000000-0005-0000-0000-000009090000}"/>
    <cellStyle name="Title" xfId="861" xr:uid="{00000000-0005-0000-0000-00000A090000}"/>
    <cellStyle name="Title 1" xfId="862" xr:uid="{00000000-0005-0000-0000-00000B090000}"/>
    <cellStyle name="Title 3" xfId="863" xr:uid="{00000000-0005-0000-0000-00000C090000}"/>
    <cellStyle name="Title 4" xfId="864" xr:uid="{00000000-0005-0000-0000-00000D090000}"/>
    <cellStyle name="Title_Saldos" xfId="1863" xr:uid="{00000000-0005-0000-0000-00000E090000}"/>
    <cellStyle name="Titulo" xfId="865" xr:uid="{00000000-0005-0000-0000-00000F090000}"/>
    <cellStyle name="Título 1" xfId="1864" xr:uid="{00000000-0005-0000-0000-000010090000}"/>
    <cellStyle name="Título 2" xfId="866" xr:uid="{00000000-0005-0000-0000-000011090000}"/>
    <cellStyle name="Título 3" xfId="867" xr:uid="{00000000-0005-0000-0000-000012090000}"/>
    <cellStyle name="Título 4" xfId="868" xr:uid="{00000000-0005-0000-0000-000013090000}"/>
    <cellStyle name="Total 10" xfId="869" xr:uid="{00000000-0005-0000-0000-000014090000}"/>
    <cellStyle name="Total 11" xfId="870" xr:uid="{00000000-0005-0000-0000-000015090000}"/>
    <cellStyle name="Total 12" xfId="871" xr:uid="{00000000-0005-0000-0000-000016090000}"/>
    <cellStyle name="Total 13" xfId="872" xr:uid="{00000000-0005-0000-0000-000017090000}"/>
    <cellStyle name="Total 14" xfId="873" xr:uid="{00000000-0005-0000-0000-000018090000}"/>
    <cellStyle name="Total 15" xfId="874" xr:uid="{00000000-0005-0000-0000-000019090000}"/>
    <cellStyle name="Total 16" xfId="875" xr:uid="{00000000-0005-0000-0000-00001A090000}"/>
    <cellStyle name="Total 17" xfId="876" xr:uid="{00000000-0005-0000-0000-00001B090000}"/>
    <cellStyle name="Total 18" xfId="877" xr:uid="{00000000-0005-0000-0000-00001C090000}"/>
    <cellStyle name="Total 2" xfId="878" xr:uid="{00000000-0005-0000-0000-00001D090000}"/>
    <cellStyle name="Total 2 10" xfId="879" xr:uid="{00000000-0005-0000-0000-00001E090000}"/>
    <cellStyle name="Total 2 11" xfId="880" xr:uid="{00000000-0005-0000-0000-00001F090000}"/>
    <cellStyle name="Total 2 12" xfId="1410" xr:uid="{00000000-0005-0000-0000-000020090000}"/>
    <cellStyle name="Total 2 13" xfId="1411" xr:uid="{00000000-0005-0000-0000-000021090000}"/>
    <cellStyle name="Total 2 2" xfId="881" xr:uid="{00000000-0005-0000-0000-000022090000}"/>
    <cellStyle name="Total 2 2 2" xfId="882" xr:uid="{00000000-0005-0000-0000-000023090000}"/>
    <cellStyle name="Total 2 2 3" xfId="883" xr:uid="{00000000-0005-0000-0000-000024090000}"/>
    <cellStyle name="Total 2 2 4" xfId="1028" xr:uid="{00000000-0005-0000-0000-000025090000}"/>
    <cellStyle name="Total 2 3" xfId="884" xr:uid="{00000000-0005-0000-0000-000026090000}"/>
    <cellStyle name="Total 2 3 2" xfId="1029" xr:uid="{00000000-0005-0000-0000-000027090000}"/>
    <cellStyle name="Total 2 4" xfId="885" xr:uid="{00000000-0005-0000-0000-000028090000}"/>
    <cellStyle name="Total 2 4 2" xfId="1030" xr:uid="{00000000-0005-0000-0000-000029090000}"/>
    <cellStyle name="Total 2 5" xfId="886" xr:uid="{00000000-0005-0000-0000-00002A090000}"/>
    <cellStyle name="Total 2 6" xfId="887" xr:uid="{00000000-0005-0000-0000-00002B090000}"/>
    <cellStyle name="Total 2 7" xfId="888" xr:uid="{00000000-0005-0000-0000-00002C090000}"/>
    <cellStyle name="Total 2 8" xfId="889" xr:uid="{00000000-0005-0000-0000-00002D090000}"/>
    <cellStyle name="Total 2 9" xfId="890" xr:uid="{00000000-0005-0000-0000-00002E090000}"/>
    <cellStyle name="Total 2_DGO" xfId="1865" xr:uid="{00000000-0005-0000-0000-00002F090000}"/>
    <cellStyle name="Total 3" xfId="891" xr:uid="{00000000-0005-0000-0000-000030090000}"/>
    <cellStyle name="Total 4" xfId="892" xr:uid="{00000000-0005-0000-0000-000031090000}"/>
    <cellStyle name="Total 5" xfId="893" xr:uid="{00000000-0005-0000-0000-000032090000}"/>
    <cellStyle name="Total 6" xfId="894" xr:uid="{00000000-0005-0000-0000-000033090000}"/>
    <cellStyle name="Total 7" xfId="895" xr:uid="{00000000-0005-0000-0000-000034090000}"/>
    <cellStyle name="Total 8" xfId="896" xr:uid="{00000000-0005-0000-0000-000035090000}"/>
    <cellStyle name="Total 9" xfId="897" xr:uid="{00000000-0005-0000-0000-000036090000}"/>
    <cellStyle name="Verificar Célula 2" xfId="898" xr:uid="{00000000-0005-0000-0000-000037090000}"/>
    <cellStyle name="Verificar Célula 3" xfId="899" xr:uid="{00000000-0005-0000-0000-000038090000}"/>
    <cellStyle name="Verificar Célula 4" xfId="900" xr:uid="{00000000-0005-0000-0000-000039090000}"/>
    <cellStyle name="Vírgula" xfId="42" builtinId="3"/>
    <cellStyle name="Vírgula 10" xfId="901" xr:uid="{00000000-0005-0000-0000-00003B090000}"/>
    <cellStyle name="Vírgula 10 10" xfId="2594" xr:uid="{00000000-0005-0000-0000-000074030000}"/>
    <cellStyle name="Vírgula 10 2" xfId="1412" xr:uid="{00000000-0005-0000-0000-00003C090000}"/>
    <cellStyle name="Vírgula 10 3" xfId="2290" xr:uid="{00000000-0005-0000-0000-00003D090000}"/>
    <cellStyle name="Vírgula 10 4" xfId="2385" xr:uid="{00000000-0005-0000-0000-00003E090000}"/>
    <cellStyle name="Vírgula 10 5" xfId="2420" xr:uid="{00000000-0005-0000-0000-00003F090000}"/>
    <cellStyle name="Vírgula 10 6" xfId="2455" xr:uid="{00000000-0005-0000-0000-000040090000}"/>
    <cellStyle name="Vírgula 10 7" xfId="2490" xr:uid="{00000000-0005-0000-0000-000041090000}"/>
    <cellStyle name="Vírgula 10 8" xfId="2525" xr:uid="{00000000-0005-0000-0000-000042090000}"/>
    <cellStyle name="Vírgula 10 9" xfId="2559" xr:uid="{00000000-0005-0000-0000-000043090000}"/>
    <cellStyle name="Vírgula 11" xfId="902" xr:uid="{00000000-0005-0000-0000-000044090000}"/>
    <cellStyle name="Vírgula 11 10" xfId="2595" xr:uid="{00000000-0005-0000-0000-000075030000}"/>
    <cellStyle name="Vírgula 11 2" xfId="1413" xr:uid="{00000000-0005-0000-0000-000045090000}"/>
    <cellStyle name="Vírgula 11 3" xfId="2291" xr:uid="{00000000-0005-0000-0000-000046090000}"/>
    <cellStyle name="Vírgula 11 4" xfId="2386" xr:uid="{00000000-0005-0000-0000-000047090000}"/>
    <cellStyle name="Vírgula 11 5" xfId="2421" xr:uid="{00000000-0005-0000-0000-000048090000}"/>
    <cellStyle name="Vírgula 11 6" xfId="2456" xr:uid="{00000000-0005-0000-0000-000049090000}"/>
    <cellStyle name="Vírgula 11 7" xfId="2491" xr:uid="{00000000-0005-0000-0000-00004A090000}"/>
    <cellStyle name="Vírgula 11 8" xfId="2526" xr:uid="{00000000-0005-0000-0000-00004B090000}"/>
    <cellStyle name="Vírgula 11 9" xfId="2560" xr:uid="{00000000-0005-0000-0000-00004C090000}"/>
    <cellStyle name="Vírgula 12" xfId="903" xr:uid="{00000000-0005-0000-0000-00004D090000}"/>
    <cellStyle name="Vírgula 12 10" xfId="2492" xr:uid="{00000000-0005-0000-0000-00004E090000}"/>
    <cellStyle name="Vírgula 12 11" xfId="2527" xr:uid="{00000000-0005-0000-0000-00004F090000}"/>
    <cellStyle name="Vírgula 12 12" xfId="2561" xr:uid="{00000000-0005-0000-0000-000050090000}"/>
    <cellStyle name="Vírgula 12 13" xfId="2596" xr:uid="{00000000-0005-0000-0000-000076030000}"/>
    <cellStyle name="Vírgula 12 2" xfId="1415" xr:uid="{00000000-0005-0000-0000-000051090000}"/>
    <cellStyle name="Vírgula 12 3" xfId="1416" xr:uid="{00000000-0005-0000-0000-000052090000}"/>
    <cellStyle name="Vírgula 12 4" xfId="1866" xr:uid="{00000000-0005-0000-0000-000053090000}"/>
    <cellStyle name="Vírgula 12 5" xfId="1414" xr:uid="{00000000-0005-0000-0000-000054090000}"/>
    <cellStyle name="Vírgula 12 6" xfId="2292" xr:uid="{00000000-0005-0000-0000-000055090000}"/>
    <cellStyle name="Vírgula 12 7" xfId="2387" xr:uid="{00000000-0005-0000-0000-000056090000}"/>
    <cellStyle name="Vírgula 12 8" xfId="2422" xr:uid="{00000000-0005-0000-0000-000057090000}"/>
    <cellStyle name="Vírgula 12 9" xfId="2457" xr:uid="{00000000-0005-0000-0000-000058090000}"/>
    <cellStyle name="Vírgula 13" xfId="904" xr:uid="{00000000-0005-0000-0000-000059090000}"/>
    <cellStyle name="Vírgula 13 10" xfId="2562" xr:uid="{00000000-0005-0000-0000-00005A090000}"/>
    <cellStyle name="Vírgula 13 11" xfId="2597" xr:uid="{00000000-0005-0000-0000-000077030000}"/>
    <cellStyle name="Vírgula 13 2" xfId="2176" xr:uid="{00000000-0005-0000-0000-00005B090000}"/>
    <cellStyle name="Vírgula 13 3" xfId="1417" xr:uid="{00000000-0005-0000-0000-00005C090000}"/>
    <cellStyle name="Vírgula 13 4" xfId="2293" xr:uid="{00000000-0005-0000-0000-00005D090000}"/>
    <cellStyle name="Vírgula 13 5" xfId="2388" xr:uid="{00000000-0005-0000-0000-00005E090000}"/>
    <cellStyle name="Vírgula 13 6" xfId="2423" xr:uid="{00000000-0005-0000-0000-00005F090000}"/>
    <cellStyle name="Vírgula 13 7" xfId="2458" xr:uid="{00000000-0005-0000-0000-000060090000}"/>
    <cellStyle name="Vírgula 13 8" xfId="2493" xr:uid="{00000000-0005-0000-0000-000061090000}"/>
    <cellStyle name="Vírgula 13 9" xfId="2528" xr:uid="{00000000-0005-0000-0000-000062090000}"/>
    <cellStyle name="Vírgula 14" xfId="1081" xr:uid="{00000000-0005-0000-0000-000063090000}"/>
    <cellStyle name="Vírgula 14 2" xfId="2177" xr:uid="{00000000-0005-0000-0000-000064090000}"/>
    <cellStyle name="Vírgula 14 3" xfId="2178" xr:uid="{00000000-0005-0000-0000-000065090000}"/>
    <cellStyle name="Vírgula 15" xfId="1005" xr:uid="{00000000-0005-0000-0000-000066090000}"/>
    <cellStyle name="Vírgula 2" xfId="11" xr:uid="{00000000-0005-0000-0000-000067090000}"/>
    <cellStyle name="Vírgula 2 10" xfId="906" xr:uid="{00000000-0005-0000-0000-000068090000}"/>
    <cellStyle name="Vírgula 2 10 2" xfId="2179" xr:uid="{00000000-0005-0000-0000-000069090000}"/>
    <cellStyle name="Vírgula 2 11" xfId="907" xr:uid="{00000000-0005-0000-0000-00006A090000}"/>
    <cellStyle name="Vírgula 2 11 2" xfId="2180" xr:uid="{00000000-0005-0000-0000-00006B090000}"/>
    <cellStyle name="Vírgula 2 12" xfId="905" xr:uid="{00000000-0005-0000-0000-00006C090000}"/>
    <cellStyle name="Vírgula 2 12 2" xfId="2181" xr:uid="{00000000-0005-0000-0000-00006D090000}"/>
    <cellStyle name="Vírgula 2 13" xfId="1083" xr:uid="{00000000-0005-0000-0000-00006E090000}"/>
    <cellStyle name="Vírgula 2 13 2" xfId="2182" xr:uid="{00000000-0005-0000-0000-00006F090000}"/>
    <cellStyle name="Vírgula 2 2" xfId="908" xr:uid="{00000000-0005-0000-0000-000070090000}"/>
    <cellStyle name="Vírgula 2 2 2" xfId="1032" xr:uid="{00000000-0005-0000-0000-000071090000}"/>
    <cellStyle name="Vírgula 2 2 2 2" xfId="1419" xr:uid="{00000000-0005-0000-0000-000072090000}"/>
    <cellStyle name="Vírgula 2 2 3" xfId="1033" xr:uid="{00000000-0005-0000-0000-000073090000}"/>
    <cellStyle name="Vírgula 2 2 3 2" xfId="2183" xr:uid="{00000000-0005-0000-0000-000074090000}"/>
    <cellStyle name="Vírgula 2 2 4" xfId="1034" xr:uid="{00000000-0005-0000-0000-000075090000}"/>
    <cellStyle name="Vírgula 2 2 4 2" xfId="2184" xr:uid="{00000000-0005-0000-0000-000076090000}"/>
    <cellStyle name="Vírgula 2 2 5" xfId="1035" xr:uid="{00000000-0005-0000-0000-000077090000}"/>
    <cellStyle name="Vírgula 2 2 5 2" xfId="2185" xr:uid="{00000000-0005-0000-0000-000078090000}"/>
    <cellStyle name="Vírgula 2 2 6" xfId="1036" xr:uid="{00000000-0005-0000-0000-000079090000}"/>
    <cellStyle name="Vírgula 2 2 6 2" xfId="2186" xr:uid="{00000000-0005-0000-0000-00007A090000}"/>
    <cellStyle name="Vírgula 2 2 7" xfId="1037" xr:uid="{00000000-0005-0000-0000-00007B090000}"/>
    <cellStyle name="Vírgula 2 2 7 2" xfId="2187" xr:uid="{00000000-0005-0000-0000-00007C090000}"/>
    <cellStyle name="Vírgula 2 2 8" xfId="1031" xr:uid="{00000000-0005-0000-0000-00007D090000}"/>
    <cellStyle name="Vírgula 2 2 8 2" xfId="1420" xr:uid="{00000000-0005-0000-0000-00007E090000}"/>
    <cellStyle name="Vírgula 2 2 9" xfId="1418" xr:uid="{00000000-0005-0000-0000-00007F090000}"/>
    <cellStyle name="Vírgula 2 3" xfId="909" xr:uid="{00000000-0005-0000-0000-000080090000}"/>
    <cellStyle name="Vírgula 2 3 2" xfId="1038" xr:uid="{00000000-0005-0000-0000-000081090000}"/>
    <cellStyle name="Vírgula 2 3 2 2" xfId="1421" xr:uid="{00000000-0005-0000-0000-000082090000}"/>
    <cellStyle name="Vírgula 2 4" xfId="910" xr:uid="{00000000-0005-0000-0000-000083090000}"/>
    <cellStyle name="Vírgula 2 4 2" xfId="1039" xr:uid="{00000000-0005-0000-0000-000084090000}"/>
    <cellStyle name="Vírgula 2 4 2 2" xfId="1423" xr:uid="{00000000-0005-0000-0000-000085090000}"/>
    <cellStyle name="Vírgula 2 4 2 3" xfId="1867" xr:uid="{00000000-0005-0000-0000-000086090000}"/>
    <cellStyle name="Vírgula 2 4 2 4" xfId="1422" xr:uid="{00000000-0005-0000-0000-000087090000}"/>
    <cellStyle name="Vírgula 2 4 3" xfId="2188" xr:uid="{00000000-0005-0000-0000-000088090000}"/>
    <cellStyle name="Vírgula 2 5" xfId="911" xr:uid="{00000000-0005-0000-0000-000089090000}"/>
    <cellStyle name="Vírgula 2 5 2" xfId="1040" xr:uid="{00000000-0005-0000-0000-00008A090000}"/>
    <cellStyle name="Vírgula 2 5 2 2" xfId="2189" xr:uid="{00000000-0005-0000-0000-00008B090000}"/>
    <cellStyle name="Vírgula 2 6" xfId="912" xr:uid="{00000000-0005-0000-0000-00008C090000}"/>
    <cellStyle name="Vírgula 2 6 2" xfId="1041" xr:uid="{00000000-0005-0000-0000-00008D090000}"/>
    <cellStyle name="Vírgula 2 6 2 2" xfId="2190" xr:uid="{00000000-0005-0000-0000-00008E090000}"/>
    <cellStyle name="Vírgula 2 7" xfId="913" xr:uid="{00000000-0005-0000-0000-00008F090000}"/>
    <cellStyle name="Vírgula 2 7 2" xfId="1042" xr:uid="{00000000-0005-0000-0000-000090090000}"/>
    <cellStyle name="Vírgula 2 7 2 2" xfId="2191" xr:uid="{00000000-0005-0000-0000-000091090000}"/>
    <cellStyle name="Vírgula 2 8" xfId="914" xr:uid="{00000000-0005-0000-0000-000092090000}"/>
    <cellStyle name="Vírgula 2 8 2" xfId="2192" xr:uid="{00000000-0005-0000-0000-000093090000}"/>
    <cellStyle name="Vírgula 2 9" xfId="915" xr:uid="{00000000-0005-0000-0000-000094090000}"/>
    <cellStyle name="Vírgula 2 9 2" xfId="2193" xr:uid="{00000000-0005-0000-0000-000095090000}"/>
    <cellStyle name="Vírgula 3" xfId="916" xr:uid="{00000000-0005-0000-0000-000096090000}"/>
    <cellStyle name="Vírgula 3 10" xfId="2494" xr:uid="{00000000-0005-0000-0000-000097090000}"/>
    <cellStyle name="Vírgula 3 11" xfId="2529" xr:uid="{00000000-0005-0000-0000-000098090000}"/>
    <cellStyle name="Vírgula 3 12" xfId="2563" xr:uid="{00000000-0005-0000-0000-000099090000}"/>
    <cellStyle name="Vírgula 3 13" xfId="2598" xr:uid="{00000000-0005-0000-0000-000083030000}"/>
    <cellStyle name="Vírgula 3 2" xfId="917" xr:uid="{00000000-0005-0000-0000-00009A090000}"/>
    <cellStyle name="Vírgula 3 2 10" xfId="2599" xr:uid="{00000000-0005-0000-0000-000084030000}"/>
    <cellStyle name="Vírgula 3 2 2" xfId="1044" xr:uid="{00000000-0005-0000-0000-00009B090000}"/>
    <cellStyle name="Vírgula 3 2 2 2" xfId="1425" xr:uid="{00000000-0005-0000-0000-00009C090000}"/>
    <cellStyle name="Vírgula 3 2 2 3" xfId="1424" xr:uid="{00000000-0005-0000-0000-00009D090000}"/>
    <cellStyle name="Vírgula 3 2 3" xfId="2295" xr:uid="{00000000-0005-0000-0000-00009E090000}"/>
    <cellStyle name="Vírgula 3 2 4" xfId="2390" xr:uid="{00000000-0005-0000-0000-00009F090000}"/>
    <cellStyle name="Vírgula 3 2 5" xfId="2425" xr:uid="{00000000-0005-0000-0000-0000A0090000}"/>
    <cellStyle name="Vírgula 3 2 6" xfId="2460" xr:uid="{00000000-0005-0000-0000-0000A1090000}"/>
    <cellStyle name="Vírgula 3 2 7" xfId="2495" xr:uid="{00000000-0005-0000-0000-0000A2090000}"/>
    <cellStyle name="Vírgula 3 2 8" xfId="2530" xr:uid="{00000000-0005-0000-0000-0000A3090000}"/>
    <cellStyle name="Vírgula 3 2 9" xfId="2564" xr:uid="{00000000-0005-0000-0000-0000A4090000}"/>
    <cellStyle name="Vírgula 3 3" xfId="1045" xr:uid="{00000000-0005-0000-0000-0000A5090000}"/>
    <cellStyle name="Vírgula 3 4" xfId="1046" xr:uid="{00000000-0005-0000-0000-0000A6090000}"/>
    <cellStyle name="Vírgula 3 5" xfId="1043" xr:uid="{00000000-0005-0000-0000-0000A7090000}"/>
    <cellStyle name="Vírgula 3 6" xfId="2294" xr:uid="{00000000-0005-0000-0000-0000A8090000}"/>
    <cellStyle name="Vírgula 3 7" xfId="2389" xr:uid="{00000000-0005-0000-0000-0000A9090000}"/>
    <cellStyle name="Vírgula 3 8" xfId="2424" xr:uid="{00000000-0005-0000-0000-0000AA090000}"/>
    <cellStyle name="Vírgula 3 9" xfId="2459" xr:uid="{00000000-0005-0000-0000-0000AB090000}"/>
    <cellStyle name="Vírgula 4" xfId="17" xr:uid="{00000000-0005-0000-0000-0000AC090000}"/>
    <cellStyle name="Vírgula 4 10" xfId="2531" xr:uid="{00000000-0005-0000-0000-0000AD090000}"/>
    <cellStyle name="Vírgula 4 11" xfId="2565" xr:uid="{00000000-0005-0000-0000-0000AE090000}"/>
    <cellStyle name="Vírgula 4 12" xfId="2600" xr:uid="{00000000-0005-0000-0000-000085030000}"/>
    <cellStyle name="Vírgula 4 2" xfId="1048" xr:uid="{00000000-0005-0000-0000-0000AF090000}"/>
    <cellStyle name="Vírgula 4 3" xfId="1049" xr:uid="{00000000-0005-0000-0000-0000B0090000}"/>
    <cellStyle name="Vírgula 4 4" xfId="1047" xr:uid="{00000000-0005-0000-0000-0000B1090000}"/>
    <cellStyle name="Vírgula 4 5" xfId="2296" xr:uid="{00000000-0005-0000-0000-0000B2090000}"/>
    <cellStyle name="Vírgula 4 6" xfId="2391" xr:uid="{00000000-0005-0000-0000-0000B3090000}"/>
    <cellStyle name="Vírgula 4 7" xfId="2426" xr:uid="{00000000-0005-0000-0000-0000B4090000}"/>
    <cellStyle name="Vírgula 4 8" xfId="2461" xr:uid="{00000000-0005-0000-0000-0000B5090000}"/>
    <cellStyle name="Vírgula 4 9" xfId="2496" xr:uid="{00000000-0005-0000-0000-0000B6090000}"/>
    <cellStyle name="Vírgula 5" xfId="23" xr:uid="{00000000-0005-0000-0000-0000B7090000}"/>
    <cellStyle name="Vírgula 5 10" xfId="2532" xr:uid="{00000000-0005-0000-0000-0000B8090000}"/>
    <cellStyle name="Vírgula 5 11" xfId="2566" xr:uid="{00000000-0005-0000-0000-0000B9090000}"/>
    <cellStyle name="Vírgula 5 12" xfId="2601" xr:uid="{00000000-0005-0000-0000-000086030000}"/>
    <cellStyle name="Vírgula 5 2" xfId="918" xr:uid="{00000000-0005-0000-0000-0000BA090000}"/>
    <cellStyle name="Vírgula 5 2 10" xfId="2567" xr:uid="{00000000-0005-0000-0000-0000BB090000}"/>
    <cellStyle name="Vírgula 5 2 11" xfId="2602" xr:uid="{00000000-0005-0000-0000-000087030000}"/>
    <cellStyle name="Vírgula 5 2 2" xfId="1078" xr:uid="{00000000-0005-0000-0000-0000BC090000}"/>
    <cellStyle name="Vírgula 5 2 3" xfId="1427" xr:uid="{00000000-0005-0000-0000-0000BD090000}"/>
    <cellStyle name="Vírgula 5 2 4" xfId="2298" xr:uid="{00000000-0005-0000-0000-0000BE090000}"/>
    <cellStyle name="Vírgula 5 2 5" xfId="2393" xr:uid="{00000000-0005-0000-0000-0000BF090000}"/>
    <cellStyle name="Vírgula 5 2 6" xfId="2428" xr:uid="{00000000-0005-0000-0000-0000C0090000}"/>
    <cellStyle name="Vírgula 5 2 7" xfId="2463" xr:uid="{00000000-0005-0000-0000-0000C1090000}"/>
    <cellStyle name="Vírgula 5 2 8" xfId="2498" xr:uid="{00000000-0005-0000-0000-0000C2090000}"/>
    <cellStyle name="Vírgula 5 2 9" xfId="2533" xr:uid="{00000000-0005-0000-0000-0000C3090000}"/>
    <cellStyle name="Vírgula 5 3" xfId="1050" xr:uid="{00000000-0005-0000-0000-0000C4090000}"/>
    <cellStyle name="Vírgula 5 3 2" xfId="2194" xr:uid="{00000000-0005-0000-0000-0000C5090000}"/>
    <cellStyle name="Vírgula 5 4" xfId="1426" xr:uid="{00000000-0005-0000-0000-0000C6090000}"/>
    <cellStyle name="Vírgula 5 5" xfId="2297" xr:uid="{00000000-0005-0000-0000-0000C7090000}"/>
    <cellStyle name="Vírgula 5 6" xfId="2392" xr:uid="{00000000-0005-0000-0000-0000C8090000}"/>
    <cellStyle name="Vírgula 5 7" xfId="2427" xr:uid="{00000000-0005-0000-0000-0000C9090000}"/>
    <cellStyle name="Vírgula 5 8" xfId="2462" xr:uid="{00000000-0005-0000-0000-0000CA090000}"/>
    <cellStyle name="Vírgula 5 9" xfId="2497" xr:uid="{00000000-0005-0000-0000-0000CB090000}"/>
    <cellStyle name="Vírgula 6" xfId="21" xr:uid="{00000000-0005-0000-0000-0000CC090000}"/>
    <cellStyle name="Vírgula 6 10" xfId="2429" xr:uid="{00000000-0005-0000-0000-0000CD090000}"/>
    <cellStyle name="Vírgula 6 11" xfId="2464" xr:uid="{00000000-0005-0000-0000-0000CE090000}"/>
    <cellStyle name="Vírgula 6 12" xfId="2499" xr:uid="{00000000-0005-0000-0000-0000CF090000}"/>
    <cellStyle name="Vírgula 6 13" xfId="2534" xr:uid="{00000000-0005-0000-0000-0000D0090000}"/>
    <cellStyle name="Vírgula 6 14" xfId="2568" xr:uid="{00000000-0005-0000-0000-0000D1090000}"/>
    <cellStyle name="Vírgula 6 15" xfId="2603" xr:uid="{00000000-0005-0000-0000-000088030000}"/>
    <cellStyle name="Vírgula 6 2" xfId="920" xr:uid="{00000000-0005-0000-0000-0000D2090000}"/>
    <cellStyle name="Vírgula 6 2 10" xfId="2604" xr:uid="{00000000-0005-0000-0000-000089030000}"/>
    <cellStyle name="Vírgula 6 2 2" xfId="1429" xr:uid="{00000000-0005-0000-0000-0000D3090000}"/>
    <cellStyle name="Vírgula 6 2 3" xfId="2300" xr:uid="{00000000-0005-0000-0000-0000D4090000}"/>
    <cellStyle name="Vírgula 6 2 4" xfId="2395" xr:uid="{00000000-0005-0000-0000-0000D5090000}"/>
    <cellStyle name="Vírgula 6 2 5" xfId="2430" xr:uid="{00000000-0005-0000-0000-0000D6090000}"/>
    <cellStyle name="Vírgula 6 2 6" xfId="2465" xr:uid="{00000000-0005-0000-0000-0000D7090000}"/>
    <cellStyle name="Vírgula 6 2 7" xfId="2500" xr:uid="{00000000-0005-0000-0000-0000D8090000}"/>
    <cellStyle name="Vírgula 6 2 8" xfId="2535" xr:uid="{00000000-0005-0000-0000-0000D9090000}"/>
    <cellStyle name="Vírgula 6 2 9" xfId="2569" xr:uid="{00000000-0005-0000-0000-0000DA090000}"/>
    <cellStyle name="Vírgula 6 3" xfId="921" xr:uid="{00000000-0005-0000-0000-0000DB090000}"/>
    <cellStyle name="Vírgula 6 3 10" xfId="2605" xr:uid="{00000000-0005-0000-0000-00008A030000}"/>
    <cellStyle name="Vírgula 6 3 2" xfId="1430" xr:uid="{00000000-0005-0000-0000-0000DC090000}"/>
    <cellStyle name="Vírgula 6 3 3" xfId="2301" xr:uid="{00000000-0005-0000-0000-0000DD090000}"/>
    <cellStyle name="Vírgula 6 3 4" xfId="2396" xr:uid="{00000000-0005-0000-0000-0000DE090000}"/>
    <cellStyle name="Vírgula 6 3 5" xfId="2431" xr:uid="{00000000-0005-0000-0000-0000DF090000}"/>
    <cellStyle name="Vírgula 6 3 6" xfId="2466" xr:uid="{00000000-0005-0000-0000-0000E0090000}"/>
    <cellStyle name="Vírgula 6 3 7" xfId="2501" xr:uid="{00000000-0005-0000-0000-0000E1090000}"/>
    <cellStyle name="Vírgula 6 3 8" xfId="2536" xr:uid="{00000000-0005-0000-0000-0000E2090000}"/>
    <cellStyle name="Vírgula 6 3 9" xfId="2570" xr:uid="{00000000-0005-0000-0000-0000E3090000}"/>
    <cellStyle name="Vírgula 6 4" xfId="1068" xr:uid="{00000000-0005-0000-0000-0000E4090000}"/>
    <cellStyle name="Vírgula 6 4 2" xfId="26" xr:uid="{00000000-0005-0000-0000-0000E5090000}"/>
    <cellStyle name="Vírgula 6 4 2 2" xfId="1432" xr:uid="{00000000-0005-0000-0000-0000E6090000}"/>
    <cellStyle name="Vírgula 6 4 3" xfId="1868" xr:uid="{00000000-0005-0000-0000-0000E7090000}"/>
    <cellStyle name="Vírgula 6 4 4" xfId="1431" xr:uid="{00000000-0005-0000-0000-0000E8090000}"/>
    <cellStyle name="Vírgula 6 5" xfId="1433" xr:uid="{00000000-0005-0000-0000-0000E9090000}"/>
    <cellStyle name="Vírgula 6 6" xfId="1434" xr:uid="{00000000-0005-0000-0000-0000EA090000}"/>
    <cellStyle name="Vírgula 6 7" xfId="1428" xr:uid="{00000000-0005-0000-0000-0000EB090000}"/>
    <cellStyle name="Vírgula 6 8" xfId="2299" xr:uid="{00000000-0005-0000-0000-0000EC090000}"/>
    <cellStyle name="Vírgula 6 9" xfId="2394" xr:uid="{00000000-0005-0000-0000-0000ED090000}"/>
    <cellStyle name="Vírgula 7" xfId="922" xr:uid="{00000000-0005-0000-0000-0000EE090000}"/>
    <cellStyle name="Vírgula 7 10" xfId="2571" xr:uid="{00000000-0005-0000-0000-0000EF090000}"/>
    <cellStyle name="Vírgula 7 11" xfId="2606" xr:uid="{00000000-0005-0000-0000-00008B030000}"/>
    <cellStyle name="Vírgula 7 2" xfId="1080" xr:uid="{00000000-0005-0000-0000-0000F0090000}"/>
    <cellStyle name="Vírgula 7 3" xfId="1435" xr:uid="{00000000-0005-0000-0000-0000F1090000}"/>
    <cellStyle name="Vírgula 7 4" xfId="2302" xr:uid="{00000000-0005-0000-0000-0000F2090000}"/>
    <cellStyle name="Vírgula 7 5" xfId="2397" xr:uid="{00000000-0005-0000-0000-0000F3090000}"/>
    <cellStyle name="Vírgula 7 6" xfId="2432" xr:uid="{00000000-0005-0000-0000-0000F4090000}"/>
    <cellStyle name="Vírgula 7 7" xfId="2467" xr:uid="{00000000-0005-0000-0000-0000F5090000}"/>
    <cellStyle name="Vírgula 7 8" xfId="2502" xr:uid="{00000000-0005-0000-0000-0000F6090000}"/>
    <cellStyle name="Vírgula 7 9" xfId="2537" xr:uid="{00000000-0005-0000-0000-0000F7090000}"/>
    <cellStyle name="Vírgula 8" xfId="923" xr:uid="{00000000-0005-0000-0000-0000F8090000}"/>
    <cellStyle name="Vírgula 8 10" xfId="2538" xr:uid="{00000000-0005-0000-0000-0000F9090000}"/>
    <cellStyle name="Vírgula 8 11" xfId="2572" xr:uid="{00000000-0005-0000-0000-0000FA090000}"/>
    <cellStyle name="Vírgula 8 12" xfId="2607" xr:uid="{00000000-0005-0000-0000-00008C030000}"/>
    <cellStyle name="Vírgula 8 2" xfId="924" xr:uid="{00000000-0005-0000-0000-0000FB090000}"/>
    <cellStyle name="Vírgula 8 2 10" xfId="2608" xr:uid="{00000000-0005-0000-0000-00008D030000}"/>
    <cellStyle name="Vírgula 8 2 2" xfId="1437" xr:uid="{00000000-0005-0000-0000-0000FC090000}"/>
    <cellStyle name="Vírgula 8 2 3" xfId="2304" xr:uid="{00000000-0005-0000-0000-0000FD090000}"/>
    <cellStyle name="Vírgula 8 2 4" xfId="2399" xr:uid="{00000000-0005-0000-0000-0000FE090000}"/>
    <cellStyle name="Vírgula 8 2 5" xfId="2434" xr:uid="{00000000-0005-0000-0000-0000FF090000}"/>
    <cellStyle name="Vírgula 8 2 6" xfId="2469" xr:uid="{00000000-0005-0000-0000-0000000A0000}"/>
    <cellStyle name="Vírgula 8 2 7" xfId="2504" xr:uid="{00000000-0005-0000-0000-0000010A0000}"/>
    <cellStyle name="Vírgula 8 2 8" xfId="2539" xr:uid="{00000000-0005-0000-0000-0000020A0000}"/>
    <cellStyle name="Vírgula 8 2 9" xfId="2573" xr:uid="{00000000-0005-0000-0000-0000030A0000}"/>
    <cellStyle name="Vírgula 8 3" xfId="1082" xr:uid="{00000000-0005-0000-0000-0000040A0000}"/>
    <cellStyle name="Vírgula 8 4" xfId="1436" xr:uid="{00000000-0005-0000-0000-0000050A0000}"/>
    <cellStyle name="Vírgula 8 5" xfId="2303" xr:uid="{00000000-0005-0000-0000-0000060A0000}"/>
    <cellStyle name="Vírgula 8 6" xfId="2398" xr:uid="{00000000-0005-0000-0000-0000070A0000}"/>
    <cellStyle name="Vírgula 8 7" xfId="2433" xr:uid="{00000000-0005-0000-0000-0000080A0000}"/>
    <cellStyle name="Vírgula 8 8" xfId="2468" xr:uid="{00000000-0005-0000-0000-0000090A0000}"/>
    <cellStyle name="Vírgula 8 9" xfId="2503" xr:uid="{00000000-0005-0000-0000-00000A0A0000}"/>
    <cellStyle name="Vírgula 9" xfId="925" xr:uid="{00000000-0005-0000-0000-00000B0A0000}"/>
    <cellStyle name="Vírgula 9 2" xfId="926" xr:uid="{00000000-0005-0000-0000-00000C0A0000}"/>
    <cellStyle name="Vírgula 9 2 2" xfId="2195" xr:uid="{00000000-0005-0000-0000-00000D0A0000}"/>
    <cellStyle name="Vírgula 9 3" xfId="2196" xr:uid="{00000000-0005-0000-0000-00000E0A0000}"/>
    <cellStyle name="Warning Text" xfId="927" xr:uid="{00000000-0005-0000-0000-00000F0A0000}"/>
    <cellStyle name="Warning Text 2" xfId="1051" xr:uid="{00000000-0005-0000-0000-0000100A0000}"/>
  </cellStyles>
  <dxfs count="1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7.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9525</xdr:rowOff>
    </xdr:from>
    <xdr:to>
      <xdr:col>11</xdr:col>
      <xdr:colOff>674155</xdr:colOff>
      <xdr:row>53</xdr:row>
      <xdr:rowOff>250641</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7377850" cy="1033380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December 2021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xdr:row>
      <xdr:rowOff>9525</xdr:rowOff>
    </xdr:from>
    <xdr:to>
      <xdr:col>11</xdr:col>
      <xdr:colOff>304800</xdr:colOff>
      <xdr:row>2</xdr:row>
      <xdr:rowOff>15240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772525" y="228600"/>
          <a:ext cx="304800" cy="31051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11</xdr:col>
      <xdr:colOff>38100</xdr:colOff>
      <xdr:row>3</xdr:row>
      <xdr:rowOff>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29650" y="533400"/>
          <a:ext cx="300875" cy="301625"/>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400050</xdr:colOff>
      <xdr:row>0</xdr:row>
      <xdr:rowOff>314325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953625" y="152400"/>
          <a:ext cx="305786" cy="30480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11</xdr:col>
      <xdr:colOff>0</xdr:colOff>
      <xdr:row>1</xdr:row>
      <xdr:rowOff>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86800" y="1905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13</xdr:col>
      <xdr:colOff>47625</xdr:colOff>
      <xdr:row>1</xdr:row>
      <xdr:rowOff>0</xdr:rowOff>
    </xdr:from>
    <xdr:to>
      <xdr:col>13</xdr:col>
      <xdr:colOff>352425</xdr:colOff>
      <xdr:row>2</xdr:row>
      <xdr:rowOff>9525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72475" y="190500"/>
          <a:ext cx="304800" cy="3143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193675</xdr:colOff>
      <xdr:row>0</xdr:row>
      <xdr:rowOff>21166</xdr:rowOff>
    </xdr:from>
    <xdr:to>
      <xdr:col>7</xdr:col>
      <xdr:colOff>494241</xdr:colOff>
      <xdr:row>1</xdr:row>
      <xdr:rowOff>135889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5984875" y="21166"/>
          <a:ext cx="300566" cy="299508"/>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73025</xdr:colOff>
      <xdr:row>1</xdr:row>
      <xdr:rowOff>19050</xdr:rowOff>
    </xdr:from>
    <xdr:to>
      <xdr:col>11</xdr:col>
      <xdr:colOff>379941</xdr:colOff>
      <xdr:row>1</xdr:row>
      <xdr:rowOff>303318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454775" y="161925"/>
          <a:ext cx="306916" cy="280458"/>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9</xdr:col>
      <xdr:colOff>238125</xdr:colOff>
      <xdr:row>1</xdr:row>
      <xdr:rowOff>28575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34425"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18</xdr:col>
      <xdr:colOff>476250</xdr:colOff>
      <xdr:row>1</xdr:row>
      <xdr:rowOff>9525</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4125" y="152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34</xdr:col>
      <xdr:colOff>295274</xdr:colOff>
      <xdr:row>1</xdr:row>
      <xdr:rowOff>114300</xdr:rowOff>
    </xdr:from>
    <xdr:to>
      <xdr:col>34</xdr:col>
      <xdr:colOff>613745</xdr:colOff>
      <xdr:row>2</xdr:row>
      <xdr:rowOff>92537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2296774" y="304800"/>
          <a:ext cx="318471" cy="287367"/>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oneCellAnchor>
    <xdr:from>
      <xdr:col>9</xdr:col>
      <xdr:colOff>59339</xdr:colOff>
      <xdr:row>1</xdr:row>
      <xdr:rowOff>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7589" y="1428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17</xdr:col>
      <xdr:colOff>273050</xdr:colOff>
      <xdr:row>1</xdr:row>
      <xdr:rowOff>31750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312400" y="2222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238125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88323</xdr:colOff>
      <xdr:row>1</xdr:row>
      <xdr:rowOff>52820</xdr:rowOff>
    </xdr:from>
    <xdr:to>
      <xdr:col>13</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142875</xdr:colOff>
      <xdr:row>1</xdr:row>
      <xdr:rowOff>38100</xdr:rowOff>
    </xdr:from>
    <xdr:to>
      <xdr:col>10</xdr:col>
      <xdr:colOff>443750</xdr:colOff>
      <xdr:row>2</xdr:row>
      <xdr:rowOff>43180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572500" y="180975"/>
          <a:ext cx="300875" cy="3098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tabSelected="1" zoomScaleNormal="100" zoomScalePageLayoutView="50" workbookViewId="0"/>
  </sheetViews>
  <sheetFormatPr defaultColWidth="9.140625" defaultRowHeight="15"/>
  <cols>
    <col min="1" max="10" width="9.140625" style="1"/>
    <col min="11" max="11" width="9.140625" style="1" customWidth="1"/>
    <col min="12" max="12" width="10.85546875" style="1" customWidth="1"/>
    <col min="13" max="16384" width="9.140625" style="1"/>
  </cols>
  <sheetData>
    <row r="54" ht="21" customHeight="1"/>
  </sheetData>
  <printOptions horizontalCentered="1"/>
  <pageMargins left="7.874015748031496E-2" right="0" top="0.39370078740157483" bottom="0" header="0" footer="0"/>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1"/>
  <dimension ref="B1:S105"/>
  <sheetViews>
    <sheetView showGridLines="0" zoomScaleNormal="100" zoomScaleSheetLayoutView="100" workbookViewId="0">
      <selection activeCell="B2" sqref="B2"/>
    </sheetView>
  </sheetViews>
  <sheetFormatPr defaultColWidth="9.140625" defaultRowHeight="11.25"/>
  <cols>
    <col min="1" max="1" width="2.42578125" style="55" customWidth="1"/>
    <col min="2" max="2" width="4.42578125" style="55" customWidth="1"/>
    <col min="3" max="3" width="37.140625" style="65" customWidth="1"/>
    <col min="4" max="4" width="9.42578125" style="65" hidden="1" customWidth="1"/>
    <col min="5" max="5" width="9.42578125" style="65" customWidth="1"/>
    <col min="6" max="10" width="9.42578125" style="55" customWidth="1"/>
    <col min="11" max="14" width="8.5703125" style="55" customWidth="1"/>
    <col min="15" max="16384" width="9.140625" style="55"/>
  </cols>
  <sheetData>
    <row r="1" spans="2:15" s="52" customFormat="1" ht="15" customHeight="1">
      <c r="B1" s="51"/>
      <c r="C1" s="51"/>
      <c r="D1" s="51"/>
      <c r="E1" s="51"/>
    </row>
    <row r="2" spans="2:15" ht="24" customHeight="1">
      <c r="B2" s="8"/>
      <c r="C2" s="53" t="str">
        <f>IF(Indice_index!$Z$1=1,"6 - Execução Orçamental do Estado","6 - State Budget Execution")</f>
        <v>6 - State Budget Execution</v>
      </c>
      <c r="D2" s="53"/>
      <c r="E2" s="53"/>
      <c r="F2" s="53"/>
      <c r="G2" s="53"/>
      <c r="H2" s="53"/>
      <c r="I2" s="53"/>
      <c r="J2" s="53"/>
    </row>
    <row r="3" spans="2:15" ht="15" customHeight="1">
      <c r="C3" s="56"/>
      <c r="D3" s="56"/>
      <c r="E3" s="56"/>
    </row>
    <row r="4" spans="2:15" ht="15" customHeight="1">
      <c r="C4" s="55"/>
      <c r="D4" s="55"/>
      <c r="E4" s="55"/>
    </row>
    <row r="5" spans="2:15" s="279" customFormat="1" ht="15" customHeight="1">
      <c r="C5" s="699" t="str">
        <f>+'4 - Conta AC + SS'!C5</f>
        <v>Period: January to December</v>
      </c>
      <c r="D5" s="699"/>
      <c r="E5" s="699"/>
      <c r="F5" s="700"/>
      <c r="J5" s="891" t="str">
        <f>IF(Indice_index!$Z$1=1,"€ Milhões","€ Millions")</f>
        <v>€ Millions</v>
      </c>
    </row>
    <row r="6" spans="2:15" ht="33" customHeight="1">
      <c r="C6" s="702"/>
      <c r="D6" s="703" t="str">
        <f>IF(Indice_index!$Z$1=1,"CGE","Final execution")</f>
        <v>Final execution</v>
      </c>
      <c r="E6" s="703" t="str">
        <f>IF(Indice_index!$Z$1=1,"Orçamento Inicial","Budget")</f>
        <v>Budget</v>
      </c>
      <c r="F6" s="1590" t="str">
        <f>IF(Indice_index!$Z$1=1,"Execução Acumulada","Accumulated Execution")</f>
        <v>Accumulated Execution</v>
      </c>
      <c r="G6" s="1590"/>
      <c r="H6" s="917" t="str">
        <f>IF(Indice_index!$Z$1=1,"Grau de Execução (%)","Execution Degree (%)")</f>
        <v>Execution Degree (%)</v>
      </c>
      <c r="I6" s="1587" t="str">
        <f>IF(Indice_index!$Z$1=1,"Variação Homóloga Acumulada","YOY Change Rate")</f>
        <v>YOY Change Rate</v>
      </c>
      <c r="J6" s="1588"/>
    </row>
    <row r="7" spans="2:15" ht="33.75" customHeight="1">
      <c r="C7" s="918"/>
      <c r="D7" s="705" t="s">
        <v>66</v>
      </c>
      <c r="E7" s="705" t="s">
        <v>83</v>
      </c>
      <c r="F7" s="919" t="s">
        <v>66</v>
      </c>
      <c r="G7" s="919" t="s">
        <v>83</v>
      </c>
      <c r="H7" s="709" t="s">
        <v>83</v>
      </c>
      <c r="I7" s="709" t="str">
        <f>IF(Indice_index!$Z$1=1,"Relativa (%)","Relative change (%)")</f>
        <v>Relative change (%)</v>
      </c>
      <c r="J7" s="710" t="str">
        <f>IF(Indice_index!$Z$1=1,"Contributo VHA (p.p.)","YOY Change Rate Contrib. (p.p.)")</f>
        <v>YOY Change Rate Contrib. (p.p.)</v>
      </c>
    </row>
    <row r="8" spans="2:15" ht="4.5" customHeight="1">
      <c r="C8" s="509"/>
      <c r="D8" s="509"/>
      <c r="E8" s="509"/>
      <c r="F8" s="920"/>
      <c r="G8" s="920"/>
      <c r="H8" s="88"/>
      <c r="I8" s="88"/>
      <c r="J8" s="88"/>
    </row>
    <row r="9" spans="2:15" s="279" customFormat="1" ht="15" customHeight="1">
      <c r="C9" s="699" t="str">
        <f>IF(Indice_index!$Z$1=1,"Receita corrente","Current revenue")</f>
        <v>Current revenue</v>
      </c>
      <c r="D9" s="734">
        <f>+D10+D13+D14+D15+D20+D21</f>
        <v>46622.917327949996</v>
      </c>
      <c r="E9" s="734">
        <f>+E10+E13+E14+E15+E20+E21</f>
        <v>48097.735438999996</v>
      </c>
      <c r="F9" s="734">
        <f>+F10+F13+F14+F15+F20+F21</f>
        <v>46622.917327949996</v>
      </c>
      <c r="G9" s="734">
        <f>+G10+G13+G14+G15+G20+G21</f>
        <v>49923.725260129992</v>
      </c>
      <c r="H9" s="735">
        <f>IFERROR(IF(G9/E9*100&lt;-500,"-",IF(G9/E9*100&gt;500,"-",G9/E9*100)),"-")</f>
        <v>103.7964153706276</v>
      </c>
      <c r="I9" s="735">
        <f>IF(IFERROR((G9-F9)/F9*100,"")&gt;500,"-",IFERROR((G9-F9)/F9*100,""))</f>
        <v>7.0797970640957582</v>
      </c>
      <c r="J9" s="735">
        <f t="shared" ref="J9:J20" si="0">IFERROR((G9-F9)/$F$32*100,"-")</f>
        <v>7.0598626315545783</v>
      </c>
      <c r="K9" s="281"/>
      <c r="M9" s="282"/>
      <c r="N9" s="283"/>
      <c r="O9" s="283"/>
    </row>
    <row r="10" spans="2:15" ht="15" customHeight="1">
      <c r="C10" s="736" t="str">
        <f>IF(Indice_index!$Z$1=1,"Receita Fiscal","Tax")</f>
        <v>Tax</v>
      </c>
      <c r="D10" s="737">
        <f t="shared" ref="D10:E10" si="1">SUM(D11:D12)</f>
        <v>43222.305527409997</v>
      </c>
      <c r="E10" s="737">
        <f t="shared" si="1"/>
        <v>43866.889603999996</v>
      </c>
      <c r="F10" s="737">
        <f t="shared" ref="F10" si="2">SUM(F11:F12)</f>
        <v>43222.305527409997</v>
      </c>
      <c r="G10" s="737">
        <f t="shared" ref="G10" si="3">SUM(G11:G12)</f>
        <v>45524.928779729998</v>
      </c>
      <c r="H10" s="738">
        <f t="shared" ref="H10:H29" si="4">IFERROR(IF(G10/E10*100&lt;-500,"-",IF(G10/E10*100&gt;500,"-",G10/E10*100)),"-")</f>
        <v>103.77970535567403</v>
      </c>
      <c r="I10" s="738">
        <f t="shared" ref="I10:I20" si="5">IF(IFERROR((G10-F10)/F10*100,"")&gt;500,"-",IFERROR((G10-F10)/F10*100,""))</f>
        <v>5.327395714371975</v>
      </c>
      <c r="J10" s="738">
        <f t="shared" si="0"/>
        <v>4.9249166227210157</v>
      </c>
      <c r="K10" s="59"/>
      <c r="M10" s="60"/>
      <c r="N10" s="61"/>
      <c r="O10" s="61"/>
    </row>
    <row r="11" spans="2:15" ht="15" customHeight="1">
      <c r="C11" s="739" t="str">
        <f>IF(Indice_index!$Z$1=1,"Impostos diretos","Direct taxes")</f>
        <v>Direct taxes</v>
      </c>
      <c r="D11" s="740">
        <f>+'7 - R_Est'!D10</f>
        <v>19153.90182295</v>
      </c>
      <c r="E11" s="740">
        <f>+'7 - R_Est'!E10</f>
        <v>19051.553057999998</v>
      </c>
      <c r="F11" s="740">
        <f>+'7 - R_Est'!F10</f>
        <v>19153.90182295</v>
      </c>
      <c r="G11" s="740">
        <f>+'7 - R_Est'!G10</f>
        <v>19954.71988601</v>
      </c>
      <c r="H11" s="741">
        <f t="shared" si="4"/>
        <v>104.74064673499545</v>
      </c>
      <c r="I11" s="741">
        <f t="shared" si="5"/>
        <v>4.1809656876306445</v>
      </c>
      <c r="J11" s="741">
        <f t="shared" si="0"/>
        <v>1.7128126307965112</v>
      </c>
      <c r="K11" s="59"/>
      <c r="M11" s="60"/>
      <c r="N11" s="61"/>
      <c r="O11" s="61"/>
    </row>
    <row r="12" spans="2:15" ht="15" customHeight="1">
      <c r="C12" s="739" t="str">
        <f>IF(Indice_index!$Z$1=1,"Impostos indiretos","Indirect taxes")</f>
        <v>Indirect taxes</v>
      </c>
      <c r="D12" s="740">
        <f>+'7 - R_Est'!D14</f>
        <v>24068.403704459997</v>
      </c>
      <c r="E12" s="740">
        <f>+'7 - R_Est'!E14</f>
        <v>24815.336545999999</v>
      </c>
      <c r="F12" s="740">
        <f>+'7 - R_Est'!F14</f>
        <v>24068.403704459997</v>
      </c>
      <c r="G12" s="740">
        <f>+'7 - R_Est'!G14</f>
        <v>25570.208893719999</v>
      </c>
      <c r="H12" s="741">
        <f t="shared" si="4"/>
        <v>103.04195893664669</v>
      </c>
      <c r="I12" s="741">
        <f t="shared" si="5"/>
        <v>6.2397374071871221</v>
      </c>
      <c r="J12" s="741">
        <f t="shared" si="0"/>
        <v>3.2121039919245047</v>
      </c>
      <c r="K12" s="59"/>
      <c r="M12" s="60"/>
      <c r="N12" s="61"/>
      <c r="O12" s="61"/>
    </row>
    <row r="13" spans="2:15" ht="15" customHeight="1">
      <c r="C13" s="736" t="str">
        <f>IF(Indice_index!$Z$1=1,"Contribuições para Segurança Social, CGA e ADSE","Social security, CGA and ADSE contributions")</f>
        <v>Social security, CGA and ADSE contributions</v>
      </c>
      <c r="D13" s="740">
        <f>+'7 - R_Est'!D24</f>
        <v>64.415744000000004</v>
      </c>
      <c r="E13" s="740">
        <f>+'7 - R_Est'!E24</f>
        <v>65.183119000000005</v>
      </c>
      <c r="F13" s="740">
        <f>+'7 - R_Est'!F24</f>
        <v>64.415744000000004</v>
      </c>
      <c r="G13" s="740">
        <f>+'7 - R_Est'!G24</f>
        <v>66.578526589999996</v>
      </c>
      <c r="H13" s="741">
        <f t="shared" si="4"/>
        <v>102.1407499539873</v>
      </c>
      <c r="I13" s="741">
        <f t="shared" si="5"/>
        <v>3.3575372349964501</v>
      </c>
      <c r="J13" s="741">
        <f t="shared" si="0"/>
        <v>4.6258214052562266E-3</v>
      </c>
      <c r="K13" s="59"/>
      <c r="M13" s="60"/>
      <c r="N13" s="61"/>
      <c r="O13" s="61"/>
    </row>
    <row r="14" spans="2:15" ht="15" customHeight="1">
      <c r="C14" s="736" t="str">
        <f>IF(Indice_index!$Z$1=1,"Taxas, Multas e Outras Penalidades","Taxes, fines and other penalties")</f>
        <v>Taxes, fines and other penalties</v>
      </c>
      <c r="D14" s="740">
        <f>+'7 - R_Est'!D30</f>
        <v>765.87607270000001</v>
      </c>
      <c r="E14" s="740">
        <f>+'7 - R_Est'!E30</f>
        <v>958.02473499999996</v>
      </c>
      <c r="F14" s="740">
        <f>+'7 - R_Est'!F30</f>
        <v>765.87607270000001</v>
      </c>
      <c r="G14" s="740">
        <f>+'7 - R_Est'!G30</f>
        <v>857.09258268999986</v>
      </c>
      <c r="H14" s="741">
        <f t="shared" si="4"/>
        <v>89.464556746543707</v>
      </c>
      <c r="I14" s="741">
        <f t="shared" si="5"/>
        <v>11.910087446449069</v>
      </c>
      <c r="J14" s="741">
        <f t="shared" si="0"/>
        <v>0.19509648652410841</v>
      </c>
      <c r="K14" s="59"/>
      <c r="M14" s="60"/>
      <c r="N14" s="61"/>
      <c r="O14" s="61"/>
    </row>
    <row r="15" spans="2:15" ht="15" customHeight="1">
      <c r="C15" s="736" t="str">
        <f>IF(Indice_index!$Z$1=1,"Transferências Correntes","Current transfers")</f>
        <v>Current transfers</v>
      </c>
      <c r="D15" s="740">
        <f>SUM(D16:D19)</f>
        <v>968.49879078999993</v>
      </c>
      <c r="E15" s="740">
        <f>SUM(E16:E19)</f>
        <v>1174.9075800000001</v>
      </c>
      <c r="F15" s="740">
        <f>SUM(F16:F19)</f>
        <v>968.49879078999993</v>
      </c>
      <c r="G15" s="740">
        <f>SUM(G16:G19)</f>
        <v>1215.0406647899999</v>
      </c>
      <c r="H15" s="741">
        <f t="shared" si="4"/>
        <v>103.41585035905547</v>
      </c>
      <c r="I15" s="741">
        <f t="shared" si="5"/>
        <v>25.456084854674621</v>
      </c>
      <c r="J15" s="741">
        <f t="shared" si="0"/>
        <v>0.52731082787252681</v>
      </c>
      <c r="K15" s="59"/>
      <c r="M15" s="60"/>
      <c r="N15" s="61"/>
      <c r="O15" s="61"/>
    </row>
    <row r="16" spans="2:15" ht="15" customHeight="1">
      <c r="C16" s="739" t="str">
        <f>IF(Indice_index!$Z$1=1,"Administração Central","Central Administration")</f>
        <v>Central Administration</v>
      </c>
      <c r="D16" s="740">
        <f>+'7 - R_Est'!D40</f>
        <v>639.84457224999994</v>
      </c>
      <c r="E16" s="740">
        <f>+'7 - R_Est'!E40</f>
        <v>465.23829100000006</v>
      </c>
      <c r="F16" s="740">
        <f>+'7 - R_Est'!F40</f>
        <v>639.84457224999994</v>
      </c>
      <c r="G16" s="740">
        <f>+'7 - R_Est'!G40</f>
        <v>528.17446856000004</v>
      </c>
      <c r="H16" s="738">
        <f t="shared" si="4"/>
        <v>113.52772950496457</v>
      </c>
      <c r="I16" s="738">
        <f t="shared" si="5"/>
        <v>-17.452692190122725</v>
      </c>
      <c r="J16" s="738">
        <f t="shared" si="0"/>
        <v>-0.23884321908490386</v>
      </c>
      <c r="K16" s="59"/>
      <c r="M16" s="60"/>
      <c r="N16" s="61"/>
      <c r="O16" s="61"/>
    </row>
    <row r="17" spans="3:15" ht="15" customHeight="1">
      <c r="C17" s="742" t="str">
        <f>IF(Indice_index!$Z$1=1,"Outros subsectores das AP","Other General Government subsectors")</f>
        <v>Other General Government subsectors</v>
      </c>
      <c r="D17" s="740">
        <f>+'7 - R_Est'!D41</f>
        <v>232.68000708</v>
      </c>
      <c r="E17" s="740">
        <f>+'7 - R_Est'!E41</f>
        <v>236.50122999999999</v>
      </c>
      <c r="F17" s="740">
        <f>+'7 - R_Est'!F41</f>
        <v>232.68000708</v>
      </c>
      <c r="G17" s="740">
        <f>+'7 - R_Est'!G41</f>
        <v>215.78015270999998</v>
      </c>
      <c r="H17" s="738">
        <f t="shared" si="4"/>
        <v>91.238490687765122</v>
      </c>
      <c r="I17" s="738">
        <f t="shared" si="5"/>
        <v>-7.2631312771919889</v>
      </c>
      <c r="J17" s="738">
        <f t="shared" si="0"/>
        <v>-3.6145893004649779E-2</v>
      </c>
      <c r="K17" s="59"/>
      <c r="M17" s="60"/>
      <c r="N17" s="61"/>
      <c r="O17" s="61"/>
    </row>
    <row r="18" spans="3:15" ht="15" customHeight="1">
      <c r="C18" s="739" t="str">
        <f>IF(Indice_index!$Z$1=1,"União Europeia","European Union")</f>
        <v>European Union</v>
      </c>
      <c r="D18" s="740">
        <f>+'7 - R_Est'!D42</f>
        <v>84.744317360000011</v>
      </c>
      <c r="E18" s="740">
        <f>+'7 - R_Est'!E42</f>
        <v>440.34911499999998</v>
      </c>
      <c r="F18" s="740">
        <f>+'7 - R_Est'!F42</f>
        <v>84.744317360000011</v>
      </c>
      <c r="G18" s="740">
        <f>+'7 - R_Est'!G42</f>
        <v>457.3599299</v>
      </c>
      <c r="H18" s="738">
        <f t="shared" si="4"/>
        <v>103.86302920127363</v>
      </c>
      <c r="I18" s="738">
        <f t="shared" si="5"/>
        <v>439.69392184387044</v>
      </c>
      <c r="J18" s="738">
        <f t="shared" si="0"/>
        <v>0.79696095409210721</v>
      </c>
      <c r="K18" s="59"/>
      <c r="M18" s="60"/>
      <c r="N18" s="61"/>
      <c r="O18" s="61"/>
    </row>
    <row r="19" spans="3:15" ht="15" customHeight="1">
      <c r="C19" s="742" t="str">
        <f>IF(Indice_index!$Z$1=1,"Outras transferências","Other transfers")</f>
        <v>Other transfers</v>
      </c>
      <c r="D19" s="740">
        <f>+'7 - R_Est'!D43</f>
        <v>11.229894099999999</v>
      </c>
      <c r="E19" s="740">
        <f>+'7 - R_Est'!E43</f>
        <v>32.818944000000002</v>
      </c>
      <c r="F19" s="740">
        <f>+'7 - R_Est'!F43</f>
        <v>11.229894099999999</v>
      </c>
      <c r="G19" s="740">
        <f>+'7 - R_Est'!G43</f>
        <v>13.726113620000001</v>
      </c>
      <c r="H19" s="738">
        <f t="shared" si="4"/>
        <v>41.82375161126452</v>
      </c>
      <c r="I19" s="738">
        <f t="shared" si="5"/>
        <v>22.228344254822513</v>
      </c>
      <c r="J19" s="738">
        <f t="shared" si="0"/>
        <v>5.3389858699734016E-3</v>
      </c>
      <c r="K19" s="59"/>
      <c r="M19" s="60"/>
      <c r="N19" s="61"/>
      <c r="O19" s="61"/>
    </row>
    <row r="20" spans="3:15" ht="15" customHeight="1">
      <c r="C20" s="736" t="str">
        <f>IF(Indice_index!$Z$1=1,"Outras Receitas Correntes","Other current revenue")</f>
        <v>Other current revenue</v>
      </c>
      <c r="D20" s="740">
        <f>'7 - R_Est'!D35+'7 - R_Est'!D44+'7 - R_Est'!D45+'7 - R_Est'!D49+'7 - R_Est'!D50</f>
        <v>1601.8164691099998</v>
      </c>
      <c r="E20" s="740">
        <f>'7 - R_Est'!E35+'7 - R_Est'!E44+'7 - R_Est'!E45+'7 - R_Est'!E49+'7 - R_Est'!E50</f>
        <v>2032.7259589999999</v>
      </c>
      <c r="F20" s="740">
        <f>'7 - R_Est'!F35+'7 - R_Est'!F44+'7 - R_Est'!F45+'7 - R_Est'!F49+'7 - R_Est'!F50</f>
        <v>1601.8164691099998</v>
      </c>
      <c r="G20" s="740">
        <f>'7 - R_Est'!G35+'7 - R_Est'!G44+'7 - R_Est'!G45+'7 - R_Est'!G49+'7 - R_Est'!G50</f>
        <v>2260.0802645899998</v>
      </c>
      <c r="H20" s="741">
        <f t="shared" si="4"/>
        <v>111.18470025845721</v>
      </c>
      <c r="I20" s="741">
        <f t="shared" si="5"/>
        <v>41.09483253382605</v>
      </c>
      <c r="J20" s="741">
        <f t="shared" si="0"/>
        <v>1.4079134766091317</v>
      </c>
      <c r="K20" s="59"/>
      <c r="M20" s="60"/>
      <c r="N20" s="61"/>
      <c r="O20" s="61"/>
    </row>
    <row r="21" spans="3:15" ht="15" customHeight="1">
      <c r="C21" s="743" t="str">
        <f>IF(Indice_index!$Z$1=1,"Diferenças de consolidação","Consolidation differences")</f>
        <v>Consolidation differences</v>
      </c>
      <c r="D21" s="740">
        <f>+'7 - R_Est'!D51</f>
        <v>4.7239400000000003E-3</v>
      </c>
      <c r="E21" s="740">
        <f>+'7 - R_Est'!E51</f>
        <v>4.4419999999999998E-3</v>
      </c>
      <c r="F21" s="740">
        <f>+'7 - R_Est'!F51</f>
        <v>4.7239400000000003E-3</v>
      </c>
      <c r="G21" s="740">
        <f>+'7 - R_Est'!G51</f>
        <v>4.4417399999999996E-3</v>
      </c>
      <c r="H21" s="741"/>
      <c r="I21" s="741"/>
      <c r="J21" s="741"/>
      <c r="K21" s="59"/>
      <c r="M21" s="60"/>
      <c r="N21" s="61"/>
      <c r="O21" s="61"/>
    </row>
    <row r="22" spans="3:15" s="279" customFormat="1" ht="15" customHeight="1">
      <c r="C22" s="699" t="str">
        <f>IF(Indice_index!$Z$1=1,"Receita de capital","Capital revenue")</f>
        <v>Capital revenue</v>
      </c>
      <c r="D22" s="734">
        <f t="shared" ref="D22:E22" si="6">D23+D24+D29+D30</f>
        <v>131.64581931000001</v>
      </c>
      <c r="E22" s="734">
        <f t="shared" si="6"/>
        <v>358.874999</v>
      </c>
      <c r="F22" s="734">
        <f t="shared" ref="F22" si="7">F23+F24+F29+F30</f>
        <v>131.64581931000001</v>
      </c>
      <c r="G22" s="734">
        <f t="shared" ref="G22" si="8">G23+G24+G29+G30</f>
        <v>84.009449899999993</v>
      </c>
      <c r="H22" s="735">
        <f t="shared" si="4"/>
        <v>23.409111845096792</v>
      </c>
      <c r="I22" s="735">
        <f t="shared" ref="I22:I29" si="9">IF(IFERROR((G22-F22)/F22*100,"")&gt;500,"-",IFERROR((G22-F22)/F22*100,""))</f>
        <v>-36.185250439154274</v>
      </c>
      <c r="J22" s="735">
        <f t="shared" ref="J22:J29" si="10">IFERROR((G22-F22)/$F$32*100,"-")</f>
        <v>-0.10188603251400864</v>
      </c>
      <c r="K22" s="281"/>
      <c r="M22" s="282"/>
      <c r="N22" s="283"/>
      <c r="O22" s="283"/>
    </row>
    <row r="23" spans="3:15" ht="15" customHeight="1">
      <c r="C23" s="736" t="str">
        <f>IF(Indice_index!$Z$1=1,"Venda de bens de investimento","Sale of investment goods")</f>
        <v>Sale of investment goods</v>
      </c>
      <c r="D23" s="92">
        <f>+'7 - R_Est'!D53</f>
        <v>71.307551050000001</v>
      </c>
      <c r="E23" s="92">
        <f>+'7 - R_Est'!E53</f>
        <v>70.694385999999994</v>
      </c>
      <c r="F23" s="92">
        <f>+'7 - R_Est'!F53</f>
        <v>71.307551050000001</v>
      </c>
      <c r="G23" s="92">
        <f>+'7 - R_Est'!G53</f>
        <v>36.897486190000002</v>
      </c>
      <c r="H23" s="744">
        <f t="shared" si="4"/>
        <v>52.192950922581048</v>
      </c>
      <c r="I23" s="744">
        <f t="shared" si="9"/>
        <v>-48.255849981262259</v>
      </c>
      <c r="J23" s="745">
        <f t="shared" si="10"/>
        <v>-7.3597233176194418E-2</v>
      </c>
      <c r="K23" s="59"/>
      <c r="M23" s="60"/>
      <c r="N23" s="61"/>
      <c r="O23" s="61"/>
    </row>
    <row r="24" spans="3:15" ht="15" customHeight="1">
      <c r="C24" s="736" t="str">
        <f>IF(Indice_index!$Z$1=1,"Transferências de capital","Capital transfers")</f>
        <v>Capital transfers</v>
      </c>
      <c r="D24" s="740">
        <f t="shared" ref="D24:E24" si="11">SUM(D25:D28)</f>
        <v>45.850125150000004</v>
      </c>
      <c r="E24" s="740">
        <f t="shared" si="11"/>
        <v>281.03217199999995</v>
      </c>
      <c r="F24" s="740">
        <f t="shared" ref="F24" si="12">SUM(F25:F28)</f>
        <v>45.850125150000004</v>
      </c>
      <c r="G24" s="740">
        <f t="shared" ref="G24" si="13">SUM(G25:G28)</f>
        <v>44.934448939999996</v>
      </c>
      <c r="H24" s="741">
        <f t="shared" si="4"/>
        <v>15.989076489078982</v>
      </c>
      <c r="I24" s="741">
        <f t="shared" si="9"/>
        <v>-1.9971073295969137</v>
      </c>
      <c r="J24" s="741">
        <f t="shared" si="10"/>
        <v>-1.9584745281780486E-3</v>
      </c>
      <c r="K24" s="59"/>
      <c r="M24" s="60"/>
      <c r="N24" s="61"/>
      <c r="O24" s="61"/>
    </row>
    <row r="25" spans="3:15" ht="15" customHeight="1">
      <c r="C25" s="739" t="str">
        <f>IF(Indice_index!$Z$1=1,"Administração Central","Central Administration")</f>
        <v>Central Administration</v>
      </c>
      <c r="D25" s="740">
        <f>+'7 - R_Est'!D55</f>
        <v>29.462947460000002</v>
      </c>
      <c r="E25" s="740">
        <f>+'7 - R_Est'!E55</f>
        <v>35.586623999999993</v>
      </c>
      <c r="F25" s="740">
        <f>+'7 - R_Est'!F55</f>
        <v>29.462947460000002</v>
      </c>
      <c r="G25" s="740">
        <f>+'7 - R_Est'!G55</f>
        <v>16.995723560000002</v>
      </c>
      <c r="H25" s="741">
        <f t="shared" si="4"/>
        <v>47.758740924680026</v>
      </c>
      <c r="I25" s="741">
        <f t="shared" si="9"/>
        <v>-42.31492425164172</v>
      </c>
      <c r="J25" s="741">
        <f t="shared" si="10"/>
        <v>-2.6665255882581444E-2</v>
      </c>
      <c r="K25" s="59"/>
      <c r="M25" s="60"/>
      <c r="N25" s="61"/>
      <c r="O25" s="61"/>
    </row>
    <row r="26" spans="3:15" ht="15" customHeight="1">
      <c r="C26" s="739" t="str">
        <f>IF(Indice_index!$Z$1=1,"Outros subsectores das AP","Other General Government subsectors")</f>
        <v>Other General Government subsectors</v>
      </c>
      <c r="D26" s="740">
        <f>+'7 - R_Est'!D56</f>
        <v>0.23717608000000001</v>
      </c>
      <c r="E26" s="740">
        <f>+'7 - R_Est'!E56</f>
        <v>3.1151999999999999E-2</v>
      </c>
      <c r="F26" s="740">
        <f>+'7 - R_Est'!F56</f>
        <v>0.23717608000000001</v>
      </c>
      <c r="G26" s="740">
        <f>+'7 - R_Est'!G56</f>
        <v>3.0124069999999999E-2</v>
      </c>
      <c r="H26" s="741">
        <f t="shared" si="4"/>
        <v>96.700276065742159</v>
      </c>
      <c r="I26" s="741">
        <f t="shared" si="9"/>
        <v>-87.298858299707121</v>
      </c>
      <c r="J26" s="741">
        <f t="shared" si="10"/>
        <v>-4.4284877467010207E-4</v>
      </c>
      <c r="K26" s="59"/>
      <c r="M26" s="60"/>
      <c r="N26" s="61"/>
      <c r="O26" s="61"/>
    </row>
    <row r="27" spans="3:15" ht="15" customHeight="1">
      <c r="C27" s="739" t="str">
        <f>IF(Indice_index!$Z$1=1,"União Europeia","European Union")</f>
        <v>European Union</v>
      </c>
      <c r="D27" s="740">
        <f>+'7 - R_Est'!D57</f>
        <v>13.704379449999999</v>
      </c>
      <c r="E27" s="740">
        <f>+'7 - R_Est'!E57</f>
        <v>244.23117199999999</v>
      </c>
      <c r="F27" s="740">
        <f>+'7 - R_Est'!F57</f>
        <v>13.704379449999999</v>
      </c>
      <c r="G27" s="740">
        <f>+'7 - R_Est'!G57</f>
        <v>18.51653696</v>
      </c>
      <c r="H27" s="741">
        <f t="shared" si="4"/>
        <v>7.581561685336383</v>
      </c>
      <c r="I27" s="741">
        <f t="shared" si="9"/>
        <v>35.114012477230411</v>
      </c>
      <c r="J27" s="741">
        <f t="shared" si="10"/>
        <v>1.0292380435345833E-2</v>
      </c>
      <c r="K27" s="59"/>
      <c r="M27" s="60"/>
      <c r="N27" s="61"/>
      <c r="O27" s="61"/>
    </row>
    <row r="28" spans="3:15" ht="15" customHeight="1">
      <c r="C28" s="739" t="str">
        <f>IF(Indice_index!$Z$1=1,"Outras transferências","Other transfers")</f>
        <v>Other transfers</v>
      </c>
      <c r="D28" s="740">
        <f>+'7 - R_Est'!D58</f>
        <v>2.4456221600000001</v>
      </c>
      <c r="E28" s="740">
        <f>+'7 - R_Est'!E58</f>
        <v>1.1832240000000001</v>
      </c>
      <c r="F28" s="740">
        <f>+'7 - R_Est'!F58</f>
        <v>2.4456221600000001</v>
      </c>
      <c r="G28" s="740">
        <f>+'7 - R_Est'!G58</f>
        <v>9.3920643500000001</v>
      </c>
      <c r="H28" s="741" t="str">
        <f t="shared" si="4"/>
        <v>-</v>
      </c>
      <c r="I28" s="741">
        <f t="shared" si="9"/>
        <v>284.03578866818901</v>
      </c>
      <c r="J28" s="741">
        <f t="shared" si="10"/>
        <v>1.4857249693727681E-2</v>
      </c>
      <c r="K28" s="59"/>
      <c r="M28" s="60"/>
      <c r="N28" s="61"/>
      <c r="O28" s="61"/>
    </row>
    <row r="29" spans="3:15" ht="15" customHeight="1">
      <c r="C29" s="736" t="str">
        <f>IF(Indice_index!$Z$1=1,"Outras Receitas de Capital","Other capital revenue")</f>
        <v>Other capital revenue</v>
      </c>
      <c r="D29" s="740">
        <f>+'7 - R_Est'!D59</f>
        <v>10.506047130000001</v>
      </c>
      <c r="E29" s="740">
        <f>+'7 - R_Est'!E59</f>
        <v>7.1395350000000004</v>
      </c>
      <c r="F29" s="740">
        <f>+'7 - R_Est'!F59</f>
        <v>10.506047130000001</v>
      </c>
      <c r="G29" s="740">
        <f>+'7 - R_Est'!G59</f>
        <v>1.4997533700000001</v>
      </c>
      <c r="H29" s="745">
        <f t="shared" si="4"/>
        <v>21.006317218138157</v>
      </c>
      <c r="I29" s="745">
        <f t="shared" si="9"/>
        <v>-85.724855871648842</v>
      </c>
      <c r="J29" s="745">
        <f t="shared" si="10"/>
        <v>-1.926291928262366E-2</v>
      </c>
      <c r="K29" s="59"/>
      <c r="M29" s="60"/>
      <c r="N29" s="61"/>
      <c r="O29" s="61"/>
    </row>
    <row r="30" spans="3:15" ht="15" customHeight="1">
      <c r="C30" s="743" t="str">
        <f>IF(Indice_index!$Z$1=1,"Diferenças de consolidação","Consolidation differences")</f>
        <v>Consolidation differences</v>
      </c>
      <c r="D30" s="740">
        <f>+'7 - R_Est'!D60</f>
        <v>3.9820959799999995</v>
      </c>
      <c r="E30" s="740">
        <f>+'7 - R_Est'!E60</f>
        <v>8.9060000000031891E-3</v>
      </c>
      <c r="F30" s="740">
        <f>+'7 - R_Est'!F60</f>
        <v>3.9820959799999995</v>
      </c>
      <c r="G30" s="740">
        <f>+'7 - R_Est'!G60</f>
        <v>0.67776139999999785</v>
      </c>
      <c r="H30" s="741"/>
      <c r="I30" s="741"/>
      <c r="J30" s="740"/>
      <c r="K30" s="59"/>
      <c r="M30" s="60"/>
      <c r="N30" s="61"/>
      <c r="O30" s="61"/>
    </row>
    <row r="31" spans="3:15" ht="4.5" customHeight="1">
      <c r="C31" s="739"/>
      <c r="D31" s="741"/>
      <c r="E31" s="741"/>
      <c r="F31" s="741"/>
      <c r="G31" s="741"/>
      <c r="H31" s="741"/>
      <c r="I31" s="741"/>
      <c r="J31" s="741"/>
      <c r="K31" s="59"/>
      <c r="M31" s="60"/>
      <c r="N31" s="61"/>
      <c r="O31" s="61"/>
    </row>
    <row r="32" spans="3:15" s="279" customFormat="1" ht="15" customHeight="1">
      <c r="C32" s="746" t="str">
        <f>IF(Indice_index!$Z$1=1,"Receita efetiva","Effective revenue")</f>
        <v>Effective revenue</v>
      </c>
      <c r="D32" s="747">
        <f>+D9+D22</f>
        <v>46754.563147259993</v>
      </c>
      <c r="E32" s="747">
        <f>+E9+E22</f>
        <v>48456.610437999996</v>
      </c>
      <c r="F32" s="747">
        <f>+F9+F22</f>
        <v>46754.563147259993</v>
      </c>
      <c r="G32" s="747">
        <f>+G9+G22</f>
        <v>50007.734710029988</v>
      </c>
      <c r="H32" s="747">
        <f>IFERROR(IF(G32/E32*100&lt;-500,"-",IF(G32/E32*100&gt;500,"-",G32/E32*100)),"-")</f>
        <v>103.20105813842395</v>
      </c>
      <c r="I32" s="747">
        <f>IFERROR((G32-F32)/F32*100,"-")</f>
        <v>6.9579765990405686</v>
      </c>
      <c r="J32" s="747"/>
      <c r="K32" s="281"/>
      <c r="M32" s="282"/>
      <c r="N32" s="283"/>
      <c r="O32" s="283"/>
    </row>
    <row r="33" spans="3:12" ht="4.5" customHeight="1">
      <c r="C33" s="739"/>
      <c r="D33" s="740"/>
      <c r="E33" s="740"/>
      <c r="F33" s="740"/>
      <c r="G33" s="740"/>
      <c r="H33" s="741"/>
      <c r="I33" s="741"/>
      <c r="J33" s="741"/>
      <c r="K33" s="59"/>
    </row>
    <row r="34" spans="3:12" s="279" customFormat="1" ht="15" customHeight="1">
      <c r="C34" s="699" t="str">
        <f>IF(Indice_index!$Z$1=1,"Despesa corrente","Current Expenditure")</f>
        <v>Current Expenditure</v>
      </c>
      <c r="D34" s="735">
        <f t="shared" ref="D34:E34" si="14">+D35+D39+D40+D41+D46+D47+D48</f>
        <v>55911.055977590004</v>
      </c>
      <c r="E34" s="735">
        <f t="shared" si="14"/>
        <v>56436.279284000011</v>
      </c>
      <c r="F34" s="735">
        <f>+F35+F39+F40+F41+F46+F47+F48</f>
        <v>55911.055977590004</v>
      </c>
      <c r="G34" s="735">
        <f>+G35+G39+G40+G41+G46+G47+G48</f>
        <v>56364.450585949977</v>
      </c>
      <c r="H34" s="735">
        <f t="shared" ref="H34:H56" si="15">IFERROR(IF(G34/E34*100&lt;-500,"-",IF(G34/E34*100&gt;500,"-",G34/E34*100)),"-")</f>
        <v>99.872726021344221</v>
      </c>
      <c r="I34" s="735">
        <f t="shared" ref="I34:I47" si="16">IF(IFERROR((G34-F34)/F34*100,"")&gt;500,"-",IFERROR((G34-F34)/F34*100,""))</f>
        <v>0.81092120410263846</v>
      </c>
      <c r="J34" s="735">
        <f t="shared" ref="J34:J46" si="17">IFERROR((G34-F34)/$F$59*100,"-")</f>
        <v>0.76899927300800974</v>
      </c>
      <c r="K34" s="281"/>
    </row>
    <row r="35" spans="3:12" ht="15" customHeight="1">
      <c r="C35" s="736" t="str">
        <f>IF(Indice_index!$Z$1=1,"Despesas com o pessoal","Employees")</f>
        <v>Employees</v>
      </c>
      <c r="D35" s="740">
        <f>SUM(D36:D38)</f>
        <v>9917.219738460004</v>
      </c>
      <c r="E35" s="740">
        <f>SUM(E36:E38)</f>
        <v>10173.557824</v>
      </c>
      <c r="F35" s="740">
        <f>SUM(F36:F38)</f>
        <v>9917.219738460004</v>
      </c>
      <c r="G35" s="740">
        <f t="shared" ref="G35" si="18">SUM(G36:G38)</f>
        <v>10188.320429659985</v>
      </c>
      <c r="H35" s="741">
        <f t="shared" si="15"/>
        <v>100.14510760065825</v>
      </c>
      <c r="I35" s="741">
        <f t="shared" si="16"/>
        <v>2.7336360224894949</v>
      </c>
      <c r="J35" s="741">
        <f t="shared" si="17"/>
        <v>0.45981189586452814</v>
      </c>
      <c r="K35" s="59"/>
      <c r="L35" s="59"/>
    </row>
    <row r="36" spans="3:12" ht="15" customHeight="1">
      <c r="C36" s="739" t="str">
        <f>IF(Indice_index!$Z$1=1,"Remunerações Certas e Permanentes","Certain and permanent wages")</f>
        <v>Certain and permanent wages</v>
      </c>
      <c r="D36" s="740">
        <v>7236.45203717001</v>
      </c>
      <c r="E36" s="740">
        <v>7733.7500730000002</v>
      </c>
      <c r="F36" s="740">
        <v>7236.45203717001</v>
      </c>
      <c r="G36" s="740">
        <v>7353.7654886299879</v>
      </c>
      <c r="H36" s="741">
        <f t="shared" si="15"/>
        <v>95.086671009752294</v>
      </c>
      <c r="I36" s="741">
        <f t="shared" si="16"/>
        <v>1.6211459822769183</v>
      </c>
      <c r="J36" s="741">
        <f t="shared" si="17"/>
        <v>0.19897448541152024</v>
      </c>
      <c r="K36" s="59"/>
      <c r="L36" s="59"/>
    </row>
    <row r="37" spans="3:12" ht="15" customHeight="1">
      <c r="C37" s="739" t="str">
        <f>IF(Indice_index!$Z$1=1,"Abonos Variáveis ou Eventuais","Variable or contingent bonuses")</f>
        <v>Variable or contingent bonuses</v>
      </c>
      <c r="D37" s="740">
        <v>361.19967038999886</v>
      </c>
      <c r="E37" s="740">
        <v>353.84380900000002</v>
      </c>
      <c r="F37" s="740">
        <v>361.1996703899988</v>
      </c>
      <c r="G37" s="740">
        <v>387.04340639999998</v>
      </c>
      <c r="H37" s="741">
        <f t="shared" si="15"/>
        <v>109.38255709314953</v>
      </c>
      <c r="I37" s="741">
        <f t="shared" si="16"/>
        <v>7.1549722019670927</v>
      </c>
      <c r="J37" s="741">
        <f t="shared" si="17"/>
        <v>4.3833371277593569E-2</v>
      </c>
      <c r="K37" s="59"/>
      <c r="L37" s="59"/>
    </row>
    <row r="38" spans="3:12" ht="15" customHeight="1">
      <c r="C38" s="739" t="str">
        <f>IF(Indice_index!$Z$1=1,"Segurança social","Social security")</f>
        <v>Social security</v>
      </c>
      <c r="D38" s="740">
        <v>2319.5680308999954</v>
      </c>
      <c r="E38" s="740">
        <v>2085.9639419999999</v>
      </c>
      <c r="F38" s="740">
        <v>2319.5680308999949</v>
      </c>
      <c r="G38" s="740">
        <v>2447.5115346299967</v>
      </c>
      <c r="H38" s="741">
        <f t="shared" si="15"/>
        <v>117.3323989619566</v>
      </c>
      <c r="I38" s="741">
        <f t="shared" si="16"/>
        <v>5.5158332079770727</v>
      </c>
      <c r="J38" s="741">
        <f t="shared" si="17"/>
        <v>0.21700403917541372</v>
      </c>
      <c r="K38" s="59"/>
      <c r="L38" s="59"/>
    </row>
    <row r="39" spans="3:12" ht="15" customHeight="1">
      <c r="C39" s="736" t="str">
        <f>IF(Indice_index!$Z$1=1,"Aquisição de bens e serviços","Purchase of goods and services")</f>
        <v>Purchase of goods and services</v>
      </c>
      <c r="D39" s="740">
        <v>1214.0033276500005</v>
      </c>
      <c r="E39" s="740">
        <v>1913.558976</v>
      </c>
      <c r="F39" s="740">
        <v>1214.0033276500001</v>
      </c>
      <c r="G39" s="740">
        <v>1803.1446117499934</v>
      </c>
      <c r="H39" s="741">
        <f t="shared" si="15"/>
        <v>94.229894890367532</v>
      </c>
      <c r="I39" s="741">
        <f t="shared" si="16"/>
        <v>48.528803066826853</v>
      </c>
      <c r="J39" s="741">
        <f t="shared" si="17"/>
        <v>0.99923821505217658</v>
      </c>
      <c r="K39" s="59"/>
      <c r="L39" s="59"/>
    </row>
    <row r="40" spans="3:12" ht="15" customHeight="1">
      <c r="C40" s="736" t="str">
        <f>IF(Indice_index!$Z$1=1,"Juros e outros encargos","Interests")</f>
        <v>Interests</v>
      </c>
      <c r="D40" s="740">
        <v>6925.675168769998</v>
      </c>
      <c r="E40" s="740">
        <v>6597.9975930000001</v>
      </c>
      <c r="F40" s="740">
        <v>6925.675168769998</v>
      </c>
      <c r="G40" s="740">
        <v>6380.8279530700001</v>
      </c>
      <c r="H40" s="741">
        <f t="shared" si="15"/>
        <v>96.708552301376997</v>
      </c>
      <c r="I40" s="741">
        <f t="shared" si="16"/>
        <v>-7.8670628122566546</v>
      </c>
      <c r="J40" s="741">
        <f t="shared" si="17"/>
        <v>-0.92411137020200607</v>
      </c>
      <c r="K40" s="59"/>
      <c r="L40" s="59"/>
    </row>
    <row r="41" spans="3:12" ht="15" customHeight="1">
      <c r="C41" s="736" t="str">
        <f>IF(Indice_index!$Z$1=1,"Transferências correntes","Current transfers")</f>
        <v>Current transfers</v>
      </c>
      <c r="D41" s="740">
        <f>SUM(D42:D45)</f>
        <v>37342.759326569998</v>
      </c>
      <c r="E41" s="740">
        <f>SUM(E42:E45)</f>
        <v>36142.337535999999</v>
      </c>
      <c r="F41" s="740">
        <f>SUM(F42:F45)</f>
        <v>37342.759326569998</v>
      </c>
      <c r="G41" s="740">
        <f t="shared" ref="G41" si="19">SUM(G42:G45)</f>
        <v>37389.866364310001</v>
      </c>
      <c r="H41" s="741">
        <f t="shared" si="15"/>
        <v>103.45171041321659</v>
      </c>
      <c r="I41" s="741">
        <f t="shared" si="16"/>
        <v>0.12614771535237196</v>
      </c>
      <c r="J41" s="741">
        <f t="shared" si="17"/>
        <v>7.9897901535833829E-2</v>
      </c>
      <c r="K41" s="59"/>
      <c r="L41" s="59"/>
    </row>
    <row r="42" spans="3:12" ht="15" customHeight="1">
      <c r="C42" s="739" t="str">
        <f>IF(Indice_index!$Z$1=1,"Administração Central","Central Administration")</f>
        <v>Central Administration</v>
      </c>
      <c r="D42" s="740">
        <v>19307.01555928</v>
      </c>
      <c r="E42" s="740">
        <v>19403.148531999999</v>
      </c>
      <c r="F42" s="740">
        <v>19307.01555928</v>
      </c>
      <c r="G42" s="740">
        <v>19715.332693939992</v>
      </c>
      <c r="H42" s="741">
        <f t="shared" si="15"/>
        <v>101.60893558808321</v>
      </c>
      <c r="I42" s="741">
        <f t="shared" si="16"/>
        <v>2.1148640679669035</v>
      </c>
      <c r="J42" s="741">
        <f t="shared" si="17"/>
        <v>0.69254370016890543</v>
      </c>
      <c r="K42" s="59"/>
      <c r="L42" s="60"/>
    </row>
    <row r="43" spans="3:12" ht="15" customHeight="1">
      <c r="C43" s="739" t="str">
        <f>IF(Indice_index!$Z$1=1,"Outros subsectores das Administrações Públicas","Other General Government subsectors")</f>
        <v>Other General Government subsectors</v>
      </c>
      <c r="D43" s="740">
        <v>15126.102262189999</v>
      </c>
      <c r="E43" s="740">
        <v>13381.805405000001</v>
      </c>
      <c r="F43" s="740">
        <v>15126.102262189999</v>
      </c>
      <c r="G43" s="740">
        <v>14400.708377000003</v>
      </c>
      <c r="H43" s="741">
        <f t="shared" si="15"/>
        <v>107.61409197909346</v>
      </c>
      <c r="I43" s="741">
        <f t="shared" si="16"/>
        <v>-4.7956431380424371</v>
      </c>
      <c r="J43" s="741">
        <f t="shared" si="17"/>
        <v>-1.2303352533753016</v>
      </c>
      <c r="K43" s="59"/>
      <c r="L43" s="62"/>
    </row>
    <row r="44" spans="3:12" ht="15" customHeight="1">
      <c r="C44" s="739" t="str">
        <f>IF(Indice_index!$Z$1=1,"União Europeia","European Union")</f>
        <v>European Union</v>
      </c>
      <c r="D44" s="740">
        <v>2345.4439536</v>
      </c>
      <c r="E44" s="740">
        <v>2556.7248039999999</v>
      </c>
      <c r="F44" s="740">
        <v>2345.4439536</v>
      </c>
      <c r="G44" s="740">
        <v>2699.5032779799994</v>
      </c>
      <c r="H44" s="741">
        <f t="shared" si="15"/>
        <v>105.58442870959841</v>
      </c>
      <c r="I44" s="741">
        <f t="shared" si="16"/>
        <v>15.095620760264048</v>
      </c>
      <c r="J44" s="741">
        <f t="shared" si="17"/>
        <v>0.60051742572500244</v>
      </c>
      <c r="K44" s="59"/>
    </row>
    <row r="45" spans="3:12" ht="15" customHeight="1">
      <c r="C45" s="739" t="str">
        <f>IF(Indice_index!$Z$1=1,"Outras transferências","Other transfers")</f>
        <v>Other transfers</v>
      </c>
      <c r="D45" s="740">
        <v>564.19755150000083</v>
      </c>
      <c r="E45" s="740">
        <v>800.65879499999983</v>
      </c>
      <c r="F45" s="740">
        <v>564.19755150000037</v>
      </c>
      <c r="G45" s="740">
        <v>574.32201539000062</v>
      </c>
      <c r="H45" s="741">
        <f t="shared" si="15"/>
        <v>71.731181743903875</v>
      </c>
      <c r="I45" s="741">
        <f t="shared" si="16"/>
        <v>1.7944891577574025</v>
      </c>
      <c r="J45" s="741">
        <f t="shared" si="17"/>
        <v>1.717202901721444E-2</v>
      </c>
      <c r="K45" s="59"/>
    </row>
    <row r="46" spans="3:12" ht="15" customHeight="1">
      <c r="C46" s="736" t="str">
        <f>IF(Indice_index!$Z$1=1,"Subsídios","Subsidies")</f>
        <v>Subsidies</v>
      </c>
      <c r="D46" s="740">
        <v>84.193654499999994</v>
      </c>
      <c r="E46" s="740">
        <v>296.27803599999999</v>
      </c>
      <c r="F46" s="740">
        <v>84.193654499999994</v>
      </c>
      <c r="G46" s="740">
        <v>196.38423496000004</v>
      </c>
      <c r="H46" s="741">
        <f t="shared" si="15"/>
        <v>66.283764267966205</v>
      </c>
      <c r="I46" s="741">
        <f t="shared" si="16"/>
        <v>133.25301191196073</v>
      </c>
      <c r="J46" s="741">
        <f t="shared" si="17"/>
        <v>0.19028562144609573</v>
      </c>
      <c r="K46" s="59"/>
      <c r="L46" s="59"/>
    </row>
    <row r="47" spans="3:12" ht="15" customHeight="1">
      <c r="C47" s="736" t="str">
        <f>IF(Indice_index!$Z$1=1,"Outras despesas correntes","Other current expenditure")</f>
        <v>Other current expenditure</v>
      </c>
      <c r="D47" s="740">
        <v>423.96235047000022</v>
      </c>
      <c r="E47" s="740">
        <v>1312.53287</v>
      </c>
      <c r="F47" s="740">
        <v>423.96235047000022</v>
      </c>
      <c r="G47" s="740">
        <v>403.29173107999981</v>
      </c>
      <c r="H47" s="741">
        <f t="shared" si="15"/>
        <v>30.72621953307728</v>
      </c>
      <c r="I47" s="741">
        <f t="shared" si="16"/>
        <v>-4.875579014760433</v>
      </c>
      <c r="J47" s="741">
        <f>IFERROR((G47-F47)/$F$59*100,"-")</f>
        <v>-3.5059286084220889E-2</v>
      </c>
      <c r="K47" s="59"/>
      <c r="L47" s="59"/>
    </row>
    <row r="48" spans="3:12" ht="15" customHeight="1">
      <c r="C48" s="743" t="str">
        <f>IF(Indice_index!$Z$1=1,"Diferenças de consolidação","Consolidation differences")</f>
        <v>Consolidation differences</v>
      </c>
      <c r="D48" s="740">
        <v>3.2424111700000253</v>
      </c>
      <c r="E48" s="740">
        <v>1.6449000000022806E-2</v>
      </c>
      <c r="F48" s="740">
        <v>3.2424111700000253</v>
      </c>
      <c r="G48" s="740">
        <v>2.6152611200002811</v>
      </c>
      <c r="H48" s="741"/>
      <c r="I48" s="741"/>
      <c r="J48" s="741"/>
      <c r="K48" s="59"/>
      <c r="L48" s="59"/>
    </row>
    <row r="49" spans="3:12" s="279" customFormat="1" ht="15" customHeight="1">
      <c r="C49" s="699" t="str">
        <f>IF(Indice_index!$Z$1=1,"Despesa de capital","Capital expenditure")</f>
        <v>Capital expenditure</v>
      </c>
      <c r="D49" s="735">
        <f t="shared" ref="D49:E49" si="20">+D50+D51+D56+D57</f>
        <v>3047.9865435400011</v>
      </c>
      <c r="E49" s="735">
        <f t="shared" si="20"/>
        <v>3836.9195719999998</v>
      </c>
      <c r="F49" s="735">
        <f>+F50+F51+F56+F57</f>
        <v>3047.9865435400011</v>
      </c>
      <c r="G49" s="735">
        <f>+G50+G51+G56+G57</f>
        <v>3233.8300857699987</v>
      </c>
      <c r="H49" s="735">
        <f t="shared" si="15"/>
        <v>84.281935680094549</v>
      </c>
      <c r="I49" s="735">
        <f t="shared" ref="I49:I56" si="21">IF(IFERROR((G49-F49)/F49*100,"")&gt;500,"-",IFERROR((G49-F49)/F49*100,""))</f>
        <v>6.0972559942523468</v>
      </c>
      <c r="J49" s="735">
        <f t="shared" ref="J49:J56" si="22">IFERROR((G49-F49)/$F$59*100,"-")</f>
        <v>0.31520787021497881</v>
      </c>
      <c r="K49" s="281"/>
    </row>
    <row r="50" spans="3:12" ht="15" customHeight="1">
      <c r="C50" s="736" t="str">
        <f>IF(Indice_index!$Z$1=1,"Investimento","Investment")</f>
        <v>Investment</v>
      </c>
      <c r="D50" s="740">
        <v>518.05809026000145</v>
      </c>
      <c r="E50" s="740">
        <v>1060.00548</v>
      </c>
      <c r="F50" s="740">
        <v>518.05809026000156</v>
      </c>
      <c r="G50" s="740">
        <v>680.23216513999887</v>
      </c>
      <c r="H50" s="752">
        <f t="shared" si="15"/>
        <v>64.17251400813501</v>
      </c>
      <c r="I50" s="752">
        <f t="shared" si="21"/>
        <v>31.304225902273974</v>
      </c>
      <c r="J50" s="741">
        <f t="shared" si="22"/>
        <v>0.27506226007974371</v>
      </c>
      <c r="K50" s="59"/>
      <c r="L50" s="59"/>
    </row>
    <row r="51" spans="3:12" ht="15" customHeight="1">
      <c r="C51" s="736" t="str">
        <f>IF(Indice_index!$Z$1=1,"Transferências de capital","Capital transfers")</f>
        <v>Capital transfers</v>
      </c>
      <c r="D51" s="740">
        <f t="shared" ref="D51:E51" si="23">SUM(D52:D55)</f>
        <v>2517.6584097499999</v>
      </c>
      <c r="E51" s="740">
        <f t="shared" si="23"/>
        <v>2750.6081690000001</v>
      </c>
      <c r="F51" s="740">
        <f>SUM(F52:F55)</f>
        <v>2517.6584097499999</v>
      </c>
      <c r="G51" s="740">
        <f t="shared" ref="G51" si="24">SUM(G52:G55)</f>
        <v>2519.64963008</v>
      </c>
      <c r="H51" s="741">
        <f t="shared" si="15"/>
        <v>91.603364611399144</v>
      </c>
      <c r="I51" s="741">
        <f t="shared" si="21"/>
        <v>7.9090170544532226E-2</v>
      </c>
      <c r="J51" s="741">
        <f t="shared" si="22"/>
        <v>3.3772942111236124E-3</v>
      </c>
      <c r="K51" s="59"/>
      <c r="L51" s="59"/>
    </row>
    <row r="52" spans="3:12" ht="15" customHeight="1">
      <c r="C52" s="739" t="str">
        <f>IF(Indice_index!$Z$1=1,"Administração Central","Central Administration")</f>
        <v>Central Administration</v>
      </c>
      <c r="D52" s="740">
        <v>1933.5656208199998</v>
      </c>
      <c r="E52" s="740">
        <v>2053.2086140000001</v>
      </c>
      <c r="F52" s="740">
        <v>1933.5656208199998</v>
      </c>
      <c r="G52" s="740">
        <v>1891.6418273099998</v>
      </c>
      <c r="H52" s="741">
        <f t="shared" si="15"/>
        <v>92.131009699241389</v>
      </c>
      <c r="I52" s="741">
        <f t="shared" si="21"/>
        <v>-2.1682115703019518</v>
      </c>
      <c r="J52" s="741">
        <f t="shared" si="22"/>
        <v>-7.1106638977346287E-2</v>
      </c>
      <c r="K52" s="59"/>
    </row>
    <row r="53" spans="3:12" ht="15" customHeight="1">
      <c r="C53" s="739" t="str">
        <f>IF(Indice_index!$Z$1=1,"Outros subsectores das Administrações Públicas","Other General Government subsectors")</f>
        <v>Other General Government subsectors</v>
      </c>
      <c r="D53" s="740">
        <v>515.96658789999992</v>
      </c>
      <c r="E53" s="740">
        <v>625.57020799999998</v>
      </c>
      <c r="F53" s="740">
        <v>515.96658789999992</v>
      </c>
      <c r="G53" s="740">
        <v>564.64759928000012</v>
      </c>
      <c r="H53" s="741">
        <f t="shared" si="15"/>
        <v>90.261267569826501</v>
      </c>
      <c r="I53" s="741">
        <f t="shared" si="21"/>
        <v>9.4349154618971411</v>
      </c>
      <c r="J53" s="741">
        <f t="shared" si="22"/>
        <v>8.2567506693402765E-2</v>
      </c>
      <c r="K53" s="59"/>
    </row>
    <row r="54" spans="3:12" ht="15" customHeight="1">
      <c r="C54" s="739" t="str">
        <f>IF(Indice_index!$Z$1=1,"União Europeia","European Union")</f>
        <v>European Union</v>
      </c>
      <c r="D54" s="740">
        <v>3.6035249999999999</v>
      </c>
      <c r="E54" s="740">
        <v>2.1391460000000002</v>
      </c>
      <c r="F54" s="740">
        <v>3.6035249999999999</v>
      </c>
      <c r="G54" s="740">
        <v>2.1391460000000002</v>
      </c>
      <c r="H54" s="741">
        <f t="shared" si="15"/>
        <v>100</v>
      </c>
      <c r="I54" s="741">
        <f t="shared" si="21"/>
        <v>-40.63740365336718</v>
      </c>
      <c r="J54" s="741">
        <f t="shared" si="22"/>
        <v>-2.4837224917198903E-3</v>
      </c>
      <c r="K54" s="59"/>
    </row>
    <row r="55" spans="3:12" ht="15" customHeight="1">
      <c r="C55" s="739" t="str">
        <f>IF(Indice_index!$Z$1=1,"Outras transferências","Other transfers")</f>
        <v>Other transfers</v>
      </c>
      <c r="D55" s="740">
        <v>64.52267603</v>
      </c>
      <c r="E55" s="740">
        <v>69.690201000000002</v>
      </c>
      <c r="F55" s="740">
        <v>64.52267603</v>
      </c>
      <c r="G55" s="740">
        <v>61.221057490000007</v>
      </c>
      <c r="H55" s="741">
        <f t="shared" si="15"/>
        <v>87.84743997222796</v>
      </c>
      <c r="I55" s="741">
        <f t="shared" si="21"/>
        <v>-5.1169894727628717</v>
      </c>
      <c r="J55" s="741">
        <f t="shared" si="22"/>
        <v>-5.5998510132126787E-3</v>
      </c>
      <c r="K55" s="59"/>
    </row>
    <row r="56" spans="3:12" ht="15" customHeight="1">
      <c r="C56" s="736" t="str">
        <f>IF(Indice_index!$Z$1=1,"Outras despesas de capital","Other capital expenditure")</f>
        <v>Other capital expenditure</v>
      </c>
      <c r="D56" s="740">
        <v>12.270043529999999</v>
      </c>
      <c r="E56" s="740">
        <v>26.305923</v>
      </c>
      <c r="F56" s="740">
        <v>12.270043530000001</v>
      </c>
      <c r="G56" s="740">
        <v>33.948290550000003</v>
      </c>
      <c r="H56" s="752">
        <f t="shared" si="15"/>
        <v>129.05188899853468</v>
      </c>
      <c r="I56" s="752">
        <f t="shared" si="21"/>
        <v>176.67620303870265</v>
      </c>
      <c r="J56" s="741">
        <f t="shared" si="22"/>
        <v>3.6768315924110971E-2</v>
      </c>
      <c r="K56" s="59"/>
    </row>
    <row r="57" spans="3:12" ht="15" customHeight="1">
      <c r="C57" s="743" t="str">
        <f>IF(Indice_index!$Z$1=1,"Diferenças de consolidação","Consolidation differences")</f>
        <v>Consolidation differences</v>
      </c>
      <c r="D57" s="740">
        <v>0</v>
      </c>
      <c r="E57" s="740">
        <v>0</v>
      </c>
      <c r="F57" s="740">
        <v>0</v>
      </c>
      <c r="G57" s="740">
        <v>0</v>
      </c>
      <c r="H57" s="741"/>
      <c r="I57" s="741"/>
      <c r="J57" s="741"/>
      <c r="K57" s="59"/>
      <c r="L57" s="59"/>
    </row>
    <row r="58" spans="3:12" ht="4.5" customHeight="1">
      <c r="C58" s="736"/>
      <c r="D58" s="921"/>
      <c r="E58" s="921"/>
      <c r="F58" s="921"/>
      <c r="G58" s="921"/>
      <c r="H58" s="922"/>
      <c r="I58" s="922"/>
      <c r="J58" s="922"/>
      <c r="K58" s="59"/>
    </row>
    <row r="59" spans="3:12" s="279" customFormat="1" ht="15" customHeight="1">
      <c r="C59" s="746" t="str">
        <f>IF(Indice_index!$Z$1=1,"Despesa efetiva","Effective Expenditure")</f>
        <v>Effective Expenditure</v>
      </c>
      <c r="D59" s="923">
        <f t="shared" ref="D59:E59" si="25">+D34+D49</f>
        <v>58959.042521130003</v>
      </c>
      <c r="E59" s="923">
        <f t="shared" si="25"/>
        <v>60273.19885600001</v>
      </c>
      <c r="F59" s="923">
        <f>+F34+F49</f>
        <v>58959.042521130003</v>
      </c>
      <c r="G59" s="923">
        <f>+G34+G49</f>
        <v>59598.280671719978</v>
      </c>
      <c r="H59" s="747">
        <f>IFERROR(IF(G59/E59*100&lt;-500,"-",IF(G59/E59*100&gt;500,"-",G59/E59*100)),"-")</f>
        <v>98.880235001476365</v>
      </c>
      <c r="I59" s="747">
        <f>IFERROR((G59-F59)/F59*100,"-")</f>
        <v>1.0842071432229972</v>
      </c>
      <c r="J59" s="747"/>
      <c r="K59" s="281"/>
      <c r="L59" s="281"/>
    </row>
    <row r="60" spans="3:12" ht="4.5" customHeight="1">
      <c r="C60" s="924"/>
      <c r="D60" s="740"/>
      <c r="E60" s="740"/>
      <c r="F60" s="740"/>
      <c r="G60" s="740"/>
      <c r="H60" s="740"/>
      <c r="I60" s="740"/>
      <c r="J60" s="740"/>
      <c r="K60" s="59"/>
    </row>
    <row r="61" spans="3:12" s="279" customFormat="1" ht="15" customHeight="1">
      <c r="C61" s="746" t="str">
        <f>IF(Indice_index!$Z$1=1,"Saldo global","Overall Balance")</f>
        <v>Overall Balance</v>
      </c>
      <c r="D61" s="747">
        <f>+D32-D59</f>
        <v>-12204.47937387001</v>
      </c>
      <c r="E61" s="747">
        <f>+E32-E59</f>
        <v>-11816.588418000014</v>
      </c>
      <c r="F61" s="747">
        <f>+F32-F59</f>
        <v>-12204.47937387001</v>
      </c>
      <c r="G61" s="747">
        <f>+G32-G59</f>
        <v>-9590.5459616899898</v>
      </c>
      <c r="H61" s="747"/>
      <c r="I61" s="747"/>
      <c r="J61" s="747"/>
      <c r="K61" s="281"/>
    </row>
    <row r="62" spans="3:12" ht="4.5" customHeight="1">
      <c r="C62" s="925"/>
      <c r="D62" s="925"/>
      <c r="E62" s="925"/>
      <c r="F62" s="740"/>
      <c r="H62" s="740"/>
      <c r="I62" s="740"/>
      <c r="J62" s="740"/>
      <c r="K62" s="59"/>
    </row>
    <row r="63" spans="3:12" ht="15" customHeight="1">
      <c r="C63" s="736" t="str">
        <f>IF(Indice_index!$Z$1=1,"Despesa  primária","Primary Expenditure")</f>
        <v>Primary Expenditure</v>
      </c>
      <c r="D63" s="740">
        <f>+D59-D40</f>
        <v>52033.367352360001</v>
      </c>
      <c r="E63" s="740">
        <f>+E59-E40</f>
        <v>53675.20126300001</v>
      </c>
      <c r="F63" s="740">
        <f>+F59-F40</f>
        <v>52033.367352360001</v>
      </c>
      <c r="G63" s="740">
        <f>+G59-G40</f>
        <v>53217.452718649976</v>
      </c>
      <c r="H63" s="741">
        <f>IFERROR(IF(G63/E63*100&lt;-500,"-",IF(G63/E63*100&gt;500,"-",G63/E63*100)),"-")</f>
        <v>99.14718802430356</v>
      </c>
      <c r="I63" s="741">
        <f t="shared" ref="I63" si="26">IF(IFERROR((G63-F63)/F63*100,"")&gt;500,"-",IFERROR((G63-F63)/F63*100,""))</f>
        <v>2.2756270188542209</v>
      </c>
      <c r="J63" s="740"/>
      <c r="K63" s="63"/>
    </row>
    <row r="64" spans="3:12" ht="15" customHeight="1">
      <c r="C64" s="926" t="str">
        <f>IF(Indice_index!$Z$1=1,"Saldo corrente","Current balance")</f>
        <v>Current balance</v>
      </c>
      <c r="D64" s="740">
        <f>+D9-D34</f>
        <v>-9288.1386496400082</v>
      </c>
      <c r="E64" s="740">
        <f>+E9-E34</f>
        <v>-8338.5438450000147</v>
      </c>
      <c r="F64" s="740">
        <f>+F9-F34</f>
        <v>-9288.1386496400082</v>
      </c>
      <c r="G64" s="740">
        <f>+G9-G34</f>
        <v>-6440.7253258199853</v>
      </c>
      <c r="H64" s="741"/>
      <c r="I64" s="741"/>
      <c r="J64" s="740"/>
      <c r="K64" s="59"/>
    </row>
    <row r="65" spans="3:19" ht="15" customHeight="1">
      <c r="C65" s="927" t="str">
        <f>IF(Indice_index!$Z$1=1,"Saldo de capital","Capital balance")</f>
        <v>Capital balance</v>
      </c>
      <c r="D65" s="749">
        <f>+D22-D49</f>
        <v>-2916.3407242300009</v>
      </c>
      <c r="E65" s="749">
        <f>+E22-E49</f>
        <v>-3478.0445729999997</v>
      </c>
      <c r="F65" s="749">
        <f>+F22-F49</f>
        <v>-2916.3407242300009</v>
      </c>
      <c r="G65" s="749">
        <f>+G22-G49</f>
        <v>-3149.8206358699986</v>
      </c>
      <c r="H65" s="741"/>
      <c r="I65" s="741"/>
      <c r="J65" s="749"/>
      <c r="K65" s="59"/>
    </row>
    <row r="66" spans="3:19" ht="15" customHeight="1">
      <c r="C66" s="926" t="str">
        <f>IF(Indice_index!$Z$1=1,"Saldo primário","Primary balance")</f>
        <v>Primary balance</v>
      </c>
      <c r="D66" s="740">
        <f>+D61+D40</f>
        <v>-5278.804205100012</v>
      </c>
      <c r="E66" s="740">
        <f>+E61+E40</f>
        <v>-5218.5908250000139</v>
      </c>
      <c r="F66" s="740">
        <f>+F61+F40</f>
        <v>-5278.804205100012</v>
      </c>
      <c r="G66" s="740">
        <f>+G61+G40</f>
        <v>-3209.7180086199896</v>
      </c>
      <c r="H66" s="741"/>
      <c r="I66" s="741"/>
      <c r="J66" s="740"/>
      <c r="K66" s="59"/>
    </row>
    <row r="67" spans="3:19" ht="4.5" customHeight="1">
      <c r="C67" s="138"/>
      <c r="D67" s="749"/>
      <c r="E67" s="749"/>
      <c r="F67" s="749"/>
      <c r="G67" s="749"/>
      <c r="H67" s="749"/>
      <c r="I67" s="749"/>
      <c r="J67" s="749"/>
      <c r="K67" s="59"/>
    </row>
    <row r="68" spans="3:19" ht="15" customHeight="1">
      <c r="C68" s="138" t="str">
        <f>IF(Indice_index!$Z$1=1,"Ativos financeiros líquidos de reembolsos","Financial assets net of reimbursements")</f>
        <v>Financial assets net of reimbursements</v>
      </c>
      <c r="D68" s="740">
        <f>4741.28734439-D71-D70</f>
        <v>4585.45752429</v>
      </c>
      <c r="E68" s="740">
        <f>8658.527994-E71-E70</f>
        <v>7915.4558379999999</v>
      </c>
      <c r="F68" s="740">
        <f>4741.28734439-F71-F70</f>
        <v>4585.45752429</v>
      </c>
      <c r="G68" s="740">
        <f>4945.20684476-G71-G70</f>
        <v>4301.4743815300008</v>
      </c>
      <c r="H68" s="740"/>
      <c r="I68" s="740"/>
      <c r="J68" s="740"/>
      <c r="K68" s="59"/>
    </row>
    <row r="69" spans="3:19" ht="15" customHeight="1">
      <c r="C69" s="748" t="str">
        <f>IF(Indice_index!$Z$1=1,"dos quais Receitas de:","of which revenue from:")</f>
        <v>of which revenue from:</v>
      </c>
      <c r="D69" s="740"/>
      <c r="E69" s="740"/>
      <c r="F69" s="749"/>
      <c r="G69" s="740"/>
      <c r="H69" s="740"/>
      <c r="I69" s="740"/>
      <c r="J69" s="740"/>
      <c r="K69" s="59"/>
    </row>
    <row r="70" spans="3:19" ht="15" customHeight="1">
      <c r="C70" s="750" t="str">
        <f>IF(Indice_index!$Z$1=1,"Alienação de partes de Capital","Disposal of Capital Shares")</f>
        <v>Disposal of Capital Shares</v>
      </c>
      <c r="D70" s="749">
        <f>+'7 - R_Est'!D65</f>
        <v>0</v>
      </c>
      <c r="E70" s="749">
        <f>+'7 - R_Est'!E65</f>
        <v>0</v>
      </c>
      <c r="F70" s="749">
        <f>+'7 - R_Est'!F65</f>
        <v>0</v>
      </c>
      <c r="G70" s="749">
        <f>+'7 - R_Est'!G65</f>
        <v>1.3794E-4</v>
      </c>
      <c r="H70" s="741"/>
      <c r="I70" s="741" t="str">
        <f t="shared" ref="I70:I71" si="27">IF(IFERROR((G70-F70)/F70*100,"")&gt;500,"-",IFERROR((G70-F70)/F70*100,""))</f>
        <v>-</v>
      </c>
      <c r="J70" s="740"/>
      <c r="K70" s="59"/>
    </row>
    <row r="71" spans="3:19" ht="15" customHeight="1">
      <c r="C71" s="751" t="str">
        <f>IF(Indice_index!$Z$1=1,"Outros Ativos","Other Assets")</f>
        <v>Other Assets</v>
      </c>
      <c r="D71" s="749">
        <f>+'7 - R_Est'!D66</f>
        <v>155.82982010000001</v>
      </c>
      <c r="E71" s="749">
        <f>+'7 - R_Est'!E66</f>
        <v>743.07215599999995</v>
      </c>
      <c r="F71" s="749">
        <f>+'7 - R_Est'!F66</f>
        <v>155.82982010000001</v>
      </c>
      <c r="G71" s="749">
        <f>+'7 - R_Est'!G66</f>
        <v>643.73232529000006</v>
      </c>
      <c r="H71" s="752"/>
      <c r="I71" s="752">
        <f t="shared" si="27"/>
        <v>313.09957547079273</v>
      </c>
      <c r="J71" s="749"/>
      <c r="K71" s="59"/>
    </row>
    <row r="72" spans="3:19" ht="15" customHeight="1">
      <c r="C72" s="928" t="str">
        <f>IF(Indice_index!$Z$1=1,"Passivos financeiros líquidos de amortizações","Financial liabilities net of amortizations")</f>
        <v>Financial liabilities net of amortizations</v>
      </c>
      <c r="D72" s="929">
        <f>+'7 - R_Est'!D67-43190.5984953</f>
        <v>16791.773640450003</v>
      </c>
      <c r="E72" s="929">
        <f>+'7 - R_Est'!E67-88520</f>
        <v>19732.044255999994</v>
      </c>
      <c r="F72" s="929">
        <f>+'7 - R_Est'!F67-43190.5984953</f>
        <v>16791.773640450003</v>
      </c>
      <c r="G72" s="929">
        <f>+'7 - R_Est'!G67-49865.83276538</f>
        <v>12403.377167350001</v>
      </c>
      <c r="H72" s="929"/>
      <c r="I72" s="929"/>
      <c r="J72" s="929"/>
      <c r="K72" s="59"/>
    </row>
    <row r="73" spans="3:19" ht="4.5" customHeight="1">
      <c r="K73" s="59"/>
    </row>
    <row r="74" spans="3:19" ht="15" customHeight="1">
      <c r="C74" s="885" t="str">
        <f>IF(Indice_index!$Z$1=1,"Nota:","Note:")</f>
        <v>Note:</v>
      </c>
      <c r="K74" s="59"/>
    </row>
    <row r="75" spans="3:19" s="23" customFormat="1" ht="12.75" customHeight="1">
      <c r="C75" s="1582" t="str">
        <f>+'4 - Conta AC + SS'!$C$65</f>
        <v>2020 accumulated execution was updated with the final execution.</v>
      </c>
      <c r="D75" s="1582"/>
      <c r="E75" s="1582"/>
      <c r="F75" s="1582"/>
      <c r="G75" s="1582"/>
      <c r="H75" s="1582"/>
      <c r="I75" s="1582"/>
      <c r="J75" s="1582"/>
      <c r="K75" s="65"/>
      <c r="R75" s="25"/>
      <c r="S75" s="25"/>
    </row>
    <row r="76" spans="3:19" s="23" customFormat="1" ht="22.15" customHeight="1">
      <c r="C76" s="1583" t="str">
        <f>IF(Indice_index!$Z$1=1,C86,C87)</f>
        <v>Due to technical reasons,  the budget implementation data regarding the Army for December 2021, was not fully transposed from the local to the central budget information systems. The required information was later sent by the aforementioned entitie or the respective coordinating entity.</v>
      </c>
      <c r="D76" s="1583"/>
      <c r="E76" s="1583"/>
      <c r="F76" s="1583"/>
      <c r="G76" s="1583"/>
      <c r="H76" s="1583"/>
      <c r="I76" s="1583"/>
      <c r="J76" s="1583"/>
      <c r="K76" s="65"/>
      <c r="R76" s="25"/>
      <c r="S76" s="25"/>
    </row>
    <row r="77" spans="3:19" s="23" customFormat="1" ht="4.5" customHeight="1">
      <c r="C77" s="914"/>
      <c r="D77" s="914"/>
      <c r="E77" s="914"/>
      <c r="F77" s="914"/>
      <c r="G77" s="914"/>
      <c r="H77" s="914"/>
      <c r="I77" s="914"/>
      <c r="J77" s="914"/>
      <c r="K77" s="65"/>
      <c r="R77" s="25"/>
      <c r="S77" s="25"/>
    </row>
    <row r="78" spans="3:19" ht="15" customHeight="1">
      <c r="C78" s="138" t="str">
        <f>IF(Indice_index!$Z$1=1,"Fonte: Direção-Geral do Orçamento","Source: Budget General Directorate")</f>
        <v>Source: Budget General Directorate</v>
      </c>
      <c r="D78" s="138"/>
      <c r="E78" s="138"/>
      <c r="F78" s="561"/>
    </row>
    <row r="79" spans="3:19">
      <c r="F79" s="561"/>
      <c r="G79" s="60"/>
    </row>
    <row r="80" spans="3:19" s="399" customFormat="1" ht="11.25" customHeight="1">
      <c r="C80" s="562"/>
      <c r="D80" s="562"/>
      <c r="E80" s="562"/>
      <c r="F80" s="392"/>
      <c r="G80" s="392"/>
    </row>
    <row r="81" spans="2:7" s="104" customFormat="1">
      <c r="C81" s="108"/>
      <c r="D81" s="108"/>
      <c r="E81" s="108"/>
      <c r="G81" s="392"/>
    </row>
    <row r="82" spans="2:7" s="104" customFormat="1">
      <c r="C82" s="108"/>
      <c r="D82" s="108"/>
      <c r="E82" s="108"/>
      <c r="G82" s="392"/>
    </row>
    <row r="83" spans="2:7" s="104" customFormat="1">
      <c r="C83" s="108"/>
      <c r="D83" s="108"/>
      <c r="E83" s="108"/>
      <c r="G83" s="392"/>
    </row>
    <row r="84" spans="2:7" s="104" customFormat="1">
      <c r="C84" s="108"/>
      <c r="D84" s="108"/>
      <c r="E84" s="108"/>
      <c r="G84" s="392"/>
    </row>
    <row r="85" spans="2:7" s="104" customFormat="1">
      <c r="C85" s="108"/>
      <c r="D85" s="108"/>
      <c r="E85" s="108"/>
      <c r="G85" s="392"/>
    </row>
    <row r="86" spans="2:7" s="102" customFormat="1">
      <c r="C86" s="371" t="s">
        <v>105</v>
      </c>
      <c r="D86" s="371"/>
      <c r="E86" s="371"/>
      <c r="G86" s="578"/>
    </row>
    <row r="87" spans="2:7" s="102" customFormat="1">
      <c r="C87" s="371" t="s">
        <v>106</v>
      </c>
      <c r="D87" s="371"/>
      <c r="E87" s="371"/>
      <c r="G87" s="578"/>
    </row>
    <row r="88" spans="2:7" s="104" customFormat="1">
      <c r="C88" s="371"/>
      <c r="D88" s="108"/>
      <c r="E88" s="108"/>
      <c r="F88" s="392"/>
      <c r="G88" s="392"/>
    </row>
    <row r="89" spans="2:7" s="104" customFormat="1">
      <c r="C89" s="371"/>
      <c r="D89" s="108"/>
      <c r="E89" s="108"/>
      <c r="G89" s="392"/>
    </row>
    <row r="90" spans="2:7" s="104" customFormat="1">
      <c r="C90" s="108"/>
      <c r="D90" s="108"/>
      <c r="E90" s="108"/>
      <c r="G90" s="392"/>
    </row>
    <row r="91" spans="2:7" s="104" customFormat="1">
      <c r="C91" s="108"/>
      <c r="D91" s="108"/>
      <c r="E91" s="108"/>
      <c r="G91" s="392"/>
    </row>
    <row r="92" spans="2:7" s="104" customFormat="1">
      <c r="C92" s="108"/>
      <c r="D92" s="108"/>
      <c r="E92" s="108"/>
      <c r="G92" s="392"/>
    </row>
    <row r="93" spans="2:7" s="104" customFormat="1">
      <c r="C93" s="108"/>
      <c r="D93" s="108"/>
      <c r="E93" s="108"/>
      <c r="G93" s="392"/>
    </row>
    <row r="94" spans="2:7" s="104" customFormat="1">
      <c r="C94" s="108"/>
      <c r="D94" s="108"/>
      <c r="E94" s="108"/>
      <c r="G94" s="392"/>
    </row>
    <row r="95" spans="2:7" s="108" customFormat="1">
      <c r="B95" s="104"/>
      <c r="F95" s="104"/>
      <c r="G95" s="392"/>
    </row>
    <row r="96" spans="2:7" s="108" customFormat="1">
      <c r="B96" s="104"/>
      <c r="C96" s="505"/>
      <c r="F96" s="104"/>
      <c r="G96" s="392"/>
    </row>
    <row r="97" spans="3:7" s="104" customFormat="1">
      <c r="C97" s="108"/>
      <c r="D97" s="108"/>
      <c r="E97" s="108"/>
      <c r="G97" s="392"/>
    </row>
    <row r="98" spans="3:7">
      <c r="G98" s="60"/>
    </row>
    <row r="99" spans="3:7">
      <c r="G99" s="60"/>
    </row>
    <row r="100" spans="3:7">
      <c r="G100" s="60"/>
    </row>
    <row r="101" spans="3:7">
      <c r="G101" s="60"/>
    </row>
    <row r="102" spans="3:7">
      <c r="G102" s="60"/>
    </row>
    <row r="103" spans="3:7">
      <c r="G103" s="60"/>
    </row>
    <row r="104" spans="3:7">
      <c r="G104" s="60"/>
    </row>
    <row r="105" spans="3:7">
      <c r="G105" s="60"/>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D6:E6 I6" unlockedFormula="1"/>
    <ignoredError sqref="D35 D41 F49:G49 D51 F35:G35 F41:G41 F51:G51 E35 E41 E49 E51" formulaRange="1"/>
    <ignoredError sqref="D7:E7 F7:H7" numberStoredAsText="1"/>
    <ignoredError sqref="I7:J7"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2"/>
  <dimension ref="B1:P96"/>
  <sheetViews>
    <sheetView showGridLines="0" zoomScaleNormal="100" zoomScaleSheetLayoutView="100" workbookViewId="0">
      <selection activeCell="B2" sqref="B2"/>
    </sheetView>
  </sheetViews>
  <sheetFormatPr defaultColWidth="9.140625" defaultRowHeight="11.25"/>
  <cols>
    <col min="1" max="1" width="3" style="66" customWidth="1"/>
    <col min="2" max="2" width="4.42578125" style="66" customWidth="1"/>
    <col min="3" max="3" width="43.42578125" style="66" customWidth="1"/>
    <col min="4" max="4" width="9.42578125" style="66" hidden="1" customWidth="1"/>
    <col min="5" max="10" width="9.42578125" style="66" customWidth="1"/>
    <col min="11" max="11" width="8.5703125" style="66" customWidth="1"/>
    <col min="12" max="12" width="13.85546875" style="66" customWidth="1"/>
    <col min="13" max="16384" width="9.140625" style="66"/>
  </cols>
  <sheetData>
    <row r="1" spans="2:16" s="52" customFormat="1" ht="15" customHeight="1">
      <c r="B1" s="51"/>
      <c r="C1" s="51"/>
      <c r="D1" s="51"/>
      <c r="E1" s="51"/>
    </row>
    <row r="2" spans="2:16" ht="24" customHeight="1">
      <c r="B2" s="8"/>
      <c r="C2" s="53" t="str">
        <f>IF(Indice_index!$Z$1=1,"7 - Receita do Estado","7 - State Revenue")</f>
        <v>7 - State Revenue</v>
      </c>
      <c r="D2" s="53"/>
      <c r="E2" s="53"/>
      <c r="F2" s="53"/>
      <c r="G2" s="53"/>
      <c r="H2" s="53"/>
      <c r="I2" s="53"/>
      <c r="J2" s="53"/>
      <c r="K2" s="54"/>
    </row>
    <row r="3" spans="2:16" ht="15" customHeight="1">
      <c r="C3" s="67"/>
      <c r="D3" s="67"/>
      <c r="E3" s="67"/>
      <c r="F3" s="67"/>
      <c r="G3" s="67"/>
      <c r="H3" s="67"/>
      <c r="I3" s="67"/>
    </row>
    <row r="4" spans="2:16" ht="15" customHeight="1">
      <c r="C4" s="68"/>
      <c r="D4" s="68"/>
      <c r="E4" s="68"/>
      <c r="F4" s="67"/>
      <c r="G4" s="67"/>
      <c r="H4" s="67"/>
      <c r="I4" s="67"/>
    </row>
    <row r="5" spans="2:16" s="285" customFormat="1" ht="15" customHeight="1">
      <c r="C5" s="699" t="str">
        <f>+'4 - Conta AC + SS'!C5</f>
        <v>Period: January to December</v>
      </c>
      <c r="D5" s="699"/>
      <c r="E5" s="699"/>
      <c r="F5" s="700"/>
      <c r="G5" s="279"/>
      <c r="H5" s="279"/>
      <c r="I5" s="279"/>
      <c r="J5" s="701" t="str">
        <f>IF(Indice_index!$Z$1=1,"€ Milhões","€ Millions")</f>
        <v>€ Millions</v>
      </c>
      <c r="K5" s="280"/>
    </row>
    <row r="6" spans="2:16" ht="33" customHeight="1">
      <c r="C6" s="702"/>
      <c r="D6" s="703" t="str">
        <f>IF(Indice_index!$Z$1=1,"CGE","Final execution")</f>
        <v>Final execution</v>
      </c>
      <c r="E6" s="703" t="str">
        <f>IF(Indice_index!$Z$1=1,"Orçamento Inicial","Budget")</f>
        <v>Budget</v>
      </c>
      <c r="F6" s="1591" t="str">
        <f>IF(Indice_index!$Z$1=1,"Execução","Execution")</f>
        <v>Execution</v>
      </c>
      <c r="G6" s="1592" t="str">
        <f>IF(Indice_index!$Z$1=1,"Execução","Execution")</f>
        <v>Execution</v>
      </c>
      <c r="H6" s="703" t="str">
        <f>IF(Indice_index!$Z$1=1,"Grau de Execução (%)","Execution Degree (%)")</f>
        <v>Execution Degree (%)</v>
      </c>
      <c r="I6" s="1587" t="str">
        <f>IF(Indice_index!$Z$1=1,"Variação Homóloga","YOY Change Rate")</f>
        <v>YOY Change Rate</v>
      </c>
      <c r="J6" s="1588"/>
      <c r="K6" s="57"/>
    </row>
    <row r="7" spans="2:16" ht="31.5" customHeight="1">
      <c r="C7" s="704"/>
      <c r="D7" s="705" t="s">
        <v>66</v>
      </c>
      <c r="E7" s="705" t="s">
        <v>83</v>
      </c>
      <c r="F7" s="706" t="s">
        <v>66</v>
      </c>
      <c r="G7" s="707" t="s">
        <v>83</v>
      </c>
      <c r="H7" s="708" t="s">
        <v>83</v>
      </c>
      <c r="I7" s="709" t="str">
        <f>IF(Indice_index!$Z$1=1,"Relativa (%)","Relative change (%)")</f>
        <v>Relative change (%)</v>
      </c>
      <c r="J7" s="710" t="str">
        <f>IF(Indice_index!$Z$1=1,"Contributo VH  (p.p.)","YOY Change Rate Contrib. (p.p.)")</f>
        <v>YOY Change Rate Contrib. (p.p.)</v>
      </c>
      <c r="K7" s="57"/>
    </row>
    <row r="8" spans="2:16" ht="4.5" customHeight="1">
      <c r="C8" s="69"/>
      <c r="D8" s="69"/>
      <c r="E8" s="69"/>
      <c r="F8" s="711"/>
      <c r="G8" s="711"/>
      <c r="H8" s="711"/>
      <c r="I8" s="711"/>
      <c r="J8" s="69"/>
      <c r="K8" s="69"/>
    </row>
    <row r="9" spans="2:16" s="285" customFormat="1" ht="15" customHeight="1">
      <c r="C9" s="712" t="str">
        <f>IF(Indice_index!$Z$1=1,"Receita fiscal","Tax revenue")</f>
        <v>Tax revenue</v>
      </c>
      <c r="D9" s="286">
        <f>SUM(D10,D14)</f>
        <v>43222.305527409997</v>
      </c>
      <c r="E9" s="286">
        <f>SUM(E10,E14)</f>
        <v>43866.889603999996</v>
      </c>
      <c r="F9" s="286">
        <f>SUM(F10,F14)</f>
        <v>43222.305527409997</v>
      </c>
      <c r="G9" s="286">
        <f>SUM(G10,G14)</f>
        <v>45524.928779729998</v>
      </c>
      <c r="H9" s="286">
        <f>IFERROR(IF(G9/E9*100&lt;-500,"-",IF(G9/E9*100&gt;500,"-",G9/E9*100)),"-")</f>
        <v>103.77970535567403</v>
      </c>
      <c r="I9" s="286">
        <f t="shared" ref="I9:I22" si="0">IF(IFERROR((G9-F9)/F9*100,"")&gt;500,"-",IFERROR((G9-F9)/F9*100,""))</f>
        <v>5.327395714371975</v>
      </c>
      <c r="J9" s="286">
        <f t="shared" ref="J9:J22" si="1">IFERROR((G9-F9)/$F$62*100,"-")</f>
        <v>4.9249166227210157</v>
      </c>
      <c r="K9" s="286"/>
      <c r="L9" s="287"/>
      <c r="M9" s="281"/>
      <c r="N9" s="281"/>
      <c r="O9" s="281"/>
      <c r="P9" s="281"/>
    </row>
    <row r="10" spans="2:16" ht="15" customHeight="1">
      <c r="C10" s="713" t="str">
        <f>IF(Indice_index!$Z$1=1,"Impostos Diretos","Direct taxes")</f>
        <v>Direct taxes</v>
      </c>
      <c r="D10" s="74">
        <f>SUM(D11:D13)</f>
        <v>19153.90182295</v>
      </c>
      <c r="E10" s="74">
        <f>SUM(E11:E13)</f>
        <v>19051.553057999998</v>
      </c>
      <c r="F10" s="74">
        <f t="shared" ref="F10:G10" si="2">SUM(F11:F13)</f>
        <v>19153.90182295</v>
      </c>
      <c r="G10" s="74">
        <f t="shared" si="2"/>
        <v>19954.71988601</v>
      </c>
      <c r="H10" s="74">
        <f t="shared" ref="H10:H60" si="3">IFERROR(IF(G10/E10*100&lt;-500,"-",IF(G10/E10*100&gt;500,"-",G10/E10*100)),"-")</f>
        <v>104.74064673499545</v>
      </c>
      <c r="I10" s="714">
        <f t="shared" si="0"/>
        <v>4.1809656876306445</v>
      </c>
      <c r="J10" s="71">
        <f t="shared" si="1"/>
        <v>1.7128126307965112</v>
      </c>
      <c r="K10" s="71"/>
      <c r="L10" s="72"/>
      <c r="M10" s="68"/>
      <c r="N10" s="68"/>
      <c r="O10" s="68"/>
      <c r="P10" s="68"/>
    </row>
    <row r="11" spans="2:16" ht="15" customHeight="1">
      <c r="C11" s="715" t="str">
        <f>IF(Indice_index!$Z$1=1,"Imposto sobre o Rendimento Pessoas Singulares (IRS)","Personal income tax (IRS)")</f>
        <v>Personal income tax (IRS)</v>
      </c>
      <c r="D11" s="74">
        <v>13562.0669636</v>
      </c>
      <c r="E11" s="74">
        <v>13420.4</v>
      </c>
      <c r="F11" s="74">
        <v>13562.0669636</v>
      </c>
      <c r="G11" s="74">
        <v>14541.01525192</v>
      </c>
      <c r="H11" s="74">
        <f>IFERROR(IF(G11/E11*100&lt;-500,"-",IF(G11/E11*100&gt;500,"-",G11/E11*100)),"-")</f>
        <v>108.35008831271796</v>
      </c>
      <c r="I11" s="714">
        <f t="shared" si="0"/>
        <v>7.2182823676321215</v>
      </c>
      <c r="J11" s="71">
        <f t="shared" si="1"/>
        <v>2.0938026631468381</v>
      </c>
      <c r="K11" s="71"/>
      <c r="L11" s="72"/>
      <c r="M11" s="68"/>
      <c r="N11" s="68"/>
      <c r="O11" s="68"/>
      <c r="P11" s="68"/>
    </row>
    <row r="12" spans="2:16" ht="15" customHeight="1">
      <c r="C12" s="715" t="str">
        <f>IF(Indice_index!$Z$1=1,"Imposto sobre o Rendimento Pessoas Coletivas (IRC)","Corporate income tax (IRC)")</f>
        <v>Corporate income tax (IRC)</v>
      </c>
      <c r="D12" s="74">
        <v>5053.3800642599999</v>
      </c>
      <c r="E12" s="74">
        <v>5134.3999999999996</v>
      </c>
      <c r="F12" s="74">
        <v>5053.3800642599999</v>
      </c>
      <c r="G12" s="74">
        <v>4924.0304615300001</v>
      </c>
      <c r="H12" s="74">
        <f t="shared" si="3"/>
        <v>95.902743485704278</v>
      </c>
      <c r="I12" s="714">
        <f t="shared" si="0"/>
        <v>-2.5596650377600545</v>
      </c>
      <c r="J12" s="71">
        <f t="shared" si="1"/>
        <v>-0.27665663846028299</v>
      </c>
      <c r="K12" s="71"/>
      <c r="L12" s="68"/>
      <c r="M12" s="68"/>
      <c r="N12" s="68"/>
      <c r="O12" s="68"/>
      <c r="P12" s="68"/>
    </row>
    <row r="13" spans="2:16" ht="15" customHeight="1">
      <c r="C13" s="715" t="str">
        <f>IF(Indice_index!$Z$1=1,"Outros","Others")</f>
        <v>Others</v>
      </c>
      <c r="D13" s="74">
        <v>538.45479508999995</v>
      </c>
      <c r="E13" s="74">
        <v>496.75305800000001</v>
      </c>
      <c r="F13" s="74">
        <v>538.45479508999995</v>
      </c>
      <c r="G13" s="74">
        <v>489.67417255999999</v>
      </c>
      <c r="H13" s="74">
        <f t="shared" si="3"/>
        <v>98.574968925505829</v>
      </c>
      <c r="I13" s="714">
        <f t="shared" si="0"/>
        <v>-9.0593719240343145</v>
      </c>
      <c r="J13" s="71">
        <f t="shared" si="1"/>
        <v>-0.10433339389004366</v>
      </c>
      <c r="K13" s="71"/>
      <c r="L13" s="68"/>
      <c r="M13" s="68"/>
      <c r="N13" s="68"/>
      <c r="O13" s="68"/>
      <c r="P13" s="68"/>
    </row>
    <row r="14" spans="2:16" ht="15" customHeight="1">
      <c r="C14" s="713" t="str">
        <f>IF(Indice_index!$Z$1=1,"Impostos Indiretos","Indirect taxes")</f>
        <v>Indirect taxes</v>
      </c>
      <c r="D14" s="74">
        <f>SUM(D15:D22)</f>
        <v>24068.403704459997</v>
      </c>
      <c r="E14" s="74">
        <f>SUM(E15:E22)</f>
        <v>24815.336545999999</v>
      </c>
      <c r="F14" s="74">
        <f t="shared" ref="F14:G14" si="4">SUM(F15:F22)</f>
        <v>24068.403704459997</v>
      </c>
      <c r="G14" s="74">
        <f t="shared" si="4"/>
        <v>25570.208893719999</v>
      </c>
      <c r="H14" s="74">
        <f t="shared" si="3"/>
        <v>103.04195893664669</v>
      </c>
      <c r="I14" s="714">
        <f t="shared" si="0"/>
        <v>6.2397374071871221</v>
      </c>
      <c r="J14" s="71">
        <f t="shared" si="1"/>
        <v>3.2121039919245047</v>
      </c>
      <c r="K14" s="71"/>
      <c r="L14" s="68"/>
      <c r="M14" s="68"/>
      <c r="N14" s="68"/>
      <c r="O14" s="68"/>
      <c r="P14" s="68"/>
    </row>
    <row r="15" spans="2:16" ht="15" customHeight="1">
      <c r="C15" s="715" t="str">
        <f>IF(Indice_index!$Z$1=1,"Imposto sobre os produtos petrolíferos e energéticos (ISP)","Tax on oil and energy products (ISP)")</f>
        <v>Tax on oil and energy products (ISP)</v>
      </c>
      <c r="D15" s="74">
        <v>3345.82269318</v>
      </c>
      <c r="E15" s="74">
        <v>3402.5</v>
      </c>
      <c r="F15" s="74">
        <v>3345.82269318</v>
      </c>
      <c r="G15" s="74">
        <v>3363.7606698200002</v>
      </c>
      <c r="H15" s="74">
        <f t="shared" si="3"/>
        <v>98.861445108596627</v>
      </c>
      <c r="I15" s="714">
        <f t="shared" si="0"/>
        <v>0.53613052109916992</v>
      </c>
      <c r="J15" s="71">
        <f t="shared" si="1"/>
        <v>3.8366258676189674E-2</v>
      </c>
      <c r="K15" s="71"/>
      <c r="L15" s="68"/>
      <c r="M15" s="68"/>
      <c r="N15" s="68"/>
      <c r="O15" s="68"/>
      <c r="P15" s="68"/>
    </row>
    <row r="16" spans="2:16" ht="15" customHeight="1">
      <c r="C16" s="715" t="str">
        <f>IF(Indice_index!$Z$1=1,"Imposto sobre o Valor Acrescentado (IVA)","Value-added tax (IVA)")</f>
        <v>Value-added tax (IVA)</v>
      </c>
      <c r="D16" s="74">
        <v>16367.21358457</v>
      </c>
      <c r="E16" s="74">
        <v>16999.5</v>
      </c>
      <c r="F16" s="74">
        <v>16367.21358457</v>
      </c>
      <c r="G16" s="74">
        <v>17664.348465719999</v>
      </c>
      <c r="H16" s="74">
        <f t="shared" si="3"/>
        <v>103.91098835683401</v>
      </c>
      <c r="I16" s="714">
        <f t="shared" si="0"/>
        <v>7.9252028724844052</v>
      </c>
      <c r="J16" s="71">
        <f t="shared" si="1"/>
        <v>2.7743492695343828</v>
      </c>
      <c r="K16" s="71"/>
      <c r="L16" s="68"/>
      <c r="M16" s="68"/>
      <c r="N16" s="68"/>
      <c r="O16" s="68"/>
      <c r="P16" s="68"/>
    </row>
    <row r="17" spans="3:16" ht="15" customHeight="1">
      <c r="C17" s="715" t="str">
        <f>IF(Indice_index!$Z$1=1,"Imposto sobre Veículos (ISV)","Tax on vehicles (ISV)")</f>
        <v>Tax on vehicles (ISV)</v>
      </c>
      <c r="D17" s="74">
        <v>438.25107006000002</v>
      </c>
      <c r="E17" s="74">
        <v>457.7</v>
      </c>
      <c r="F17" s="74">
        <v>438.25107006000002</v>
      </c>
      <c r="G17" s="74">
        <v>423.28431731000001</v>
      </c>
      <c r="H17" s="74">
        <f t="shared" si="3"/>
        <v>92.480733517587936</v>
      </c>
      <c r="I17" s="714">
        <f t="shared" si="0"/>
        <v>-3.4151092313250815</v>
      </c>
      <c r="J17" s="71">
        <f t="shared" si="1"/>
        <v>-3.201131984242938E-2</v>
      </c>
      <c r="K17" s="71"/>
      <c r="L17" s="68"/>
      <c r="M17" s="68"/>
      <c r="N17" s="68"/>
      <c r="O17" s="68"/>
      <c r="P17" s="68"/>
    </row>
    <row r="18" spans="3:16" ht="15" customHeight="1">
      <c r="C18" s="715" t="str">
        <f>IF(Indice_index!$Z$1=1,"Imposto de consumo sobre o tabaco","Tax on tobacco")</f>
        <v>Tax on tobacco</v>
      </c>
      <c r="D18" s="74">
        <v>1422.06845421</v>
      </c>
      <c r="E18" s="74">
        <v>1400</v>
      </c>
      <c r="F18" s="74">
        <v>1422.06845421</v>
      </c>
      <c r="G18" s="74">
        <v>1413.6392306600001</v>
      </c>
      <c r="H18" s="74">
        <f t="shared" si="3"/>
        <v>100.97423076142857</v>
      </c>
      <c r="I18" s="714">
        <f t="shared" si="0"/>
        <v>-0.59274386721999517</v>
      </c>
      <c r="J18" s="71">
        <f t="shared" si="1"/>
        <v>-1.8028664974263475E-2</v>
      </c>
      <c r="K18" s="71"/>
      <c r="L18" s="68"/>
      <c r="M18" s="68"/>
      <c r="N18" s="68"/>
      <c r="O18" s="68"/>
      <c r="P18" s="68"/>
    </row>
    <row r="19" spans="3:16" ht="15" customHeight="1">
      <c r="C19" s="715" t="str">
        <f>IF(Indice_index!$Z$1=1,"Imposto sobre álcool e bebidas alcoólicas (IABA)","Tax on alcoholic beverages (IABA)")</f>
        <v>Tax on alcoholic beverages (IABA)</v>
      </c>
      <c r="D19" s="74">
        <v>232.95137947000001</v>
      </c>
      <c r="E19" s="74">
        <v>241.6</v>
      </c>
      <c r="F19" s="74">
        <v>232.95137947000001</v>
      </c>
      <c r="G19" s="74">
        <v>257.58492417000002</v>
      </c>
      <c r="H19" s="74">
        <f t="shared" si="3"/>
        <v>106.61627656043046</v>
      </c>
      <c r="I19" s="714">
        <f t="shared" si="0"/>
        <v>10.574543390146516</v>
      </c>
      <c r="J19" s="71">
        <f t="shared" si="1"/>
        <v>5.2686931588716256E-2</v>
      </c>
      <c r="K19" s="71"/>
      <c r="L19" s="68"/>
      <c r="M19" s="68"/>
      <c r="N19" s="68"/>
      <c r="O19" s="68"/>
      <c r="P19" s="68"/>
    </row>
    <row r="20" spans="3:16" ht="15" customHeight="1">
      <c r="C20" s="715" t="str">
        <f>IF(Indice_index!$Z$1=1,"Imposto do selo","Stamp tax")</f>
        <v>Stamp tax</v>
      </c>
      <c r="D20" s="74">
        <v>1616.4025440400001</v>
      </c>
      <c r="E20" s="74">
        <v>1633.4</v>
      </c>
      <c r="F20" s="74">
        <v>1616.4025440400001</v>
      </c>
      <c r="G20" s="74">
        <v>1776.68289125</v>
      </c>
      <c r="H20" s="74">
        <f t="shared" si="3"/>
        <v>108.77206386984204</v>
      </c>
      <c r="I20" s="714">
        <f t="shared" si="0"/>
        <v>9.915868284233138</v>
      </c>
      <c r="J20" s="71">
        <f t="shared" si="1"/>
        <v>0.3428122014640041</v>
      </c>
      <c r="K20" s="71"/>
      <c r="L20" s="68"/>
      <c r="M20" s="68"/>
      <c r="N20" s="68"/>
      <c r="O20" s="68"/>
      <c r="P20" s="68"/>
    </row>
    <row r="21" spans="3:16" ht="15" customHeight="1">
      <c r="C21" s="715" t="str">
        <f>IF(Indice_index!$Z$1=1,"Imposto Único de Circulação (IUC)","Tax on vehicle circulation (IUC)")</f>
        <v>Tax on vehicle circulation (IUC)</v>
      </c>
      <c r="D21" s="74">
        <v>396.13182812999997</v>
      </c>
      <c r="E21" s="74">
        <v>396.60000100000002</v>
      </c>
      <c r="F21" s="74">
        <v>396.13182812999997</v>
      </c>
      <c r="G21" s="74">
        <v>400.92477571000001</v>
      </c>
      <c r="H21" s="74">
        <f t="shared" si="3"/>
        <v>101.09046260693277</v>
      </c>
      <c r="I21" s="714">
        <f t="shared" si="0"/>
        <v>1.2099375106074823</v>
      </c>
      <c r="J21" s="71">
        <f t="shared" si="1"/>
        <v>1.0251293686359506E-2</v>
      </c>
      <c r="K21" s="71"/>
      <c r="L21" s="68"/>
      <c r="M21" s="68"/>
      <c r="N21" s="68"/>
      <c r="O21" s="68"/>
      <c r="P21" s="68"/>
    </row>
    <row r="22" spans="3:16" ht="15" customHeight="1">
      <c r="C22" s="715" t="str">
        <f>IF(Indice_index!$Z$1=1,"Outros","Others")</f>
        <v>Others</v>
      </c>
      <c r="D22" s="74">
        <v>249.56215079999998</v>
      </c>
      <c r="E22" s="74">
        <v>284.0365450000001</v>
      </c>
      <c r="F22" s="74">
        <v>249.56215079999998</v>
      </c>
      <c r="G22" s="74">
        <v>269.98361908000004</v>
      </c>
      <c r="H22" s="74">
        <f t="shared" si="3"/>
        <v>95.052423299966534</v>
      </c>
      <c r="I22" s="714">
        <f t="shared" si="0"/>
        <v>8.1829188498883774</v>
      </c>
      <c r="J22" s="71">
        <f t="shared" si="1"/>
        <v>4.367802179154108E-2</v>
      </c>
      <c r="K22" s="71"/>
      <c r="L22" s="68"/>
      <c r="M22" s="68"/>
      <c r="N22" s="68"/>
      <c r="O22" s="68"/>
      <c r="P22" s="68"/>
    </row>
    <row r="23" spans="3:16" ht="4.5" customHeight="1">
      <c r="C23" s="715"/>
      <c r="D23" s="74"/>
      <c r="E23" s="74"/>
      <c r="F23" s="74"/>
      <c r="G23" s="74"/>
      <c r="H23" s="74"/>
      <c r="I23" s="716"/>
      <c r="J23" s="71"/>
      <c r="K23" s="71"/>
      <c r="L23" s="68"/>
      <c r="M23" s="68"/>
      <c r="N23" s="68"/>
      <c r="O23" s="68"/>
      <c r="P23" s="68"/>
    </row>
    <row r="24" spans="3:16" s="285" customFormat="1" ht="15" customHeight="1">
      <c r="C24" s="712" t="str">
        <f>IF(Indice_index!$Z$1=1,"Contribuições para Segurança Social, CGA e ADSE","Social security, CGA and ADSE contributions")</f>
        <v>Social security, CGA and ADSE contributions</v>
      </c>
      <c r="D24" s="286">
        <f>SUM(D25:D26)</f>
        <v>64.415744000000004</v>
      </c>
      <c r="E24" s="286">
        <f>SUM(E25:E26)</f>
        <v>65.183119000000005</v>
      </c>
      <c r="F24" s="286">
        <f>SUM(F25:F26)</f>
        <v>64.415744000000004</v>
      </c>
      <c r="G24" s="286">
        <f>SUM(G25:G26)</f>
        <v>66.578526589999996</v>
      </c>
      <c r="H24" s="286">
        <f t="shared" si="3"/>
        <v>102.1407499539873</v>
      </c>
      <c r="I24" s="286">
        <f>IF(IFERROR((G24-F24)/F24*100,"")&gt;500,"-",IFERROR((G24-F24)/F24*100,""))</f>
        <v>3.3575372349964501</v>
      </c>
      <c r="J24" s="286">
        <f>IFERROR((G24-F24)/$F$62*100,"-")</f>
        <v>4.6258214052562266E-3</v>
      </c>
      <c r="K24" s="286"/>
      <c r="L24" s="281"/>
      <c r="M24" s="281"/>
      <c r="N24" s="281"/>
      <c r="O24" s="281"/>
      <c r="P24" s="281"/>
    </row>
    <row r="25" spans="3:16" ht="15" customHeight="1">
      <c r="C25" s="715" t="str">
        <f>IF(Indice_index!$Z$1=1,"Comparticipações para a ADSE","ADSE co-payments")</f>
        <v>ADSE co-payments</v>
      </c>
      <c r="D25" s="74">
        <v>0</v>
      </c>
      <c r="E25" s="74">
        <v>0</v>
      </c>
      <c r="F25" s="74">
        <v>0</v>
      </c>
      <c r="G25" s="74">
        <v>0</v>
      </c>
      <c r="H25" s="717" t="str">
        <f t="shared" si="3"/>
        <v>-</v>
      </c>
      <c r="I25" s="716" t="str">
        <f>IF(IFERROR((G25-F25)/F25*100,"")&gt;500,"-",IFERROR((G25-F25)/F25*100,""))</f>
        <v>-</v>
      </c>
      <c r="J25" s="71">
        <f>IFERROR((G25-F25)/$F$62*100,"-")</f>
        <v>0</v>
      </c>
      <c r="K25" s="71"/>
      <c r="L25" s="68"/>
      <c r="M25" s="68"/>
      <c r="N25" s="68"/>
      <c r="O25" s="68"/>
      <c r="P25" s="68"/>
    </row>
    <row r="26" spans="3:16" ht="15" customHeight="1">
      <c r="C26" s="715" t="str">
        <f>IF(Indice_index!$Z$1=1,"Outros","Others")</f>
        <v>Others</v>
      </c>
      <c r="D26" s="74">
        <v>64.415744000000004</v>
      </c>
      <c r="E26" s="74">
        <v>65.183119000000005</v>
      </c>
      <c r="F26" s="74">
        <v>64.415744000000004</v>
      </c>
      <c r="G26" s="74">
        <v>66.578526589999996</v>
      </c>
      <c r="H26" s="74">
        <f t="shared" si="3"/>
        <v>102.1407499539873</v>
      </c>
      <c r="I26" s="716">
        <f>IF(IFERROR((G26-F26)/F26*100,"")&gt;500,"-",IFERROR((G26-F26)/F26*100,""))</f>
        <v>3.3575372349964501</v>
      </c>
      <c r="J26" s="71">
        <f>IFERROR((G26-F26)/$F$62*100,"-")</f>
        <v>4.6258214052562266E-3</v>
      </c>
      <c r="K26" s="71"/>
      <c r="M26" s="68"/>
      <c r="N26" s="68"/>
      <c r="O26" s="68"/>
      <c r="P26" s="68"/>
    </row>
    <row r="27" spans="3:16" ht="4.5" customHeight="1">
      <c r="C27" s="718"/>
      <c r="D27" s="719"/>
      <c r="E27" s="719"/>
      <c r="F27" s="719"/>
      <c r="G27" s="719"/>
      <c r="H27" s="719"/>
      <c r="I27" s="714"/>
      <c r="J27" s="73"/>
      <c r="K27" s="73"/>
      <c r="M27" s="68"/>
      <c r="N27" s="68"/>
      <c r="O27" s="68"/>
      <c r="P27" s="68"/>
    </row>
    <row r="28" spans="3:16" s="285" customFormat="1" ht="15" customHeight="1">
      <c r="C28" s="712" t="str">
        <f>IF(Indice_index!$Z$1=1,"Receita não fiscal","Non-tax revenue")</f>
        <v>Non-tax revenue</v>
      </c>
      <c r="D28" s="286">
        <f>+D29+D52</f>
        <v>3467.8418758500006</v>
      </c>
      <c r="E28" s="286">
        <f>+E29+E52</f>
        <v>4524.5377149999995</v>
      </c>
      <c r="F28" s="286">
        <f>+F29+F52</f>
        <v>3467.8418758500006</v>
      </c>
      <c r="G28" s="286">
        <f>+G29+G52</f>
        <v>4416.2274037099996</v>
      </c>
      <c r="H28" s="286">
        <f t="shared" si="3"/>
        <v>97.606157399662649</v>
      </c>
      <c r="I28" s="286">
        <f t="shared" ref="I28:I50" si="5">IF(IFERROR((G28-F28)/F28*100,"")&gt;500,"-",IFERROR((G28-F28)/F28*100,""))</f>
        <v>27.348003796382464</v>
      </c>
      <c r="J28" s="286">
        <f t="shared" ref="J28:J50" si="6">IFERROR((G28-F28)/$F$62*100,"-")</f>
        <v>2.0284341549143066</v>
      </c>
      <c r="K28" s="286"/>
      <c r="L28" s="287"/>
      <c r="M28" s="281"/>
      <c r="N28" s="281"/>
      <c r="O28" s="281"/>
      <c r="P28" s="281"/>
    </row>
    <row r="29" spans="3:16" ht="15" customHeight="1">
      <c r="C29" s="713" t="str">
        <f>IF(Indice_index!$Z$1=1,"Correntes","Current")</f>
        <v>Current</v>
      </c>
      <c r="D29" s="74">
        <f>SUM(D30,D35,D39,D44:D45,D49:D51)</f>
        <v>3336.1960565400004</v>
      </c>
      <c r="E29" s="74">
        <f>SUM(E30,E35,E39,E44:E45,E49:E51)</f>
        <v>4165.6627159999998</v>
      </c>
      <c r="F29" s="74">
        <f>SUM(F30,F35,F39,F44:F45,F49:F51)</f>
        <v>3336.1960565400004</v>
      </c>
      <c r="G29" s="74">
        <f>SUM(G30,G35,G39,G44:G45,G49:G51)</f>
        <v>4332.2179538099999</v>
      </c>
      <c r="H29" s="74">
        <f t="shared" si="3"/>
        <v>103.99828908783886</v>
      </c>
      <c r="I29" s="716">
        <f t="shared" si="5"/>
        <v>29.855016923165568</v>
      </c>
      <c r="J29" s="71">
        <f t="shared" si="6"/>
        <v>2.1303201874283162</v>
      </c>
      <c r="K29" s="71"/>
      <c r="L29" s="70"/>
      <c r="M29" s="68"/>
      <c r="N29" s="68"/>
      <c r="O29" s="68"/>
      <c r="P29" s="68"/>
    </row>
    <row r="30" spans="3:16" ht="15" customHeight="1">
      <c r="C30" s="715" t="str">
        <f>IF(Indice_index!$Z$1=1,"Taxas, Multas e Outras Penalidades","Taxes, fines and other penalties")</f>
        <v>Taxes, fines and other penalties</v>
      </c>
      <c r="D30" s="74">
        <f>SUM(D31:D34)</f>
        <v>765.87607270000001</v>
      </c>
      <c r="E30" s="74">
        <f>SUM(E31:E34)</f>
        <v>958.02473499999996</v>
      </c>
      <c r="F30" s="74">
        <f t="shared" ref="F30:G30" si="7">SUM(F31:F34)</f>
        <v>765.87607270000001</v>
      </c>
      <c r="G30" s="74">
        <f t="shared" si="7"/>
        <v>857.09258268999986</v>
      </c>
      <c r="H30" s="74">
        <f t="shared" si="3"/>
        <v>89.464556746543707</v>
      </c>
      <c r="I30" s="716">
        <f t="shared" si="5"/>
        <v>11.910087446449069</v>
      </c>
      <c r="J30" s="71">
        <f t="shared" si="6"/>
        <v>0.19509648652410841</v>
      </c>
      <c r="K30" s="71"/>
      <c r="M30" s="68"/>
      <c r="N30" s="68"/>
      <c r="O30" s="68"/>
      <c r="P30" s="68"/>
    </row>
    <row r="31" spans="3:16" ht="15" customHeight="1">
      <c r="C31" s="720" t="str">
        <f>IF(Indice_index!$Z$1=1,"Taxas","Taxes")</f>
        <v>Taxes</v>
      </c>
      <c r="D31" s="74">
        <v>496.82879803999998</v>
      </c>
      <c r="E31" s="74">
        <v>618.73315100000002</v>
      </c>
      <c r="F31" s="74">
        <v>496.82879803999998</v>
      </c>
      <c r="G31" s="74">
        <v>546.62674711</v>
      </c>
      <c r="H31" s="74">
        <f t="shared" si="3"/>
        <v>88.346122432027244</v>
      </c>
      <c r="I31" s="716">
        <f t="shared" si="5"/>
        <v>10.023160748019029</v>
      </c>
      <c r="J31" s="71">
        <f t="shared" si="6"/>
        <v>0.10650928105809578</v>
      </c>
      <c r="K31" s="71"/>
      <c r="M31" s="68"/>
      <c r="N31" s="68"/>
      <c r="O31" s="68"/>
      <c r="P31" s="68"/>
    </row>
    <row r="32" spans="3:16" ht="15" customHeight="1">
      <c r="C32" s="720" t="str">
        <f>IF(Indice_index!$Z$1=1,"Juros de mora e compensatórios","Default and compensatory interests")</f>
        <v>Default and compensatory interests</v>
      </c>
      <c r="D32" s="74">
        <v>48.71348347</v>
      </c>
      <c r="E32" s="74">
        <v>65.351272999999992</v>
      </c>
      <c r="F32" s="74">
        <v>48.71348347</v>
      </c>
      <c r="G32" s="74">
        <v>67.815880379999996</v>
      </c>
      <c r="H32" s="74">
        <f t="shared" si="3"/>
        <v>103.77132267951383</v>
      </c>
      <c r="I32" s="716">
        <f t="shared" si="5"/>
        <v>39.213777273317213</v>
      </c>
      <c r="J32" s="71">
        <f t="shared" si="6"/>
        <v>4.0856754130787924E-2</v>
      </c>
      <c r="K32" s="71"/>
      <c r="M32" s="68"/>
      <c r="N32" s="68"/>
      <c r="O32" s="68"/>
      <c r="P32" s="68"/>
    </row>
    <row r="33" spans="3:16" ht="15" customHeight="1">
      <c r="C33" s="720" t="str">
        <f>IF(Indice_index!$Z$1=1,"Multas do Código da Estrada","Highway code fines")</f>
        <v>Highway code fines</v>
      </c>
      <c r="D33" s="74">
        <v>71.081109819999995</v>
      </c>
      <c r="E33" s="74">
        <v>91.689144999999996</v>
      </c>
      <c r="F33" s="74">
        <v>71.081109819999995</v>
      </c>
      <c r="G33" s="74">
        <v>82.447458960000006</v>
      </c>
      <c r="H33" s="74">
        <f t="shared" si="3"/>
        <v>89.920632327850811</v>
      </c>
      <c r="I33" s="716">
        <f t="shared" si="5"/>
        <v>15.990674834401469</v>
      </c>
      <c r="J33" s="71">
        <f t="shared" si="6"/>
        <v>2.431067338646736E-2</v>
      </c>
      <c r="K33" s="71"/>
      <c r="M33" s="68"/>
      <c r="N33" s="68"/>
      <c r="O33" s="68"/>
      <c r="P33" s="68"/>
    </row>
    <row r="34" spans="3:16" ht="15" customHeight="1">
      <c r="C34" s="720" t="str">
        <f>IF(Indice_index!$Z$1=1,"Outras multas e penalidades diversas","Other fines and diverse penalties")</f>
        <v>Other fines and diverse penalties</v>
      </c>
      <c r="D34" s="74">
        <v>149.25268136999998</v>
      </c>
      <c r="E34" s="74">
        <v>182.25116599999998</v>
      </c>
      <c r="F34" s="74">
        <v>149.25268136999998</v>
      </c>
      <c r="G34" s="74">
        <v>160.20249623999999</v>
      </c>
      <c r="H34" s="74">
        <f t="shared" si="3"/>
        <v>87.902041866771924</v>
      </c>
      <c r="I34" s="716">
        <f t="shared" si="5"/>
        <v>7.3364275733547677</v>
      </c>
      <c r="J34" s="71">
        <f t="shared" si="6"/>
        <v>2.3419777948757745E-2</v>
      </c>
      <c r="K34" s="71"/>
      <c r="M34" s="68"/>
      <c r="N34" s="68"/>
      <c r="O34" s="68"/>
      <c r="P34" s="68"/>
    </row>
    <row r="35" spans="3:16" ht="15" customHeight="1">
      <c r="C35" s="715" t="str">
        <f>IF(Indice_index!$Z$1=1,"Rendimentos da Propriedade","Property income")</f>
        <v>Property income</v>
      </c>
      <c r="D35" s="74">
        <f>SUM(D36:D38)</f>
        <v>603.29304346999993</v>
      </c>
      <c r="E35" s="74">
        <f>SUM(E36:E38)</f>
        <v>676.46456399999988</v>
      </c>
      <c r="F35" s="74">
        <f>SUM(F36:F38)</f>
        <v>603.29304346999993</v>
      </c>
      <c r="G35" s="74">
        <f>SUM(G36:G38)</f>
        <v>759.19899399999997</v>
      </c>
      <c r="H35" s="74">
        <f t="shared" si="3"/>
        <v>112.23041596011822</v>
      </c>
      <c r="I35" s="716">
        <f t="shared" si="5"/>
        <v>25.842491011211671</v>
      </c>
      <c r="J35" s="71">
        <f t="shared" si="6"/>
        <v>0.33345611644141043</v>
      </c>
      <c r="K35" s="71"/>
      <c r="M35" s="68"/>
      <c r="N35" s="68"/>
      <c r="O35" s="68"/>
      <c r="P35" s="68"/>
    </row>
    <row r="36" spans="3:16" ht="15" customHeight="1">
      <c r="C36" s="720" t="str">
        <f>IF(Indice_index!$Z$1=1,"Juros","Interests")</f>
        <v>Interests</v>
      </c>
      <c r="D36" s="74">
        <v>116.82189235999999</v>
      </c>
      <c r="E36" s="74">
        <v>118.091604</v>
      </c>
      <c r="F36" s="74">
        <v>116.82189235999999</v>
      </c>
      <c r="G36" s="74">
        <v>110.78467236</v>
      </c>
      <c r="H36" s="74">
        <f t="shared" si="3"/>
        <v>93.812488447527571</v>
      </c>
      <c r="I36" s="716">
        <f t="shared" si="5"/>
        <v>-5.1678840994936195</v>
      </c>
      <c r="J36" s="71">
        <f t="shared" si="6"/>
        <v>-1.2912579208546826E-2</v>
      </c>
      <c r="K36" s="71"/>
      <c r="L36" s="74"/>
      <c r="M36" s="68"/>
      <c r="N36" s="68"/>
      <c r="O36" s="68"/>
      <c r="P36" s="68"/>
    </row>
    <row r="37" spans="3:16" ht="15" customHeight="1">
      <c r="C37" s="720" t="str">
        <f>IF(Indice_index!$Z$1=1,"Dividendos e participações nos lucros","Dividends and profit participations")</f>
        <v>Dividends and profit participations</v>
      </c>
      <c r="D37" s="717">
        <v>481.12284062999998</v>
      </c>
      <c r="E37" s="717">
        <v>555.09224299999994</v>
      </c>
      <c r="F37" s="717">
        <v>481.12284062999998</v>
      </c>
      <c r="G37" s="717">
        <v>644.85672493000004</v>
      </c>
      <c r="H37" s="717">
        <f t="shared" si="3"/>
        <v>116.17109283402472</v>
      </c>
      <c r="I37" s="716">
        <f t="shared" si="5"/>
        <v>34.031617390186852</v>
      </c>
      <c r="J37" s="71">
        <f t="shared" si="6"/>
        <v>0.35019872559668125</v>
      </c>
      <c r="K37" s="71"/>
      <c r="M37" s="68"/>
      <c r="N37" s="68"/>
      <c r="O37" s="68"/>
      <c r="P37" s="68"/>
    </row>
    <row r="38" spans="3:16" s="69" customFormat="1" ht="15" customHeight="1">
      <c r="C38" s="720" t="str">
        <f>IF(Indice_index!$Z$1=1,"Outros","Others")</f>
        <v>Others</v>
      </c>
      <c r="D38" s="74">
        <v>5.3483104800000003</v>
      </c>
      <c r="E38" s="74">
        <v>3.2807170000000001</v>
      </c>
      <c r="F38" s="74">
        <v>5.3483104800000003</v>
      </c>
      <c r="G38" s="74">
        <v>3.5575967099999999</v>
      </c>
      <c r="H38" s="74">
        <f t="shared" si="3"/>
        <v>108.4396096950758</v>
      </c>
      <c r="I38" s="716">
        <f t="shared" si="5"/>
        <v>-33.481858929027624</v>
      </c>
      <c r="J38" s="71">
        <f t="shared" si="6"/>
        <v>-3.8300299467239137E-3</v>
      </c>
      <c r="K38" s="71"/>
      <c r="M38" s="68"/>
      <c r="N38" s="68"/>
      <c r="O38" s="68"/>
      <c r="P38" s="68"/>
    </row>
    <row r="39" spans="3:16" s="69" customFormat="1" ht="15" customHeight="1">
      <c r="C39" s="715" t="str">
        <f>IF(Indice_index!$Z$1=1,"Transferências Correntes","Current transfers")</f>
        <v>Current transfers</v>
      </c>
      <c r="D39" s="74">
        <f>SUM(D40:D43)</f>
        <v>968.49879078999993</v>
      </c>
      <c r="E39" s="74">
        <f>SUM(E40:E43)</f>
        <v>1174.9075800000001</v>
      </c>
      <c r="F39" s="74">
        <f>SUM(F40:F43)</f>
        <v>968.49879078999993</v>
      </c>
      <c r="G39" s="74">
        <f>SUM(G40:G43)</f>
        <v>1215.0406647899999</v>
      </c>
      <c r="H39" s="74">
        <f t="shared" si="3"/>
        <v>103.41585035905547</v>
      </c>
      <c r="I39" s="716">
        <f t="shared" si="5"/>
        <v>25.456084854674621</v>
      </c>
      <c r="J39" s="71">
        <f t="shared" si="6"/>
        <v>0.52731082787252681</v>
      </c>
      <c r="K39" s="71"/>
      <c r="L39" s="75"/>
      <c r="M39" s="68"/>
      <c r="N39" s="68"/>
      <c r="O39" s="68"/>
      <c r="P39" s="68"/>
    </row>
    <row r="40" spans="3:16" s="69" customFormat="1" ht="15" customHeight="1">
      <c r="C40" s="720" t="str">
        <f>IF(Indice_index!$Z$1=1,"Administração Central","Central Administration")</f>
        <v>Central Administration</v>
      </c>
      <c r="D40" s="74">
        <v>639.84457224999994</v>
      </c>
      <c r="E40" s="74">
        <v>465.23829100000006</v>
      </c>
      <c r="F40" s="74">
        <v>639.84457224999994</v>
      </c>
      <c r="G40" s="74">
        <v>528.17446856000004</v>
      </c>
      <c r="H40" s="74">
        <f t="shared" si="3"/>
        <v>113.52772950496457</v>
      </c>
      <c r="I40" s="716">
        <f t="shared" si="5"/>
        <v>-17.452692190122725</v>
      </c>
      <c r="J40" s="71">
        <f t="shared" si="6"/>
        <v>-0.23884321908490386</v>
      </c>
      <c r="K40" s="71"/>
      <c r="M40" s="68"/>
      <c r="N40" s="68"/>
      <c r="O40" s="68"/>
      <c r="P40" s="68"/>
    </row>
    <row r="41" spans="3:16" ht="15" customHeight="1">
      <c r="C41" s="720" t="str">
        <f>IF(Indice_index!$Z$1=1,"Outros subsectores das AP","Other General Government subsectors")</f>
        <v>Other General Government subsectors</v>
      </c>
      <c r="D41" s="74">
        <v>232.68000708</v>
      </c>
      <c r="E41" s="74">
        <v>236.50122999999999</v>
      </c>
      <c r="F41" s="74">
        <v>232.68000708</v>
      </c>
      <c r="G41" s="74">
        <v>215.78015270999998</v>
      </c>
      <c r="H41" s="74">
        <f t="shared" si="3"/>
        <v>91.238490687765122</v>
      </c>
      <c r="I41" s="716">
        <f t="shared" si="5"/>
        <v>-7.2631312771919889</v>
      </c>
      <c r="J41" s="71">
        <f t="shared" si="6"/>
        <v>-3.6145893004649779E-2</v>
      </c>
      <c r="K41" s="71"/>
      <c r="M41" s="68"/>
      <c r="N41" s="68"/>
      <c r="O41" s="68"/>
      <c r="P41" s="68"/>
    </row>
    <row r="42" spans="3:16" s="69" customFormat="1" ht="15" customHeight="1">
      <c r="C42" s="720" t="str">
        <f>IF(Indice_index!$Z$1=1,"União Europeia","European Union")</f>
        <v>European Union</v>
      </c>
      <c r="D42" s="74">
        <v>84.744317360000011</v>
      </c>
      <c r="E42" s="74">
        <v>440.34911499999998</v>
      </c>
      <c r="F42" s="74">
        <v>84.744317360000011</v>
      </c>
      <c r="G42" s="74">
        <v>457.3599299</v>
      </c>
      <c r="H42" s="74">
        <f t="shared" si="3"/>
        <v>103.86302920127363</v>
      </c>
      <c r="I42" s="716">
        <f t="shared" si="5"/>
        <v>439.69392184387044</v>
      </c>
      <c r="J42" s="71">
        <f t="shared" si="6"/>
        <v>0.79696095409210721</v>
      </c>
      <c r="K42" s="71"/>
      <c r="M42" s="68"/>
      <c r="N42" s="68"/>
      <c r="O42" s="68"/>
      <c r="P42" s="68"/>
    </row>
    <row r="43" spans="3:16" ht="15" customHeight="1">
      <c r="C43" s="720" t="str">
        <f>IF(Indice_index!$Z$1=1,"Outros","Others")</f>
        <v>Others</v>
      </c>
      <c r="D43" s="74">
        <v>11.229894099999999</v>
      </c>
      <c r="E43" s="74">
        <v>32.818944000000002</v>
      </c>
      <c r="F43" s="74">
        <v>11.229894099999999</v>
      </c>
      <c r="G43" s="74">
        <v>13.726113620000001</v>
      </c>
      <c r="H43" s="74">
        <f t="shared" si="3"/>
        <v>41.82375161126452</v>
      </c>
      <c r="I43" s="716">
        <f t="shared" si="5"/>
        <v>22.228344254822513</v>
      </c>
      <c r="J43" s="71">
        <f t="shared" si="6"/>
        <v>5.3389858699734016E-3</v>
      </c>
      <c r="K43" s="71"/>
      <c r="M43" s="68"/>
      <c r="N43" s="68"/>
      <c r="O43" s="68"/>
      <c r="P43" s="68"/>
    </row>
    <row r="44" spans="3:16" s="69" customFormat="1" ht="15" customHeight="1">
      <c r="C44" s="715" t="str">
        <f>IF(Indice_index!$Z$1=1,"Venda de Bens e Serviços Correntes","Sale of current goods and services")</f>
        <v>Sale of current goods and services</v>
      </c>
      <c r="D44" s="74">
        <v>451.15679381000001</v>
      </c>
      <c r="E44" s="74">
        <v>763.53471300000001</v>
      </c>
      <c r="F44" s="74">
        <v>451.15679381000001</v>
      </c>
      <c r="G44" s="74">
        <v>736.71306704999995</v>
      </c>
      <c r="H44" s="74">
        <f t="shared" si="3"/>
        <v>96.487173995715892</v>
      </c>
      <c r="I44" s="716">
        <f t="shared" si="5"/>
        <v>63.294242081226194</v>
      </c>
      <c r="J44" s="71">
        <f t="shared" si="6"/>
        <v>0.61075594341583472</v>
      </c>
      <c r="K44" s="71"/>
      <c r="M44" s="68"/>
      <c r="N44" s="68"/>
      <c r="O44" s="68"/>
      <c r="P44" s="68"/>
    </row>
    <row r="45" spans="3:16" ht="15" customHeight="1">
      <c r="C45" s="715" t="str">
        <f>IF(Indice_index!$Z$1=1,"Outras Receitas Correntes","Other current revenue")</f>
        <v>Other current revenue</v>
      </c>
      <c r="D45" s="717">
        <f>SUM(D46:D48)</f>
        <v>193.12779699000001</v>
      </c>
      <c r="E45" s="717">
        <f>SUM(E46:E48)</f>
        <v>341.74627799999996</v>
      </c>
      <c r="F45" s="717">
        <f t="shared" ref="F45:G45" si="8">SUM(F46:F48)</f>
        <v>193.12779699000001</v>
      </c>
      <c r="G45" s="717">
        <f t="shared" si="8"/>
        <v>351.10111348999999</v>
      </c>
      <c r="H45" s="717">
        <f t="shared" si="3"/>
        <v>102.73736280165136</v>
      </c>
      <c r="I45" s="716">
        <f t="shared" si="5"/>
        <v>81.797296382032314</v>
      </c>
      <c r="J45" s="71">
        <f t="shared" si="6"/>
        <v>0.33787785804444603</v>
      </c>
      <c r="K45" s="71"/>
      <c r="M45" s="68"/>
      <c r="N45" s="68"/>
      <c r="O45" s="68"/>
      <c r="P45" s="68"/>
    </row>
    <row r="46" spans="3:16" ht="15" customHeight="1">
      <c r="C46" s="720" t="str">
        <f>IF(Indice_index!$Z$1=1,"Prémios e taxas por garantias de riscos","Premiums and rates on risk guarantees")</f>
        <v>Premiums and rates on risk guarantees</v>
      </c>
      <c r="D46" s="717">
        <v>24.358980890000002</v>
      </c>
      <c r="E46" s="717">
        <v>30</v>
      </c>
      <c r="F46" s="717">
        <v>24.358980890000002</v>
      </c>
      <c r="G46" s="717">
        <v>31.280779299999999</v>
      </c>
      <c r="H46" s="717">
        <f t="shared" si="3"/>
        <v>104.26926433333333</v>
      </c>
      <c r="I46" s="716">
        <f t="shared" si="5"/>
        <v>28.415796380223675</v>
      </c>
      <c r="J46" s="71">
        <f t="shared" si="6"/>
        <v>1.4804540870585898E-2</v>
      </c>
      <c r="K46" s="71"/>
      <c r="M46" s="68"/>
      <c r="N46" s="68"/>
      <c r="O46" s="68"/>
      <c r="P46" s="68"/>
    </row>
    <row r="47" spans="3:16" ht="15" customHeight="1">
      <c r="C47" s="720" t="str">
        <f>IF(Indice_index!$Z$1=1,"Subsídios","Subsidies")</f>
        <v>Subsidies</v>
      </c>
      <c r="D47" s="74">
        <v>95.6384477</v>
      </c>
      <c r="E47" s="74">
        <v>265.68795699999998</v>
      </c>
      <c r="F47" s="74">
        <v>95.6384477</v>
      </c>
      <c r="G47" s="74">
        <v>252.34336364000001</v>
      </c>
      <c r="H47" s="74">
        <f t="shared" si="3"/>
        <v>94.977343530854881</v>
      </c>
      <c r="I47" s="716">
        <f t="shared" si="5"/>
        <v>163.85137955349728</v>
      </c>
      <c r="J47" s="71">
        <f t="shared" si="6"/>
        <v>0.33516496656473105</v>
      </c>
      <c r="K47" s="71"/>
      <c r="M47" s="68"/>
      <c r="N47" s="68"/>
      <c r="O47" s="68"/>
      <c r="P47" s="68"/>
    </row>
    <row r="48" spans="3:16" ht="15" customHeight="1">
      <c r="C48" s="720" t="str">
        <f>IF(Indice_index!$Z$1=1,"Outras","Others")</f>
        <v>Others</v>
      </c>
      <c r="D48" s="74">
        <v>73.130368400000009</v>
      </c>
      <c r="E48" s="74">
        <v>46.058320999999999</v>
      </c>
      <c r="F48" s="74">
        <v>73.130368400000009</v>
      </c>
      <c r="G48" s="74">
        <v>67.476970550000004</v>
      </c>
      <c r="H48" s="74">
        <f t="shared" si="3"/>
        <v>146.50332249410482</v>
      </c>
      <c r="I48" s="716">
        <f t="shared" si="5"/>
        <v>-7.7305748264219112</v>
      </c>
      <c r="J48" s="71">
        <f t="shared" si="6"/>
        <v>-1.2091649390870882E-2</v>
      </c>
      <c r="K48" s="71"/>
      <c r="M48" s="68"/>
      <c r="N48" s="68"/>
      <c r="O48" s="68"/>
      <c r="P48" s="68"/>
    </row>
    <row r="49" spans="3:16" ht="15" customHeight="1">
      <c r="C49" s="715" t="str">
        <f>IF(Indice_index!$Z$1=1,"Recursos Próprios Comunitários","Community own resources")</f>
        <v>Community own resources</v>
      </c>
      <c r="D49" s="74">
        <v>203.39531911</v>
      </c>
      <c r="E49" s="74">
        <v>247.25</v>
      </c>
      <c r="F49" s="74">
        <v>203.39531911</v>
      </c>
      <c r="G49" s="74">
        <v>238.39352783000001</v>
      </c>
      <c r="H49" s="74">
        <f t="shared" si="3"/>
        <v>96.418009233569265</v>
      </c>
      <c r="I49" s="716">
        <f t="shared" si="5"/>
        <v>17.206988279347925</v>
      </c>
      <c r="J49" s="71">
        <f t="shared" si="6"/>
        <v>7.4855172124629388E-2</v>
      </c>
      <c r="K49" s="71"/>
      <c r="M49" s="68"/>
      <c r="N49" s="68"/>
      <c r="O49" s="68"/>
      <c r="P49" s="68"/>
    </row>
    <row r="50" spans="3:16" ht="15" customHeight="1">
      <c r="C50" s="715" t="str">
        <f>IF(Indice_index!$Z$1=1,"Reposições Não Abatidas nos Pagamentos","Refunds not deducted from payments")</f>
        <v>Refunds not deducted from payments</v>
      </c>
      <c r="D50" s="74">
        <v>150.84351573000001</v>
      </c>
      <c r="E50" s="74">
        <v>3.7304040000000001</v>
      </c>
      <c r="F50" s="74">
        <v>150.84351573000001</v>
      </c>
      <c r="G50" s="74">
        <v>174.67356222000001</v>
      </c>
      <c r="H50" s="717" t="str">
        <f t="shared" si="3"/>
        <v>-</v>
      </c>
      <c r="I50" s="716">
        <f t="shared" si="5"/>
        <v>15.79785937411736</v>
      </c>
      <c r="J50" s="71">
        <f t="shared" si="6"/>
        <v>5.0968386582811095E-2</v>
      </c>
      <c r="K50" s="71"/>
      <c r="M50" s="68"/>
      <c r="N50" s="68"/>
      <c r="O50" s="68"/>
      <c r="P50" s="68"/>
    </row>
    <row r="51" spans="3:16" ht="15" customHeight="1">
      <c r="C51" s="715" t="str">
        <f>IF(Indice_index!$Z$1=1,"Diferenças de consolidação","Consolidation differences")</f>
        <v>Consolidation differences</v>
      </c>
      <c r="D51" s="74">
        <v>4.7239400000000003E-3</v>
      </c>
      <c r="E51" s="74">
        <v>4.4419999999999998E-3</v>
      </c>
      <c r="F51" s="74">
        <v>4.7239400000000003E-3</v>
      </c>
      <c r="G51" s="74">
        <v>4.4417399999999996E-3</v>
      </c>
      <c r="H51" s="717">
        <f t="shared" si="3"/>
        <v>99.994146780729395</v>
      </c>
      <c r="I51" s="716"/>
      <c r="J51" s="71"/>
      <c r="K51" s="71"/>
      <c r="M51" s="68"/>
      <c r="N51" s="68"/>
      <c r="O51" s="68"/>
      <c r="P51" s="68"/>
    </row>
    <row r="52" spans="3:16" ht="15" customHeight="1">
      <c r="C52" s="713" t="s">
        <v>10</v>
      </c>
      <c r="D52" s="717">
        <f>SUM(D53:D54,D59:D60)</f>
        <v>131.64581931000001</v>
      </c>
      <c r="E52" s="717">
        <f>SUM(E53:E54,E59:E60)</f>
        <v>358.874999</v>
      </c>
      <c r="F52" s="717">
        <f>SUM(F53:F54,F59:F60)</f>
        <v>131.64581931000001</v>
      </c>
      <c r="G52" s="717">
        <f>SUM(G53:G54,G59:G60)</f>
        <v>84.009449899999993</v>
      </c>
      <c r="H52" s="717">
        <f t="shared" si="3"/>
        <v>23.409111845096792</v>
      </c>
      <c r="I52" s="716">
        <f t="shared" ref="I52:I59" si="9">IF(IFERROR((G52-F52)/F52*100,"")&gt;500,"-",IFERROR((G52-F52)/F52*100,""))</f>
        <v>-36.185250439154274</v>
      </c>
      <c r="J52" s="71">
        <f t="shared" ref="J52:J59" si="10">IFERROR((G52-F52)/$F$62*100,"-")</f>
        <v>-0.10188603251400864</v>
      </c>
      <c r="K52" s="71"/>
      <c r="L52" s="68"/>
      <c r="M52" s="68"/>
      <c r="N52" s="68"/>
      <c r="O52" s="68"/>
      <c r="P52" s="68"/>
    </row>
    <row r="53" spans="3:16" ht="15" customHeight="1">
      <c r="C53" s="715" t="str">
        <f>IF(Indice_index!$Z$1=1,"Venda de Bens de Investimento","Sale of investment goods")</f>
        <v>Sale of investment goods</v>
      </c>
      <c r="D53" s="74">
        <v>71.307551050000001</v>
      </c>
      <c r="E53" s="74">
        <v>70.694385999999994</v>
      </c>
      <c r="F53" s="74">
        <v>71.307551050000001</v>
      </c>
      <c r="G53" s="74">
        <v>36.897486190000002</v>
      </c>
      <c r="H53" s="74">
        <f t="shared" si="3"/>
        <v>52.192950922581048</v>
      </c>
      <c r="I53" s="716">
        <f t="shared" si="9"/>
        <v>-48.255849981262259</v>
      </c>
      <c r="J53" s="71">
        <f t="shared" si="10"/>
        <v>-7.3597233176194418E-2</v>
      </c>
      <c r="K53" s="71"/>
      <c r="M53" s="68"/>
      <c r="N53" s="68"/>
      <c r="O53" s="68"/>
      <c r="P53" s="68"/>
    </row>
    <row r="54" spans="3:16" ht="15" customHeight="1">
      <c r="C54" s="715" t="str">
        <f>IF(Indice_index!$Z$1=1,"Transferências de Capital","Capital transfers")</f>
        <v>Capital transfers</v>
      </c>
      <c r="D54" s="717">
        <f>SUM(D55:D58)</f>
        <v>45.850125150000004</v>
      </c>
      <c r="E54" s="717">
        <f>SUM(E55:E58)</f>
        <v>281.03217199999995</v>
      </c>
      <c r="F54" s="717">
        <f>SUM(F55:F58)</f>
        <v>45.850125150000004</v>
      </c>
      <c r="G54" s="717">
        <f>SUM(G55:G58)</f>
        <v>44.934448939999996</v>
      </c>
      <c r="H54" s="717">
        <f t="shared" si="3"/>
        <v>15.989076489078982</v>
      </c>
      <c r="I54" s="716">
        <f t="shared" si="9"/>
        <v>-1.9971073295969137</v>
      </c>
      <c r="J54" s="71">
        <f t="shared" si="10"/>
        <v>-1.9584745281780486E-3</v>
      </c>
      <c r="K54" s="71"/>
      <c r="M54" s="68"/>
      <c r="N54" s="68"/>
      <c r="O54" s="68"/>
      <c r="P54" s="68"/>
    </row>
    <row r="55" spans="3:16" ht="15" customHeight="1">
      <c r="C55" s="720" t="str">
        <f>IF(Indice_index!$Z$1=1,"Administração Central","Central Administration")</f>
        <v>Central Administration</v>
      </c>
      <c r="D55" s="74">
        <v>29.462947460000002</v>
      </c>
      <c r="E55" s="74">
        <v>35.586623999999993</v>
      </c>
      <c r="F55" s="74">
        <v>29.462947460000002</v>
      </c>
      <c r="G55" s="74">
        <v>16.995723560000002</v>
      </c>
      <c r="H55" s="74">
        <f t="shared" si="3"/>
        <v>47.758740924680026</v>
      </c>
      <c r="I55" s="716">
        <f t="shared" si="9"/>
        <v>-42.31492425164172</v>
      </c>
      <c r="J55" s="71">
        <f t="shared" si="10"/>
        <v>-2.6665255882581444E-2</v>
      </c>
      <c r="K55" s="71"/>
      <c r="L55" s="76"/>
      <c r="M55" s="68"/>
      <c r="N55" s="68"/>
      <c r="O55" s="68"/>
      <c r="P55" s="68"/>
    </row>
    <row r="56" spans="3:16" ht="15" customHeight="1">
      <c r="C56" s="720" t="str">
        <f>IF(Indice_index!$Z$1=1,"Outros subsectores das AP","Other General Government subsectors")</f>
        <v>Other General Government subsectors</v>
      </c>
      <c r="D56" s="74">
        <v>0.23717608000000001</v>
      </c>
      <c r="E56" s="74">
        <v>3.1151999999999999E-2</v>
      </c>
      <c r="F56" s="74">
        <v>0.23717608000000001</v>
      </c>
      <c r="G56" s="74">
        <v>3.0124069999999999E-2</v>
      </c>
      <c r="H56" s="74">
        <f>IFERROR(IF(G56/E56*100&lt;-500,"-",IF(G56/E56*100&gt;500,"-",G56/E56*100)),"-")</f>
        <v>96.700276065742159</v>
      </c>
      <c r="I56" s="716">
        <f t="shared" si="9"/>
        <v>-87.298858299707121</v>
      </c>
      <c r="J56" s="71">
        <f t="shared" si="10"/>
        <v>-4.4284877467010207E-4</v>
      </c>
      <c r="K56" s="71"/>
      <c r="L56" s="77"/>
      <c r="M56" s="68"/>
      <c r="N56" s="68"/>
      <c r="O56" s="68"/>
      <c r="P56" s="68"/>
    </row>
    <row r="57" spans="3:16" ht="15" customHeight="1">
      <c r="C57" s="720" t="str">
        <f>IF(Indice_index!$Z$1=1,"União Europeia","European Union")</f>
        <v>European Union</v>
      </c>
      <c r="D57" s="74">
        <v>13.704379449999999</v>
      </c>
      <c r="E57" s="74">
        <v>244.23117199999999</v>
      </c>
      <c r="F57" s="74">
        <v>13.704379449999999</v>
      </c>
      <c r="G57" s="74">
        <v>18.51653696</v>
      </c>
      <c r="H57" s="74">
        <f t="shared" si="3"/>
        <v>7.581561685336383</v>
      </c>
      <c r="I57" s="716">
        <f t="shared" si="9"/>
        <v>35.114012477230411</v>
      </c>
      <c r="J57" s="71">
        <f t="shared" si="10"/>
        <v>1.0292380435345833E-2</v>
      </c>
      <c r="K57" s="71"/>
      <c r="L57" s="77"/>
      <c r="M57" s="68"/>
      <c r="N57" s="68"/>
      <c r="O57" s="68"/>
      <c r="P57" s="68"/>
    </row>
    <row r="58" spans="3:16" ht="15" customHeight="1">
      <c r="C58" s="720" t="str">
        <f>IF(Indice_index!$Z$1=1,"Outros","Others")</f>
        <v>Others</v>
      </c>
      <c r="D58" s="74">
        <v>2.4456221600000001</v>
      </c>
      <c r="E58" s="74">
        <v>1.1832240000000001</v>
      </c>
      <c r="F58" s="74">
        <v>2.4456221600000001</v>
      </c>
      <c r="G58" s="74">
        <v>9.3920643500000001</v>
      </c>
      <c r="H58" s="717" t="str">
        <f t="shared" si="3"/>
        <v>-</v>
      </c>
      <c r="I58" s="716">
        <f t="shared" si="9"/>
        <v>284.03578866818901</v>
      </c>
      <c r="J58" s="71">
        <f t="shared" si="10"/>
        <v>1.4857249693727681E-2</v>
      </c>
      <c r="K58" s="71"/>
      <c r="M58" s="68"/>
      <c r="N58" s="68"/>
      <c r="O58" s="68"/>
      <c r="P58" s="68"/>
    </row>
    <row r="59" spans="3:16" ht="15" customHeight="1">
      <c r="C59" s="715" t="str">
        <f>IF(Indice_index!$Z$1=1,"Outras Receitas de Capital","Other capital revenue")</f>
        <v>Other capital revenue</v>
      </c>
      <c r="D59" s="74">
        <v>10.506047130000001</v>
      </c>
      <c r="E59" s="74">
        <v>7.1395350000000004</v>
      </c>
      <c r="F59" s="74">
        <v>10.506047130000001</v>
      </c>
      <c r="G59" s="74">
        <v>1.4997533700000001</v>
      </c>
      <c r="H59" s="74">
        <f t="shared" si="3"/>
        <v>21.006317218138157</v>
      </c>
      <c r="I59" s="716">
        <f t="shared" si="9"/>
        <v>-85.724855871648842</v>
      </c>
      <c r="J59" s="71">
        <f t="shared" si="10"/>
        <v>-1.926291928262366E-2</v>
      </c>
      <c r="K59" s="71"/>
      <c r="M59" s="68"/>
      <c r="N59" s="68"/>
      <c r="O59" s="68"/>
      <c r="P59" s="68"/>
    </row>
    <row r="60" spans="3:16" ht="15" customHeight="1">
      <c r="C60" s="715" t="str">
        <f>IF(Indice_index!$Z$1=1,"Diferenças de consolidação","Consolidation differences")</f>
        <v>Consolidation differences</v>
      </c>
      <c r="D60" s="74">
        <v>3.9820959799999995</v>
      </c>
      <c r="E60" s="74">
        <v>8.9060000000031891E-3</v>
      </c>
      <c r="F60" s="74">
        <v>3.9820959799999995</v>
      </c>
      <c r="G60" s="74">
        <v>0.67776139999999785</v>
      </c>
      <c r="H60" s="717" t="str">
        <f t="shared" si="3"/>
        <v>-</v>
      </c>
      <c r="I60" s="716"/>
      <c r="J60" s="71"/>
      <c r="K60" s="71"/>
      <c r="M60" s="68"/>
      <c r="N60" s="68"/>
      <c r="O60" s="68"/>
      <c r="P60" s="68"/>
    </row>
    <row r="61" spans="3:16" ht="4.5" customHeight="1">
      <c r="C61" s="718"/>
      <c r="D61" s="74"/>
      <c r="E61" s="74"/>
      <c r="F61" s="74"/>
      <c r="G61" s="74"/>
      <c r="H61" s="74"/>
      <c r="I61" s="714"/>
      <c r="J61" s="71"/>
      <c r="K61" s="71"/>
      <c r="M61" s="68"/>
      <c r="N61" s="68"/>
      <c r="O61" s="68"/>
      <c r="P61" s="68"/>
    </row>
    <row r="62" spans="3:16" s="285" customFormat="1" ht="15" customHeight="1">
      <c r="C62" s="721" t="str">
        <f>IF(Indice_index!$Z$1=1,"Receita efetiva","Effective Revenue")</f>
        <v>Effective Revenue</v>
      </c>
      <c r="D62" s="722">
        <f>+D9+D24+D28</f>
        <v>46754.563147259993</v>
      </c>
      <c r="E62" s="722">
        <f>+E9+E24+E28</f>
        <v>48456.610437999996</v>
      </c>
      <c r="F62" s="722">
        <f>+F9+F24+F28</f>
        <v>46754.563147259993</v>
      </c>
      <c r="G62" s="722">
        <f>+G9+G24+G28</f>
        <v>50007.734710029996</v>
      </c>
      <c r="H62" s="722">
        <f>IFERROR(IF(G62/E62*100&lt;-500,"-",IF(G62/E62*100&gt;500,"-",G62/E62*100)),"-")</f>
        <v>103.20105813842397</v>
      </c>
      <c r="I62" s="723">
        <f>IFERROR((G62-F62)/F62*100,"-")</f>
        <v>6.9579765990405846</v>
      </c>
      <c r="J62" s="723"/>
      <c r="K62" s="288"/>
      <c r="L62" s="289"/>
      <c r="M62" s="281"/>
      <c r="N62" s="281"/>
      <c r="O62" s="281"/>
      <c r="P62" s="281"/>
    </row>
    <row r="63" spans="3:16" ht="15" customHeight="1">
      <c r="C63" s="724" t="str">
        <f>IF(Indice_index!$Z$1=1,"   Por memória:","   Memo item:")</f>
        <v xml:space="preserve">   Memo item:</v>
      </c>
      <c r="D63" s="725"/>
      <c r="E63" s="725"/>
      <c r="F63" s="725"/>
      <c r="G63" s="725"/>
      <c r="H63" s="725"/>
      <c r="I63" s="711"/>
      <c r="J63" s="69"/>
      <c r="K63" s="69"/>
      <c r="L63" s="77"/>
      <c r="M63" s="68"/>
      <c r="N63" s="68"/>
      <c r="O63" s="68"/>
      <c r="P63" s="68"/>
    </row>
    <row r="64" spans="3:16" ht="15" customHeight="1">
      <c r="C64" s="715" t="str">
        <f>IF(Indice_index!$Z$1=1,"Ativos Financeiros","Financial assets")</f>
        <v>Financial assets</v>
      </c>
      <c r="D64" s="74">
        <f>SUM(D65:D66)</f>
        <v>155.82982010000001</v>
      </c>
      <c r="E64" s="74">
        <f>SUM(E65:E66)</f>
        <v>743.07215599999995</v>
      </c>
      <c r="F64" s="74">
        <f>SUM(F65:F66)</f>
        <v>155.82982010000001</v>
      </c>
      <c r="G64" s="74">
        <f>SUM(G65:G66)</f>
        <v>643.73246323000001</v>
      </c>
      <c r="H64" s="74"/>
      <c r="I64" s="714">
        <f>IF(IFERROR((G64-F64)/F64*100,"")&gt;500,"-",IFERROR((G64-F64)/F64*100,""))</f>
        <v>313.09966399043543</v>
      </c>
      <c r="J64" s="69"/>
      <c r="K64" s="69"/>
      <c r="L64" s="70"/>
      <c r="M64" s="68"/>
      <c r="N64" s="68"/>
      <c r="O64" s="68"/>
      <c r="P64" s="68"/>
    </row>
    <row r="65" spans="3:16" ht="15" customHeight="1">
      <c r="C65" s="720" t="str">
        <f>IF(Indice_index!$Z$1=1,"Alienação de partes sociais de empresas","Divestment of company shares")</f>
        <v>Divestment of company shares</v>
      </c>
      <c r="D65" s="726">
        <v>0</v>
      </c>
      <c r="E65" s="726">
        <v>0</v>
      </c>
      <c r="F65" s="726">
        <v>0</v>
      </c>
      <c r="G65" s="726">
        <v>1.3794E-4</v>
      </c>
      <c r="H65" s="726"/>
      <c r="I65" s="714" t="str">
        <f>IF(IFERROR((G65-F65)/F65*100,"")&gt;500,"-",IFERROR((G65-F65)/F65*100,""))</f>
        <v>-</v>
      </c>
      <c r="J65" s="69"/>
      <c r="K65" s="69"/>
      <c r="L65" s="78"/>
      <c r="M65" s="68"/>
      <c r="N65" s="68"/>
      <c r="O65" s="68"/>
      <c r="P65" s="68"/>
    </row>
    <row r="66" spans="3:16" ht="15" customHeight="1">
      <c r="C66" s="720" t="str">
        <f>IF(Indice_index!$Z$1=1,"Outros ativos","Other assets")</f>
        <v>Other assets</v>
      </c>
      <c r="D66" s="727">
        <v>155.82982010000001</v>
      </c>
      <c r="E66" s="727">
        <v>743.07215599999995</v>
      </c>
      <c r="F66" s="727">
        <v>155.82982010000001</v>
      </c>
      <c r="G66" s="727">
        <v>643.73232529000006</v>
      </c>
      <c r="H66" s="727"/>
      <c r="I66" s="714">
        <f>IF(IFERROR((G66-F66)/F66*100,"")&gt;500,"-",IFERROR((G66-F66)/F66*100,""))</f>
        <v>313.09957547079273</v>
      </c>
      <c r="J66" s="69"/>
      <c r="K66" s="69"/>
      <c r="L66" s="70"/>
      <c r="M66" s="68"/>
      <c r="N66" s="68"/>
      <c r="O66" s="68"/>
      <c r="P66" s="68"/>
    </row>
    <row r="67" spans="3:16" ht="15" customHeight="1">
      <c r="C67" s="715" t="str">
        <f>IF(Indice_index!$Z$1=1,"Passivos Financeiros","Financial liabilities")</f>
        <v>Financial liabilities</v>
      </c>
      <c r="D67" s="727">
        <v>59982.372135750004</v>
      </c>
      <c r="E67" s="727">
        <v>108252.04425599999</v>
      </c>
      <c r="F67" s="727">
        <v>59982.372135750004</v>
      </c>
      <c r="G67" s="727">
        <v>62269.209932730002</v>
      </c>
      <c r="H67" s="727"/>
      <c r="I67" s="714">
        <f>IF(IFERROR((G67-F67)/F67*100,"")&gt;500,"-",IFERROR((G67-F67)/F67*100,""))</f>
        <v>3.8125164370033708</v>
      </c>
      <c r="J67" s="69"/>
      <c r="K67" s="69"/>
      <c r="L67" s="78"/>
      <c r="M67" s="68"/>
      <c r="N67" s="68"/>
      <c r="O67" s="68"/>
      <c r="P67" s="68"/>
    </row>
    <row r="68" spans="3:16" ht="15" customHeight="1">
      <c r="C68" s="728" t="str">
        <f>IF(Indice_index!$Z$1=1,"Saldo da Gerência Anterior","Previous management balance")</f>
        <v>Previous management balance</v>
      </c>
      <c r="D68" s="729">
        <v>-1.8367422900000001</v>
      </c>
      <c r="E68" s="729">
        <v>0</v>
      </c>
      <c r="F68" s="729">
        <v>-1.8367422900000001</v>
      </c>
      <c r="G68" s="729">
        <v>-7.0201009699999997</v>
      </c>
      <c r="H68" s="729"/>
      <c r="I68" s="730">
        <f>IF(IFERROR((G68-F68)/F68*100,"")&gt;500,"-",IFERROR((G68-F68)/F68*100,""))</f>
        <v>282.20391658755784</v>
      </c>
      <c r="J68" s="731"/>
      <c r="K68" s="69"/>
      <c r="M68" s="68"/>
      <c r="N68" s="68"/>
      <c r="O68" s="68"/>
      <c r="P68" s="68"/>
    </row>
    <row r="69" spans="3:16" ht="4.5" customHeight="1">
      <c r="C69" s="715"/>
      <c r="D69" s="715"/>
      <c r="E69" s="715"/>
      <c r="F69" s="74"/>
      <c r="G69" s="74"/>
      <c r="H69" s="74"/>
      <c r="I69" s="711"/>
      <c r="J69" s="69"/>
      <c r="K69" s="69"/>
      <c r="L69" s="70"/>
      <c r="M69" s="68"/>
      <c r="N69" s="68"/>
      <c r="O69" s="68"/>
      <c r="P69" s="68"/>
    </row>
    <row r="70" spans="3:16" ht="15" customHeight="1">
      <c r="C70" s="732" t="str">
        <f>IF(Indice_index!$Z$1=1,"Notas:","Notes:")</f>
        <v>Notes:</v>
      </c>
      <c r="D70" s="732"/>
      <c r="E70" s="732"/>
      <c r="F70" s="79"/>
      <c r="G70" s="733"/>
      <c r="H70" s="733"/>
      <c r="I70" s="79"/>
      <c r="J70" s="79"/>
      <c r="K70" s="79"/>
    </row>
    <row r="71" spans="3:16" ht="15" customHeight="1">
      <c r="C71" s="1593" t="str">
        <f>IF(Indice_index!$Z$1=1,"Valores registados no Sistema Central de Receitas (SCR).","Amounts accounted for on the Central Revenue System (SCR).")</f>
        <v>Amounts accounted for on the Central Revenue System (SCR).</v>
      </c>
      <c r="D71" s="1593"/>
      <c r="E71" s="1593"/>
      <c r="F71" s="1593"/>
      <c r="G71" s="1593"/>
      <c r="H71" s="1593"/>
      <c r="I71" s="1593"/>
      <c r="J71" s="1593"/>
      <c r="K71" s="79"/>
    </row>
    <row r="72" spans="3:16" ht="15" customHeight="1">
      <c r="C72" s="159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2" s="1594"/>
      <c r="E72" s="1594"/>
      <c r="F72" s="1594"/>
      <c r="G72" s="1594"/>
      <c r="H72" s="1594"/>
      <c r="I72" s="1594"/>
      <c r="J72" s="1594"/>
      <c r="K72" s="80"/>
    </row>
    <row r="73" spans="3:16" ht="4.5" customHeight="1">
      <c r="C73" s="439"/>
      <c r="D73" s="439"/>
      <c r="E73" s="439"/>
    </row>
    <row r="74" spans="3:16" ht="15" customHeight="1">
      <c r="C74" s="718" t="str">
        <f>IF(Indice_index!$Z$1=1,"Fonte: Direção-Geral do Orçamento","Source: Budget General Directorate")</f>
        <v>Source: Budget General Directorate</v>
      </c>
      <c r="D74" s="718"/>
      <c r="E74" s="718"/>
      <c r="L74" s="77"/>
    </row>
    <row r="75" spans="3:16" ht="11.25" customHeight="1">
      <c r="C75" s="81"/>
      <c r="D75" s="81"/>
      <c r="E75" s="81"/>
      <c r="F75" s="81"/>
      <c r="G75" s="81"/>
      <c r="H75" s="81"/>
      <c r="I75" s="81"/>
      <c r="J75" s="81"/>
      <c r="K75" s="81"/>
      <c r="L75" s="77"/>
    </row>
    <row r="76" spans="3:16">
      <c r="G76" s="394"/>
      <c r="H76" s="394"/>
    </row>
    <row r="96" spans="6:6">
      <c r="F96" s="82"/>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6:E6 I6:J7 D8:D10 G6:H6 D14 D24 D27:D28" unlockedFormula="1"/>
    <ignoredError sqref="F29:G29 F35:G35 F39:G39 F52:G52 E54:G54 F63:G64 G62 E29:E30 E64 E45 E35 E39 E52 F45:G45" formulaRange="1"/>
    <ignoredError sqref="E7:H7" numberStoredAsText="1"/>
    <ignoredError sqref="D7" numberStoredAsText="1" unlockedFormula="1"/>
    <ignoredError sqref="D29:D30 D35 D39 D45 D52 D54 D61:D64" formulaRange="1" unlockedFormula="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3">
    <pageSetUpPr fitToPage="1"/>
  </sheetPr>
  <dimension ref="B1:W128"/>
  <sheetViews>
    <sheetView showGridLines="0" zoomScaleNormal="100" zoomScaleSheetLayoutView="100" workbookViewId="0">
      <selection activeCell="B2" sqref="B2"/>
    </sheetView>
  </sheetViews>
  <sheetFormatPr defaultColWidth="9.140625" defaultRowHeight="12"/>
  <cols>
    <col min="1" max="1" width="2.42578125" style="55" customWidth="1"/>
    <col min="2" max="2" width="4.42578125" style="55" customWidth="1"/>
    <col min="3" max="3" width="40" style="65" customWidth="1"/>
    <col min="4" max="4" width="9.42578125" style="65" hidden="1" customWidth="1"/>
    <col min="5" max="6" width="9.42578125" style="65" customWidth="1"/>
    <col min="7" max="10" width="9.42578125" style="55" customWidth="1"/>
    <col min="11" max="14" width="8.5703125" style="55" customWidth="1"/>
    <col min="15" max="15" width="9.5703125" style="52" bestFit="1" customWidth="1"/>
    <col min="16" max="17" width="9.140625" style="52" customWidth="1"/>
    <col min="18" max="16384" width="9.140625" style="55"/>
  </cols>
  <sheetData>
    <row r="1" spans="2:23" s="52" customFormat="1" ht="15" customHeight="1">
      <c r="B1" s="51"/>
      <c r="C1" s="51"/>
      <c r="D1" s="51"/>
      <c r="E1" s="51"/>
    </row>
    <row r="2" spans="2:23" ht="38.25" customHeight="1">
      <c r="B2" s="8"/>
      <c r="C2" s="1595" t="str">
        <f>IF(Indice_index!$Z$1=1,"8 - Execução Orçamental dos Serviços e Fundos Autónomos 
(inclui Entidades Públicas Reclassificadas da Administração Central)","8 - Autonomous Services and Funds Budget Execution (including State Owned Enterprises)")</f>
        <v>8 - Autonomous Services and Funds Budget Execution (including State Owned Enterprises)</v>
      </c>
      <c r="D2" s="1595"/>
      <c r="E2" s="1595"/>
      <c r="F2" s="1595"/>
      <c r="G2" s="1595"/>
      <c r="H2" s="1595"/>
      <c r="I2" s="1595"/>
      <c r="J2" s="1595"/>
      <c r="O2" s="83"/>
      <c r="Q2" s="83"/>
    </row>
    <row r="3" spans="2:23" ht="15" customHeight="1">
      <c r="C3" s="56"/>
      <c r="D3" s="56"/>
      <c r="E3" s="56"/>
      <c r="F3" s="84"/>
      <c r="O3" s="83"/>
    </row>
    <row r="4" spans="2:23" ht="15" customHeight="1">
      <c r="C4" s="55"/>
      <c r="D4" s="55"/>
      <c r="E4" s="55"/>
    </row>
    <row r="5" spans="2:23" s="279" customFormat="1" ht="15" customHeight="1">
      <c r="C5" s="699" t="str">
        <f>+'4 - Conta AC + SS'!C5</f>
        <v>Period: January to December</v>
      </c>
      <c r="D5" s="699"/>
      <c r="E5" s="699"/>
      <c r="F5" s="930"/>
      <c r="G5" s="930"/>
      <c r="J5" s="891" t="str">
        <f>IF(Indice_index!$Z$1=1,"€ Milhões","€ Millions")</f>
        <v>€ Millions</v>
      </c>
      <c r="K5" s="258"/>
      <c r="O5" s="256"/>
      <c r="P5" s="256"/>
      <c r="Q5" s="256"/>
    </row>
    <row r="6" spans="2:23" ht="30.75" customHeight="1">
      <c r="C6" s="702"/>
      <c r="D6" s="703" t="str">
        <f>IF(Indice_index!$Z$1=1,"CGE","Final execution")</f>
        <v>Final execution</v>
      </c>
      <c r="E6" s="703" t="str">
        <f>IF(Indice_index!$Z$1=1,"Orçamento Inicial","Budget")</f>
        <v>Budget</v>
      </c>
      <c r="F6" s="1596" t="str">
        <f>IF(Indice_index!$Z$1=1,"Execução Acumulada","Accumulated Execution")</f>
        <v>Accumulated Execution</v>
      </c>
      <c r="G6" s="1596"/>
      <c r="H6" s="931" t="str">
        <f>IF(Indice_index!$Z$1=1,"Grau de Execução (%)","Execution Degree (%)")</f>
        <v>Execution Degree (%)</v>
      </c>
      <c r="I6" s="1587" t="str">
        <f>IF(Indice_index!$Z$1=1,"Variação Homóloga Acumulada","YOY Change Rate")</f>
        <v>YOY Change Rate</v>
      </c>
      <c r="J6" s="1588"/>
      <c r="K6" s="99"/>
      <c r="M6" s="85"/>
      <c r="N6" s="85"/>
      <c r="O6" s="86"/>
      <c r="P6" s="87"/>
      <c r="Q6" s="58"/>
      <c r="R6" s="58"/>
      <c r="S6" s="87"/>
      <c r="T6" s="87"/>
      <c r="U6" s="1597"/>
      <c r="V6" s="1597"/>
      <c r="W6" s="88"/>
    </row>
    <row r="7" spans="2:23" ht="30.75" customHeight="1">
      <c r="C7" s="928"/>
      <c r="D7" s="705" t="s">
        <v>66</v>
      </c>
      <c r="E7" s="705" t="s">
        <v>83</v>
      </c>
      <c r="F7" s="932" t="s">
        <v>66</v>
      </c>
      <c r="G7" s="933" t="s">
        <v>83</v>
      </c>
      <c r="H7" s="709" t="s">
        <v>83</v>
      </c>
      <c r="I7" s="709" t="str">
        <f>IF(Indice_index!$Z$1=1,"Relativa (%)","Relative change (%)")</f>
        <v>Relative change (%)</v>
      </c>
      <c r="J7" s="710" t="str">
        <f>IF(Indice_index!$Z$1=1,"Contributo VHA (p.p.)","YOY Change Rate Contrib. (p.p.)")</f>
        <v>YOY Change Rate Contrib. (p.p.)</v>
      </c>
      <c r="K7" s="99"/>
      <c r="M7" s="85"/>
      <c r="N7" s="85"/>
      <c r="O7" s="86"/>
      <c r="P7" s="87"/>
      <c r="Q7" s="58"/>
      <c r="R7" s="58"/>
      <c r="S7" s="87"/>
      <c r="T7" s="87"/>
      <c r="U7" s="234"/>
      <c r="V7" s="234"/>
      <c r="W7" s="88"/>
    </row>
    <row r="8" spans="2:23" s="89" customFormat="1" ht="4.5" customHeight="1">
      <c r="C8" s="934"/>
      <c r="D8" s="934"/>
      <c r="E8" s="934"/>
      <c r="F8" s="114"/>
      <c r="G8" s="114"/>
      <c r="H8" s="114"/>
      <c r="I8" s="114"/>
      <c r="J8" s="114"/>
      <c r="K8" s="99"/>
      <c r="L8" s="90"/>
    </row>
    <row r="9" spans="2:23" s="279" customFormat="1" ht="15" customHeight="1">
      <c r="C9" s="935" t="str">
        <f>IF(Indice_index!$Z$1=1,"Receita corrente","Current revenue")</f>
        <v>Current revenue</v>
      </c>
      <c r="D9" s="935">
        <f>SUM(D10:D21)-D15-D10</f>
        <v>31373.489314229999</v>
      </c>
      <c r="E9" s="935">
        <f>SUM(E10:E21)-E15-E10</f>
        <v>33597.860914000004</v>
      </c>
      <c r="F9" s="936">
        <f>SUM(F10:F21)-F10-F15</f>
        <v>31373.489314229999</v>
      </c>
      <c r="G9" s="936">
        <f>SUM(G10:G21)-G10-G15</f>
        <v>33067.525319200002</v>
      </c>
      <c r="H9" s="290">
        <f>IFERROR(IF(G9/E9*100&lt;-500,"-",IF(G9/E9*100&gt;500,"-",G9/E9*100)),"-")</f>
        <v>98.421519762351849</v>
      </c>
      <c r="I9" s="290">
        <f>IF(IFERROR((G9-F9)/F9*100,"")&gt;500,"-",IFERROR((G9-F9)/F9*100,""))</f>
        <v>5.3995779302802731</v>
      </c>
      <c r="J9" s="286">
        <f t="shared" ref="J9:J18" si="0">IFERROR((G9-F9)/$F$32*100,"-")</f>
        <v>4.9425696299258668</v>
      </c>
      <c r="K9" s="574"/>
      <c r="L9" s="291"/>
      <c r="M9" s="291"/>
      <c r="N9" s="292"/>
      <c r="O9" s="292"/>
      <c r="P9" s="292"/>
    </row>
    <row r="10" spans="2:23" ht="15" customHeight="1">
      <c r="C10" s="756" t="str">
        <f>IF(Indice_index!$Z$1=1,"Receita Fiscal","Tax")</f>
        <v>Tax</v>
      </c>
      <c r="D10" s="226">
        <f>D11+D12</f>
        <v>560.42877366000005</v>
      </c>
      <c r="E10" s="226">
        <f>E11+E12</f>
        <v>600.78600900000004</v>
      </c>
      <c r="F10" s="116">
        <f>F11+F12</f>
        <v>560.42877366000005</v>
      </c>
      <c r="G10" s="116">
        <f>G11+G12</f>
        <v>567.38262564000001</v>
      </c>
      <c r="H10" s="227">
        <f t="shared" ref="H10:H20" si="1">IFERROR(IF(G10/E10*100&lt;-500,"-",IF(G10/E10*100&gt;500,"-",G10/E10*100)),"-")</f>
        <v>94.440053053898595</v>
      </c>
      <c r="I10" s="227">
        <f t="shared" ref="I10:I28" si="2">IF(IFERROR((G10-F10)/F10*100,"")&gt;500,"-",IFERROR((G10-F10)/F10*100,""))</f>
        <v>1.2408092351480009</v>
      </c>
      <c r="J10" s="227">
        <f t="shared" si="0"/>
        <v>2.0288764528329072E-2</v>
      </c>
      <c r="K10" s="341"/>
      <c r="L10" s="91"/>
      <c r="N10" s="92"/>
      <c r="O10" s="92"/>
      <c r="P10" s="92"/>
      <c r="Q10" s="55"/>
    </row>
    <row r="11" spans="2:23" ht="15" customHeight="1">
      <c r="C11" s="751" t="str">
        <f>IF(Indice_index!$Z$1=1,"Impostos diretos","Direct taxes")</f>
        <v>Direct taxes</v>
      </c>
      <c r="D11" s="226">
        <v>0</v>
      </c>
      <c r="E11" s="226">
        <v>0</v>
      </c>
      <c r="F11" s="228">
        <v>0</v>
      </c>
      <c r="G11" s="228">
        <v>1.5595100000000001E-3</v>
      </c>
      <c r="H11" s="227" t="str">
        <f t="shared" si="1"/>
        <v>-</v>
      </c>
      <c r="I11" s="227" t="str">
        <f t="shared" si="2"/>
        <v>-</v>
      </c>
      <c r="J11" s="227">
        <f t="shared" si="0"/>
        <v>4.5500725728094407E-6</v>
      </c>
      <c r="K11" s="341"/>
      <c r="L11" s="91"/>
      <c r="M11" s="92"/>
      <c r="N11" s="92"/>
      <c r="O11" s="92"/>
      <c r="P11" s="92"/>
      <c r="Q11" s="55"/>
    </row>
    <row r="12" spans="2:23" ht="15" customHeight="1">
      <c r="C12" s="751" t="str">
        <f>IF(Indice_index!$Z$1=1,"Impostos indiretos","Indirect taxes")</f>
        <v>Indirect taxes</v>
      </c>
      <c r="D12" s="226">
        <v>560.42877366000005</v>
      </c>
      <c r="E12" s="226">
        <v>600.78600900000004</v>
      </c>
      <c r="F12" s="228">
        <v>560.42877366000005</v>
      </c>
      <c r="G12" s="228">
        <v>567.38106613000002</v>
      </c>
      <c r="H12" s="227">
        <f t="shared" si="1"/>
        <v>94.43979347561671</v>
      </c>
      <c r="I12" s="227">
        <f t="shared" si="2"/>
        <v>1.2405309642823192</v>
      </c>
      <c r="J12" s="227">
        <f t="shared" si="0"/>
        <v>2.0284214455756285E-2</v>
      </c>
      <c r="K12" s="341"/>
      <c r="L12" s="91"/>
      <c r="M12" s="92"/>
      <c r="N12" s="92"/>
      <c r="O12" s="92"/>
      <c r="P12" s="92"/>
      <c r="Q12" s="55"/>
    </row>
    <row r="13" spans="2:23" ht="15" customHeight="1">
      <c r="C13" s="756" t="str">
        <f>IF(Indice_index!$Z$1=1,"Contribuições para Segurança Social, CGA e ADSE","Social security, CGA and ADSE contributions")</f>
        <v>Social security, CGA and ADSE contributions</v>
      </c>
      <c r="D13" s="226">
        <v>4105.1682258899991</v>
      </c>
      <c r="E13" s="226">
        <v>3847.6888349999999</v>
      </c>
      <c r="F13" s="228">
        <v>4105.1682258899991</v>
      </c>
      <c r="G13" s="228">
        <v>4185.24116452</v>
      </c>
      <c r="H13" s="227">
        <f t="shared" si="1"/>
        <v>108.77285934479679</v>
      </c>
      <c r="I13" s="227">
        <f t="shared" si="2"/>
        <v>1.950539764119924</v>
      </c>
      <c r="J13" s="227">
        <f t="shared" si="0"/>
        <v>0.23362317771904026</v>
      </c>
      <c r="K13" s="341"/>
      <c r="L13" s="91"/>
      <c r="M13" s="92"/>
      <c r="N13" s="92"/>
      <c r="O13" s="92"/>
      <c r="P13" s="92"/>
      <c r="Q13" s="55"/>
    </row>
    <row r="14" spans="2:23" ht="15" customHeight="1">
      <c r="C14" s="756" t="str">
        <f>IF(Indice_index!$Z$1=1,"Taxas, Multas e Outras Penalidades","Taxes, fines and other penalties")</f>
        <v>Taxes, fines and other penalties</v>
      </c>
      <c r="D14" s="226">
        <v>1992.4120917200005</v>
      </c>
      <c r="E14" s="226">
        <v>2217.0227169999998</v>
      </c>
      <c r="F14" s="228">
        <v>1992.4120917200005</v>
      </c>
      <c r="G14" s="228">
        <v>2476.3824980500003</v>
      </c>
      <c r="H14" s="227">
        <f t="shared" si="1"/>
        <v>111.69856217806182</v>
      </c>
      <c r="I14" s="227">
        <f t="shared" si="2"/>
        <v>24.290678034994258</v>
      </c>
      <c r="J14" s="227">
        <f t="shared" si="0"/>
        <v>1.4120463939914285</v>
      </c>
      <c r="K14" s="341"/>
      <c r="L14" s="91"/>
      <c r="M14" s="92"/>
      <c r="N14" s="92"/>
      <c r="O14" s="92"/>
      <c r="P14" s="92"/>
      <c r="Q14" s="55"/>
    </row>
    <row r="15" spans="2:23" ht="15" customHeight="1">
      <c r="C15" s="756" t="str">
        <f>IF(Indice_index!$Z$1=1,"Transferências Correntes","Current transfers")</f>
        <v>Current transfers</v>
      </c>
      <c r="D15" s="226">
        <f>SUM(D16:D19)</f>
        <v>21900.297634200011</v>
      </c>
      <c r="E15" s="226">
        <f>SUM(E16:E19)</f>
        <v>22721.090726999999</v>
      </c>
      <c r="F15" s="226">
        <f>SUM(F16:F19)</f>
        <v>21900.297634200011</v>
      </c>
      <c r="G15" s="226">
        <f>SUM(G16:G19)</f>
        <v>22642.661765500001</v>
      </c>
      <c r="H15" s="227">
        <f t="shared" si="1"/>
        <v>99.654818677314651</v>
      </c>
      <c r="I15" s="227">
        <f t="shared" si="2"/>
        <v>3.3897444852105427</v>
      </c>
      <c r="J15" s="227">
        <f t="shared" si="0"/>
        <v>2.1659435802691807</v>
      </c>
      <c r="K15" s="341"/>
      <c r="L15" s="93"/>
      <c r="M15" s="94"/>
      <c r="N15" s="92"/>
      <c r="O15" s="92"/>
      <c r="P15" s="92"/>
      <c r="Q15" s="55"/>
    </row>
    <row r="16" spans="2:23" ht="15" customHeight="1">
      <c r="C16" s="751" t="str">
        <f>IF(Indice_index!$Z$1=1,"Administração Central","Central Administration")</f>
        <v>Central Administration</v>
      </c>
      <c r="D16" s="226">
        <v>19276.863936350011</v>
      </c>
      <c r="E16" s="226">
        <v>19497.181231999999</v>
      </c>
      <c r="F16" s="116">
        <v>19276.863936350011</v>
      </c>
      <c r="G16" s="116">
        <v>19686.691107270002</v>
      </c>
      <c r="H16" s="227">
        <f t="shared" si="1"/>
        <v>100.97198601692725</v>
      </c>
      <c r="I16" s="227">
        <f t="shared" si="2"/>
        <v>2.1260054139158369</v>
      </c>
      <c r="J16" s="227">
        <f t="shared" si="0"/>
        <v>1.1957238940405233</v>
      </c>
      <c r="K16" s="341"/>
      <c r="L16" s="93"/>
      <c r="M16" s="92"/>
      <c r="N16" s="92"/>
      <c r="O16" s="92"/>
      <c r="P16" s="92"/>
      <c r="Q16" s="55"/>
    </row>
    <row r="17" spans="3:17" ht="15" customHeight="1">
      <c r="C17" s="937" t="str">
        <f>IF(Indice_index!$Z$1=1,"Outros subsectores das AP","Other General Government subsectors")</f>
        <v>Other General Government subsectors</v>
      </c>
      <c r="D17" s="226">
        <v>1822.4623400500002</v>
      </c>
      <c r="E17" s="226">
        <v>1443.9581739999999</v>
      </c>
      <c r="F17" s="228">
        <v>1822.4623400500002</v>
      </c>
      <c r="G17" s="228">
        <v>1960.2757776000003</v>
      </c>
      <c r="H17" s="227">
        <f t="shared" si="1"/>
        <v>135.75710244914617</v>
      </c>
      <c r="I17" s="227">
        <f t="shared" si="2"/>
        <v>7.5619360971935983</v>
      </c>
      <c r="J17" s="227">
        <f t="shared" si="0"/>
        <v>0.4020885677942701</v>
      </c>
      <c r="K17" s="341"/>
      <c r="L17" s="93"/>
      <c r="M17" s="92"/>
      <c r="N17" s="92"/>
      <c r="O17" s="92"/>
      <c r="P17" s="92"/>
      <c r="Q17" s="55"/>
    </row>
    <row r="18" spans="3:17" ht="15" customHeight="1">
      <c r="C18" s="937" t="str">
        <f>IF(Indice_index!$Z$1=1,"União Europeia","European Union")</f>
        <v>European Union</v>
      </c>
      <c r="D18" s="226">
        <v>667.50455375000024</v>
      </c>
      <c r="E18" s="226">
        <v>1620.194992</v>
      </c>
      <c r="F18" s="228">
        <v>667.50455375000024</v>
      </c>
      <c r="G18" s="228">
        <v>923.04780204000008</v>
      </c>
      <c r="H18" s="227">
        <f t="shared" si="1"/>
        <v>56.971401997766456</v>
      </c>
      <c r="I18" s="227">
        <f t="shared" si="2"/>
        <v>38.283371529733138</v>
      </c>
      <c r="J18" s="227">
        <f t="shared" si="0"/>
        <v>0.74558055107755727</v>
      </c>
      <c r="K18" s="341"/>
      <c r="L18" s="93"/>
      <c r="M18" s="92"/>
      <c r="N18" s="92"/>
      <c r="O18" s="92"/>
      <c r="P18" s="92"/>
      <c r="Q18" s="55"/>
    </row>
    <row r="19" spans="3:17" ht="15" customHeight="1">
      <c r="C19" s="937" t="str">
        <f>IF(Indice_index!$Z$1=1,"Outras transferências","Other transfers")</f>
        <v>Other transfers</v>
      </c>
      <c r="D19" s="938">
        <v>133.46680404999995</v>
      </c>
      <c r="E19" s="938">
        <v>159.75632900000005</v>
      </c>
      <c r="F19" s="228">
        <v>133.46680404999995</v>
      </c>
      <c r="G19" s="228">
        <v>72.647078590000092</v>
      </c>
      <c r="H19" s="227">
        <f t="shared" si="1"/>
        <v>45.473677972407636</v>
      </c>
      <c r="I19" s="227">
        <f t="shared" si="2"/>
        <v>-45.569177963694472</v>
      </c>
      <c r="J19" s="227">
        <f>IFERROR((G19-F19)/$F$32*100,"-")</f>
        <v>-0.17744943264316701</v>
      </c>
      <c r="K19" s="341"/>
      <c r="L19" s="93"/>
      <c r="M19" s="92"/>
      <c r="N19" s="92"/>
      <c r="O19" s="92"/>
      <c r="P19" s="92"/>
      <c r="Q19" s="55"/>
    </row>
    <row r="20" spans="3:17" ht="15" customHeight="1">
      <c r="C20" s="756" t="str">
        <f>IF(Indice_index!$Z$1=1,"Outras Receitas Correntes","Other current revenue")</f>
        <v>Other current revenue</v>
      </c>
      <c r="D20" s="226">
        <v>2801.7134706300008</v>
      </c>
      <c r="E20" s="226">
        <v>4200.8441650000004</v>
      </c>
      <c r="F20" s="228">
        <v>2801.7134706300008</v>
      </c>
      <c r="G20" s="228">
        <v>3154.0128698999988</v>
      </c>
      <c r="H20" s="227">
        <f t="shared" si="1"/>
        <v>75.080453975849835</v>
      </c>
      <c r="I20" s="227">
        <f t="shared" si="2"/>
        <v>12.574426434505421</v>
      </c>
      <c r="J20" s="227">
        <f>IFERROR((G20-F20)/$F$32*100,"-")</f>
        <v>1.0278791633498088</v>
      </c>
      <c r="K20" s="341"/>
      <c r="L20" s="93"/>
      <c r="M20" s="92"/>
      <c r="N20" s="92"/>
      <c r="O20" s="92"/>
      <c r="P20" s="92"/>
      <c r="Q20" s="55"/>
    </row>
    <row r="21" spans="3:17" ht="15" customHeight="1">
      <c r="C21" s="743" t="str">
        <f>IF(Indice_index!$Z$1=1,"Diferenças de consolidação","Consolidation differences")</f>
        <v>Consolidation differences</v>
      </c>
      <c r="D21" s="226">
        <v>13.469118130000064</v>
      </c>
      <c r="E21" s="226">
        <v>10.42846099999997</v>
      </c>
      <c r="F21" s="228">
        <v>13.469118129999154</v>
      </c>
      <c r="G21" s="228">
        <v>41.844395589996694</v>
      </c>
      <c r="H21" s="227"/>
      <c r="I21" s="227"/>
      <c r="J21" s="227"/>
      <c r="K21" s="341"/>
      <c r="L21" s="93"/>
      <c r="M21" s="91"/>
      <c r="N21" s="92"/>
      <c r="O21" s="92"/>
      <c r="P21" s="92"/>
      <c r="Q21" s="55"/>
    </row>
    <row r="22" spans="3:17" s="279" customFormat="1" ht="15" customHeight="1">
      <c r="C22" s="935" t="str">
        <f>IF(Indice_index!$Z$1=1,"Receita de capital","Capital revenue")</f>
        <v>Capital revenue</v>
      </c>
      <c r="D22" s="293">
        <f>SUM(D23:D30)-D24</f>
        <v>2900.9090617299989</v>
      </c>
      <c r="E22" s="293">
        <f>SUM(E23:E30)-E24</f>
        <v>4643.6108189999995</v>
      </c>
      <c r="F22" s="293">
        <f>SUM(F23:F30)-F24</f>
        <v>2900.9090617299989</v>
      </c>
      <c r="G22" s="293">
        <f>SUM(G23:G30)-G24</f>
        <v>2986.0610431500004</v>
      </c>
      <c r="H22" s="293">
        <f t="shared" ref="H22:H29" si="3">IFERROR(IF(G22/E22*100&lt;-500,"-",IF(G22/E22*100&gt;500,"-",G22/E22*100)),"-")</f>
        <v>64.304722327980272</v>
      </c>
      <c r="I22" s="293">
        <f t="shared" si="2"/>
        <v>2.9353550769088859</v>
      </c>
      <c r="J22" s="293">
        <f t="shared" ref="J22:J29" si="4">IFERROR((G22-F22)/$F$32*100,"-")</f>
        <v>0.24844194341782205</v>
      </c>
      <c r="K22" s="574"/>
      <c r="L22" s="291"/>
      <c r="M22" s="291"/>
      <c r="N22" s="292"/>
      <c r="O22" s="292"/>
      <c r="P22" s="292"/>
    </row>
    <row r="23" spans="3:17" ht="15" customHeight="1">
      <c r="C23" s="756" t="str">
        <f>IF(Indice_index!$Z$1=1,"Venda de bens de investimento","Sale of investment goods")</f>
        <v>Sale of investment goods</v>
      </c>
      <c r="D23" s="228">
        <v>73.584087760000003</v>
      </c>
      <c r="E23" s="228">
        <v>289.06153899999998</v>
      </c>
      <c r="F23" s="228">
        <v>73.584087760000003</v>
      </c>
      <c r="G23" s="228">
        <v>114.59489248999996</v>
      </c>
      <c r="H23" s="228">
        <f t="shared" si="3"/>
        <v>39.643770280348498</v>
      </c>
      <c r="I23" s="228">
        <f t="shared" si="2"/>
        <v>55.733251547209186</v>
      </c>
      <c r="J23" s="228">
        <f t="shared" si="4"/>
        <v>0.11965433872871384</v>
      </c>
      <c r="K23" s="341"/>
      <c r="L23" s="91"/>
      <c r="M23" s="94"/>
      <c r="N23" s="92"/>
      <c r="O23" s="92"/>
      <c r="P23" s="92"/>
      <c r="Q23" s="55"/>
    </row>
    <row r="24" spans="3:17" ht="15" customHeight="1">
      <c r="C24" s="756" t="str">
        <f>IF(Indice_index!$Z$1=1,"Transferências de capital","Capital transfers")</f>
        <v>Capital transfers</v>
      </c>
      <c r="D24" s="228">
        <f>SUM(D25:D28)</f>
        <v>2769.2084536299999</v>
      </c>
      <c r="E24" s="228">
        <f>SUM(E25:E28)</f>
        <v>4330.2822379999998</v>
      </c>
      <c r="F24" s="228">
        <f>SUM(F25:F28)</f>
        <v>2769.2084536299999</v>
      </c>
      <c r="G24" s="228">
        <f>SUM(G25:G28)</f>
        <v>2854.5324329200007</v>
      </c>
      <c r="H24" s="228">
        <f t="shared" si="3"/>
        <v>65.920239744890296</v>
      </c>
      <c r="I24" s="228">
        <f t="shared" si="2"/>
        <v>3.0811685259069028</v>
      </c>
      <c r="J24" s="228">
        <f t="shared" si="4"/>
        <v>0.24894376949836386</v>
      </c>
      <c r="K24" s="341"/>
      <c r="L24" s="91"/>
      <c r="M24" s="94"/>
      <c r="N24" s="92"/>
      <c r="O24" s="92"/>
      <c r="P24" s="92"/>
      <c r="Q24" s="55"/>
    </row>
    <row r="25" spans="3:17" ht="15" customHeight="1">
      <c r="C25" s="751" t="str">
        <f>IF(Indice_index!$Z$1=1,"Administração Central","Central Administration")</f>
        <v>Central Administration</v>
      </c>
      <c r="D25" s="228">
        <v>1931.0420639599997</v>
      </c>
      <c r="E25" s="228">
        <v>1959.1733749999999</v>
      </c>
      <c r="F25" s="228">
        <v>1931.0420639599997</v>
      </c>
      <c r="G25" s="228">
        <v>1896.8297568100002</v>
      </c>
      <c r="H25" s="228">
        <f t="shared" si="3"/>
        <v>96.817861094605789</v>
      </c>
      <c r="I25" s="228">
        <f t="shared" si="2"/>
        <v>-1.771701807460381</v>
      </c>
      <c r="J25" s="228">
        <f t="shared" si="4"/>
        <v>-9.9818840799831554E-2</v>
      </c>
      <c r="K25" s="341"/>
      <c r="L25" s="91"/>
      <c r="M25" s="92"/>
      <c r="N25" s="92"/>
      <c r="O25" s="92"/>
      <c r="P25" s="92"/>
      <c r="Q25" s="55"/>
    </row>
    <row r="26" spans="3:17" ht="15" customHeight="1">
      <c r="C26" s="751" t="str">
        <f>IF(Indice_index!$Z$1=1,"Outros subsectores das AP","Other General Government subsectors")</f>
        <v>Other General Government subsectors</v>
      </c>
      <c r="D26" s="228">
        <v>7.5230845100000003</v>
      </c>
      <c r="E26" s="228">
        <v>21.245924000000002</v>
      </c>
      <c r="F26" s="228">
        <v>7.5230845100000003</v>
      </c>
      <c r="G26" s="228">
        <v>10.57915129</v>
      </c>
      <c r="H26" s="228">
        <f t="shared" si="3"/>
        <v>49.793792399897505</v>
      </c>
      <c r="I26" s="228">
        <f t="shared" si="2"/>
        <v>40.622523593052129</v>
      </c>
      <c r="J26" s="228">
        <f t="shared" si="4"/>
        <v>8.9164709661060607E-3</v>
      </c>
      <c r="K26" s="341"/>
      <c r="L26" s="91"/>
      <c r="M26" s="95"/>
      <c r="N26" s="95"/>
      <c r="O26" s="92"/>
      <c r="P26" s="92"/>
      <c r="Q26" s="55"/>
    </row>
    <row r="27" spans="3:17" ht="15" customHeight="1">
      <c r="C27" s="751" t="str">
        <f>IF(Indice_index!$Z$1=1,"União Europeia","European Union")</f>
        <v>European Union</v>
      </c>
      <c r="D27" s="228">
        <v>614.60220121999998</v>
      </c>
      <c r="E27" s="228">
        <v>2068.5379520000001</v>
      </c>
      <c r="F27" s="228">
        <v>614.60220121999998</v>
      </c>
      <c r="G27" s="228">
        <v>730.88421546000041</v>
      </c>
      <c r="H27" s="228">
        <f t="shared" si="3"/>
        <v>35.333372286127648</v>
      </c>
      <c r="I27" s="228">
        <f t="shared" si="2"/>
        <v>18.919882488083815</v>
      </c>
      <c r="J27" s="228">
        <f t="shared" si="4"/>
        <v>0.3392678493273289</v>
      </c>
      <c r="K27" s="341"/>
      <c r="L27" s="91"/>
      <c r="M27" s="96"/>
      <c r="N27" s="92"/>
      <c r="O27" s="92"/>
      <c r="P27" s="92"/>
      <c r="Q27" s="55"/>
    </row>
    <row r="28" spans="3:17" ht="15" customHeight="1">
      <c r="C28" s="751" t="str">
        <f>IF(Indice_index!$Z$1=1,"Outras transferências","Other transfers")</f>
        <v>Other transfers</v>
      </c>
      <c r="D28" s="228">
        <v>216.04110393999986</v>
      </c>
      <c r="E28" s="228">
        <v>281.32498699999996</v>
      </c>
      <c r="F28" s="228">
        <v>216.04110393999986</v>
      </c>
      <c r="G28" s="228">
        <v>216.23930935999988</v>
      </c>
      <c r="H28" s="228">
        <f t="shared" si="3"/>
        <v>76.864594100203377</v>
      </c>
      <c r="I28" s="228">
        <f t="shared" si="2"/>
        <v>9.1744309941625163E-2</v>
      </c>
      <c r="J28" s="228">
        <f t="shared" si="4"/>
        <v>5.7829000476064671E-4</v>
      </c>
      <c r="K28" s="341"/>
      <c r="L28" s="91"/>
      <c r="M28" s="92"/>
      <c r="N28" s="92"/>
      <c r="O28" s="92"/>
      <c r="P28" s="92"/>
      <c r="Q28" s="55"/>
    </row>
    <row r="29" spans="3:17" ht="15" customHeight="1">
      <c r="C29" s="756" t="str">
        <f>IF(Indice_index!$Z$1=1,"Outras Receitas de Capital","Other capital revenue")</f>
        <v>Other capital revenue</v>
      </c>
      <c r="D29" s="228">
        <v>58.116520339999994</v>
      </c>
      <c r="E29" s="228">
        <v>24.267042</v>
      </c>
      <c r="F29" s="228">
        <v>58.116520339999994</v>
      </c>
      <c r="G29" s="228">
        <v>16.933717739999999</v>
      </c>
      <c r="H29" s="228">
        <f t="shared" si="3"/>
        <v>69.780724572858929</v>
      </c>
      <c r="I29" s="228">
        <f>IF(IFERROR((G29-F29)/F29*100,"")&gt;500,"-",IFERROR((G29-F29)/F29*100,""))</f>
        <v>-70.86247139207164</v>
      </c>
      <c r="J29" s="228">
        <f t="shared" si="4"/>
        <v>-0.12015616480925757</v>
      </c>
      <c r="K29" s="341"/>
      <c r="L29" s="91"/>
      <c r="M29" s="92"/>
      <c r="N29" s="92"/>
      <c r="O29" s="92"/>
      <c r="P29" s="92"/>
      <c r="Q29" s="55"/>
    </row>
    <row r="30" spans="3:17" ht="15" customHeight="1">
      <c r="C30" s="743" t="str">
        <f>IF(Indice_index!$Z$1=1,"Diferenças de consolidação","Consolidation differences")</f>
        <v>Consolidation differences</v>
      </c>
      <c r="D30" s="228">
        <v>0</v>
      </c>
      <c r="E30" s="228">
        <v>0</v>
      </c>
      <c r="F30" s="228">
        <v>0</v>
      </c>
      <c r="G30" s="228">
        <v>0</v>
      </c>
      <c r="H30" s="228"/>
      <c r="I30" s="228"/>
      <c r="J30" s="228"/>
      <c r="K30" s="341"/>
      <c r="L30" s="91"/>
      <c r="M30" s="91"/>
      <c r="N30" s="92"/>
      <c r="O30" s="92"/>
      <c r="P30" s="92"/>
      <c r="Q30" s="55"/>
    </row>
    <row r="31" spans="3:17" ht="4.5" customHeight="1">
      <c r="C31" s="751"/>
      <c r="D31" s="751"/>
      <c r="E31" s="751"/>
      <c r="F31" s="229"/>
      <c r="G31" s="229"/>
      <c r="H31" s="229"/>
      <c r="I31" s="229"/>
      <c r="J31" s="229"/>
      <c r="K31" s="341"/>
      <c r="L31" s="91"/>
      <c r="M31" s="97"/>
      <c r="N31" s="92"/>
      <c r="O31" s="92"/>
      <c r="P31" s="92"/>
      <c r="Q31" s="55"/>
    </row>
    <row r="32" spans="3:17" s="279" customFormat="1" ht="15" customHeight="1">
      <c r="C32" s="939" t="str">
        <f>IF(Indice_index!$Z$1=1,"Receita efetiva","Effective revenue")</f>
        <v>Effective revenue</v>
      </c>
      <c r="D32" s="939">
        <f>D9+D22</f>
        <v>34274.398375959994</v>
      </c>
      <c r="E32" s="939">
        <f>E9+E22</f>
        <v>38241.471733000006</v>
      </c>
      <c r="F32" s="940">
        <f>F9+F22</f>
        <v>34274.398375959994</v>
      </c>
      <c r="G32" s="940">
        <f>G9+G22</f>
        <v>36053.586362350004</v>
      </c>
      <c r="H32" s="940">
        <f>IFERROR(IF(G32/E32*100&lt;-500,"-",IF(G32/E32*100&gt;500,"-",G32/E32*100)),"-")</f>
        <v>94.27876263255321</v>
      </c>
      <c r="I32" s="940">
        <f t="shared" ref="I32" si="5">IFERROR(IF(F32=0,"-",(G32-F32)/F32*100),"-")</f>
        <v>5.1910115733437054</v>
      </c>
      <c r="J32" s="940"/>
      <c r="K32" s="574"/>
      <c r="L32" s="291"/>
      <c r="M32" s="294"/>
      <c r="N32" s="292"/>
      <c r="O32" s="292"/>
      <c r="P32" s="292"/>
    </row>
    <row r="33" spans="3:17" ht="4.5" customHeight="1">
      <c r="C33" s="751"/>
      <c r="D33" s="751"/>
      <c r="E33" s="751"/>
      <c r="F33" s="752"/>
      <c r="G33" s="752"/>
      <c r="H33" s="752"/>
      <c r="I33" s="752"/>
      <c r="J33" s="941"/>
      <c r="K33" s="341"/>
      <c r="L33" s="91"/>
      <c r="M33" s="92"/>
      <c r="N33" s="92"/>
      <c r="O33" s="92"/>
      <c r="P33" s="92"/>
      <c r="Q33" s="55"/>
    </row>
    <row r="34" spans="3:17" s="279" customFormat="1" ht="15" customHeight="1">
      <c r="C34" s="935" t="str">
        <f>IF(Indice_index!$Z$1=1,"Despesa corrente","Current Expenditure")</f>
        <v>Current Expenditure</v>
      </c>
      <c r="D34" s="935">
        <f t="shared" ref="D34:E34" si="6">SUM(D35:D48)-D35-D41</f>
        <v>31152.515605540022</v>
      </c>
      <c r="E34" s="935">
        <f t="shared" si="6"/>
        <v>32739.375999</v>
      </c>
      <c r="F34" s="290">
        <f>SUM(F35:F48)-F35-F41</f>
        <v>31152.515605540022</v>
      </c>
      <c r="G34" s="290">
        <f>SUM(G35:G48)-G35-G41</f>
        <v>32971.67905208005</v>
      </c>
      <c r="H34" s="290">
        <f t="shared" ref="H34:H47" si="7">IFERROR(IF(G34/E34*100&lt;-500,"-",IF(G34/E34*100&gt;500,"-",G34/E34*100)),"-")</f>
        <v>100.70955247615943</v>
      </c>
      <c r="I34" s="290">
        <f t="shared" ref="I34:I56" si="8">IF(IFERROR((G34-F34)/F34*100,"")&gt;500,"-",IFERROR((G34-F34)/F34*100,""))</f>
        <v>5.8395394759597385</v>
      </c>
      <c r="J34" s="290">
        <f>IFERROR((G34-F34)/$F$59*100,"-")</f>
        <v>5.0979861987234267</v>
      </c>
      <c r="K34" s="574"/>
      <c r="L34" s="364"/>
      <c r="M34" s="291"/>
      <c r="N34" s="292"/>
      <c r="O34" s="292"/>
      <c r="P34" s="292"/>
    </row>
    <row r="35" spans="3:17" ht="15" customHeight="1">
      <c r="C35" s="756" t="str">
        <f>IF(Indice_index!$Z$1=1,"Despesas com o pessoal","Employees")</f>
        <v>Employees</v>
      </c>
      <c r="D35" s="228">
        <f t="shared" ref="D35:E35" si="9">SUM(D36:D38)</f>
        <v>8066.4356670100033</v>
      </c>
      <c r="E35" s="228">
        <f t="shared" si="9"/>
        <v>8547.5237479999996</v>
      </c>
      <c r="F35" s="228">
        <f t="shared" ref="F35:G35" si="10">SUM(F36:F38)</f>
        <v>8066.4356670100033</v>
      </c>
      <c r="G35" s="228">
        <f t="shared" si="10"/>
        <v>8510.0558284500021</v>
      </c>
      <c r="H35" s="228">
        <f t="shared" si="7"/>
        <v>99.561651764246179</v>
      </c>
      <c r="I35" s="228">
        <f t="shared" si="8"/>
        <v>5.4995809766922266</v>
      </c>
      <c r="J35" s="228">
        <f t="shared" ref="J35:J47" si="11">IFERROR((G35-F35)/$F$59*100,"-")</f>
        <v>1.2431920093810056</v>
      </c>
      <c r="K35" s="341"/>
      <c r="L35" s="365"/>
      <c r="M35" s="92"/>
      <c r="N35" s="92"/>
      <c r="O35" s="92"/>
      <c r="P35" s="92"/>
      <c r="Q35" s="55"/>
    </row>
    <row r="36" spans="3:17" ht="15" customHeight="1">
      <c r="C36" s="751" t="str">
        <f>IF(Indice_index!$Z$1=1,"Remunerações Certas e Permanentes","Certain and permanent wages")</f>
        <v>Certain and permanent wages</v>
      </c>
      <c r="D36" s="228">
        <v>5751.7280309300049</v>
      </c>
      <c r="E36" s="228">
        <v>6176.8572039999999</v>
      </c>
      <c r="F36" s="228">
        <v>5751.7280309300049</v>
      </c>
      <c r="G36" s="228">
        <v>5935.5987713700033</v>
      </c>
      <c r="H36" s="228">
        <f t="shared" si="7"/>
        <v>96.094155576823709</v>
      </c>
      <c r="I36" s="228">
        <f t="shared" si="8"/>
        <v>3.1967912851795259</v>
      </c>
      <c r="J36" s="228">
        <f t="shared" si="11"/>
        <v>0.51527557839566784</v>
      </c>
      <c r="K36" s="341"/>
      <c r="L36" s="365"/>
      <c r="M36" s="92"/>
      <c r="N36" s="92"/>
      <c r="O36" s="92"/>
      <c r="P36" s="92"/>
      <c r="Q36" s="55"/>
    </row>
    <row r="37" spans="3:17" ht="15" customHeight="1">
      <c r="C37" s="751" t="str">
        <f>IF(Indice_index!$Z$1=1,"Abonos Variáveis ou Eventuais","Variable or contingent bonuses")</f>
        <v>Variable or contingent bonuses</v>
      </c>
      <c r="D37" s="228">
        <v>771.31192492999867</v>
      </c>
      <c r="E37" s="228">
        <v>768.02462500000001</v>
      </c>
      <c r="F37" s="228">
        <v>771.31192492999867</v>
      </c>
      <c r="G37" s="228">
        <v>946.4951823900002</v>
      </c>
      <c r="H37" s="228">
        <f t="shared" si="7"/>
        <v>123.2376087407354</v>
      </c>
      <c r="I37" s="228">
        <f t="shared" si="8"/>
        <v>22.712375084295562</v>
      </c>
      <c r="J37" s="228">
        <f t="shared" si="11"/>
        <v>0.49092995490707819</v>
      </c>
      <c r="K37" s="341"/>
      <c r="L37" s="365"/>
      <c r="M37" s="92"/>
      <c r="N37" s="92"/>
      <c r="O37" s="92"/>
      <c r="P37" s="92"/>
      <c r="Q37" s="55"/>
    </row>
    <row r="38" spans="3:17" ht="15" customHeight="1">
      <c r="C38" s="751" t="str">
        <f>IF(Indice_index!$Z$1=1,"Segurança social","Social security")</f>
        <v>Social security</v>
      </c>
      <c r="D38" s="228">
        <v>1543.3957111499992</v>
      </c>
      <c r="E38" s="228">
        <v>1602.6419189999999</v>
      </c>
      <c r="F38" s="228">
        <v>1543.3957111499992</v>
      </c>
      <c r="G38" s="228">
        <v>1627.9618746899989</v>
      </c>
      <c r="H38" s="228">
        <f t="shared" si="7"/>
        <v>101.57988851968867</v>
      </c>
      <c r="I38" s="228">
        <f t="shared" si="8"/>
        <v>5.4792275842848257</v>
      </c>
      <c r="J38" s="228">
        <f t="shared" si="11"/>
        <v>0.23698647607826193</v>
      </c>
      <c r="K38" s="341"/>
      <c r="L38" s="365"/>
      <c r="M38" s="92"/>
      <c r="N38" s="92"/>
      <c r="O38" s="92"/>
      <c r="P38" s="92"/>
      <c r="Q38" s="55"/>
    </row>
    <row r="39" spans="3:17" ht="15" customHeight="1">
      <c r="C39" s="756" t="str">
        <f>IF(Indice_index!$Z$1=1,"Aquisição de bens e serviços","Purchase of goods and services")</f>
        <v>Purchase of goods and services</v>
      </c>
      <c r="D39" s="228">
        <v>9002.0530462100214</v>
      </c>
      <c r="E39" s="228">
        <v>9789.7698320000018</v>
      </c>
      <c r="F39" s="228">
        <v>9002.0530462100251</v>
      </c>
      <c r="G39" s="228">
        <v>9510.5523827200395</v>
      </c>
      <c r="H39" s="228">
        <f t="shared" si="7"/>
        <v>97.147865025720222</v>
      </c>
      <c r="I39" s="228">
        <f t="shared" si="8"/>
        <v>5.6487040667250783</v>
      </c>
      <c r="J39" s="228">
        <f t="shared" si="11"/>
        <v>1.425008074188475</v>
      </c>
      <c r="K39" s="341"/>
      <c r="L39" s="365"/>
      <c r="M39" s="92"/>
      <c r="N39" s="92"/>
      <c r="O39" s="92"/>
      <c r="P39" s="92"/>
      <c r="Q39" s="55"/>
    </row>
    <row r="40" spans="3:17" ht="15" customHeight="1">
      <c r="C40" s="756" t="str">
        <f>IF(Indice_index!$Z$1=1,"Juros e outros encargos","Interests")</f>
        <v>Interests</v>
      </c>
      <c r="D40" s="228">
        <v>607.94796599999995</v>
      </c>
      <c r="E40" s="228">
        <v>628.19225199999994</v>
      </c>
      <c r="F40" s="228">
        <v>607.94796599999995</v>
      </c>
      <c r="G40" s="228">
        <v>633.07331836999981</v>
      </c>
      <c r="H40" s="228">
        <f t="shared" si="7"/>
        <v>100.77700200129178</v>
      </c>
      <c r="I40" s="228">
        <f t="shared" si="8"/>
        <v>4.132812966759702</v>
      </c>
      <c r="J40" s="228">
        <f t="shared" si="11"/>
        <v>7.0410770326295613E-2</v>
      </c>
      <c r="K40" s="341"/>
      <c r="L40" s="365"/>
      <c r="M40" s="92"/>
      <c r="N40" s="92"/>
      <c r="O40" s="92"/>
      <c r="P40" s="92"/>
      <c r="Q40" s="55"/>
    </row>
    <row r="41" spans="3:17" ht="15" customHeight="1">
      <c r="C41" s="756" t="str">
        <f>IF(Indice_index!$Z$1=1,"Transferências correntes","Current transfers")</f>
        <v>Current transfers</v>
      </c>
      <c r="D41" s="116">
        <f>SUM(D42:D45)</f>
        <v>12518.499162490005</v>
      </c>
      <c r="E41" s="116">
        <f>SUM(E42:E45)</f>
        <v>12142.272274999999</v>
      </c>
      <c r="F41" s="116">
        <f>SUM(F42:F45)</f>
        <v>12518.499162490005</v>
      </c>
      <c r="G41" s="116">
        <f>SUM(G42:G45)</f>
        <v>13114.818996219999</v>
      </c>
      <c r="H41" s="228">
        <f t="shared" si="7"/>
        <v>108.00959407921036</v>
      </c>
      <c r="I41" s="228">
        <f t="shared" si="8"/>
        <v>4.7635089956852541</v>
      </c>
      <c r="J41" s="228">
        <f t="shared" si="11"/>
        <v>1.6711144279875296</v>
      </c>
      <c r="K41" s="341"/>
      <c r="L41" s="365"/>
      <c r="M41" s="94"/>
      <c r="N41" s="92"/>
      <c r="O41" s="92"/>
      <c r="P41" s="92"/>
      <c r="Q41" s="55"/>
    </row>
    <row r="42" spans="3:17" ht="15" customHeight="1">
      <c r="C42" s="751" t="str">
        <f>IF(Indice_index!$Z$1=1,"Administração Central","Central Administration")</f>
        <v>Central Administration</v>
      </c>
      <c r="D42" s="116">
        <v>626.81669141999987</v>
      </c>
      <c r="E42" s="116">
        <v>465.33778599999999</v>
      </c>
      <c r="F42" s="228">
        <v>626.81669141999987</v>
      </c>
      <c r="G42" s="228">
        <v>548.32438495999997</v>
      </c>
      <c r="H42" s="228">
        <f t="shared" si="7"/>
        <v>117.83362569228366</v>
      </c>
      <c r="I42" s="228">
        <f t="shared" si="8"/>
        <v>-12.52237018165267</v>
      </c>
      <c r="J42" s="228">
        <f t="shared" si="11"/>
        <v>-0.21996522401553459</v>
      </c>
      <c r="K42" s="341"/>
      <c r="L42" s="365"/>
      <c r="M42" s="92"/>
      <c r="N42" s="92"/>
      <c r="O42" s="92"/>
      <c r="P42" s="92"/>
      <c r="Q42" s="55"/>
    </row>
    <row r="43" spans="3:17" ht="15" customHeight="1">
      <c r="C43" s="751" t="str">
        <f>IF(Indice_index!$Z$1=1,"Outros subsectores das AP","Other General Government subsectors")</f>
        <v>Other General Government subsectors</v>
      </c>
      <c r="D43" s="228">
        <v>601.26875717999997</v>
      </c>
      <c r="E43" s="228">
        <v>516.88323000000003</v>
      </c>
      <c r="F43" s="228">
        <v>601.26875717999997</v>
      </c>
      <c r="G43" s="228">
        <v>662.33501304000015</v>
      </c>
      <c r="H43" s="228">
        <f t="shared" si="7"/>
        <v>128.14016292229101</v>
      </c>
      <c r="I43" s="228">
        <f t="shared" si="8"/>
        <v>10.156232987459045</v>
      </c>
      <c r="J43" s="228">
        <f t="shared" si="11"/>
        <v>0.17113081849467812</v>
      </c>
      <c r="K43" s="341"/>
      <c r="L43" s="365"/>
      <c r="M43" s="92"/>
      <c r="N43" s="92"/>
      <c r="O43" s="92"/>
      <c r="P43" s="92"/>
      <c r="Q43" s="55"/>
    </row>
    <row r="44" spans="3:17" ht="15" customHeight="1">
      <c r="C44" s="751" t="str">
        <f>IF(Indice_index!$Z$1=1,"União Europeia","European Union")</f>
        <v>European Union</v>
      </c>
      <c r="D44" s="228">
        <v>45.089023140000002</v>
      </c>
      <c r="E44" s="228">
        <v>24.361438</v>
      </c>
      <c r="F44" s="228">
        <v>45.089023140000002</v>
      </c>
      <c r="G44" s="228">
        <v>34.22793866</v>
      </c>
      <c r="H44" s="228">
        <f t="shared" si="7"/>
        <v>140.5004854803727</v>
      </c>
      <c r="I44" s="228">
        <f t="shared" si="8"/>
        <v>-24.088090013120656</v>
      </c>
      <c r="J44" s="228">
        <f t="shared" si="11"/>
        <v>-3.0436879592935964E-2</v>
      </c>
      <c r="K44" s="341"/>
      <c r="L44" s="365"/>
      <c r="M44" s="92"/>
      <c r="N44" s="92"/>
      <c r="O44" s="92"/>
      <c r="P44" s="92"/>
      <c r="Q44" s="55"/>
    </row>
    <row r="45" spans="3:17" ht="15" customHeight="1">
      <c r="C45" s="751" t="str">
        <f>IF(Indice_index!$Z$1=1,"Outras transferências","Other transfers")</f>
        <v>Other transfers</v>
      </c>
      <c r="D45" s="228">
        <v>11245.324690750005</v>
      </c>
      <c r="E45" s="228">
        <v>11135.689821</v>
      </c>
      <c r="F45" s="228">
        <v>11245.324690750005</v>
      </c>
      <c r="G45" s="228">
        <v>11869.931659559999</v>
      </c>
      <c r="H45" s="228">
        <f t="shared" si="7"/>
        <v>106.59359097067652</v>
      </c>
      <c r="I45" s="228">
        <f t="shared" si="8"/>
        <v>5.5543702470749743</v>
      </c>
      <c r="J45" s="228">
        <f t="shared" si="11"/>
        <v>1.7503857131013218</v>
      </c>
      <c r="K45" s="341"/>
      <c r="L45" s="365"/>
      <c r="M45" s="92"/>
      <c r="N45" s="92"/>
      <c r="O45" s="92"/>
      <c r="P45" s="92"/>
      <c r="Q45" s="55"/>
    </row>
    <row r="46" spans="3:17" ht="15" customHeight="1">
      <c r="C46" s="756" t="str">
        <f>IF(Indice_index!$Z$1=1,"Subsídios","Subsidies")</f>
        <v>Subsidies</v>
      </c>
      <c r="D46" s="228">
        <v>699.66046984000036</v>
      </c>
      <c r="E46" s="228">
        <v>906.79571299999998</v>
      </c>
      <c r="F46" s="228">
        <v>699.66046984000036</v>
      </c>
      <c r="G46" s="228">
        <v>966.6572482499995</v>
      </c>
      <c r="H46" s="228">
        <f t="shared" si="7"/>
        <v>106.6014356256666</v>
      </c>
      <c r="I46" s="228">
        <f t="shared" si="8"/>
        <v>38.160906599604871</v>
      </c>
      <c r="J46" s="228">
        <f t="shared" si="11"/>
        <v>0.74822627621868443</v>
      </c>
      <c r="K46" s="341"/>
      <c r="L46" s="365"/>
      <c r="M46" s="92"/>
      <c r="N46" s="92"/>
      <c r="O46" s="92"/>
      <c r="P46" s="92"/>
      <c r="Q46" s="55"/>
    </row>
    <row r="47" spans="3:17" ht="15" customHeight="1">
      <c r="C47" s="756" t="str">
        <f>IF(Indice_index!$Z$1=1,"Outras despesas correntes","Other current expenditure")</f>
        <v>Other current expenditure</v>
      </c>
      <c r="D47" s="228">
        <v>253.93730980000015</v>
      </c>
      <c r="E47" s="228">
        <v>724.82217900000001</v>
      </c>
      <c r="F47" s="228">
        <v>253.93730980000015</v>
      </c>
      <c r="G47" s="228">
        <v>233.20946046999973</v>
      </c>
      <c r="H47" s="228">
        <f t="shared" si="7"/>
        <v>32.174713636901522</v>
      </c>
      <c r="I47" s="228">
        <f t="shared" si="8"/>
        <v>-8.1625852248043369</v>
      </c>
      <c r="J47" s="228">
        <f t="shared" si="11"/>
        <v>-5.8087298320852507E-2</v>
      </c>
      <c r="K47" s="341"/>
      <c r="L47" s="365"/>
      <c r="M47" s="92"/>
      <c r="N47" s="92"/>
      <c r="O47" s="92"/>
      <c r="P47" s="92"/>
      <c r="Q47" s="55"/>
    </row>
    <row r="48" spans="3:17" ht="15" customHeight="1">
      <c r="C48" s="743" t="str">
        <f>IF(Indice_index!$Z$1=1,"Diferenças de consolidação","Consolidation differences")</f>
        <v>Consolidation differences</v>
      </c>
      <c r="D48" s="228">
        <v>3.9819841900025494</v>
      </c>
      <c r="E48" s="228">
        <v>0</v>
      </c>
      <c r="F48" s="228">
        <v>3.9819841900025494</v>
      </c>
      <c r="G48" s="228">
        <v>3.3118176000079984</v>
      </c>
      <c r="H48" s="228"/>
      <c r="I48" s="228"/>
      <c r="J48" s="228"/>
      <c r="K48" s="341"/>
      <c r="L48" s="365"/>
      <c r="M48" s="91"/>
      <c r="N48" s="92"/>
      <c r="O48" s="92"/>
      <c r="P48" s="92"/>
      <c r="Q48" s="55"/>
    </row>
    <row r="49" spans="3:17" s="279" customFormat="1" ht="15" customHeight="1">
      <c r="C49" s="935" t="str">
        <f>IF(Indice_index!$Z$1=1,"Despesa de capital","Capital expenditure")</f>
        <v>Capital expenditure</v>
      </c>
      <c r="D49" s="290">
        <f>SUM(D50:D57)-D51</f>
        <v>4531.4461712799994</v>
      </c>
      <c r="E49" s="290">
        <f>SUM(E50:E57)-E51</f>
        <v>5447.7322199999999</v>
      </c>
      <c r="F49" s="290">
        <f>SUM(F50:F57)-F51</f>
        <v>4531.4461712799994</v>
      </c>
      <c r="G49" s="290">
        <f>SUM(G50:G57)-G51</f>
        <v>4201.4056686499962</v>
      </c>
      <c r="H49" s="290">
        <f t="shared" ref="H49:H56" si="12">IFERROR(IF(G49/E49*100&lt;-500,"-",IF(G49/E49*100&gt;500,"-",G49/E49*100)),"-")</f>
        <v>77.122103271257998</v>
      </c>
      <c r="I49" s="290">
        <f t="shared" si="8"/>
        <v>-7.2833371545220515</v>
      </c>
      <c r="J49" s="290">
        <f t="shared" ref="J49:J56" si="13">IFERROR((G49-F49)/$F$59*100,"-")</f>
        <v>-0.92489871134318524</v>
      </c>
      <c r="K49" s="574"/>
      <c r="L49" s="364"/>
      <c r="M49" s="291"/>
      <c r="N49" s="292"/>
      <c r="O49" s="292"/>
      <c r="P49" s="292"/>
    </row>
    <row r="50" spans="3:17" ht="15" customHeight="1">
      <c r="C50" s="756" t="str">
        <f>IF(Indice_index!$Z$1=1,"Investimento","Investment")</f>
        <v>Investment</v>
      </c>
      <c r="D50" s="228">
        <v>2408.4981520799979</v>
      </c>
      <c r="E50" s="228">
        <v>4072.9421849999999</v>
      </c>
      <c r="F50" s="228">
        <v>2408.4981520799979</v>
      </c>
      <c r="G50" s="228">
        <v>2741.709417499997</v>
      </c>
      <c r="H50" s="228">
        <f t="shared" si="12"/>
        <v>67.315205887215342</v>
      </c>
      <c r="I50" s="228">
        <f t="shared" si="8"/>
        <v>13.834815074789875</v>
      </c>
      <c r="J50" s="228">
        <f t="shared" si="13"/>
        <v>0.93378439172202621</v>
      </c>
      <c r="K50" s="341"/>
      <c r="L50" s="365"/>
      <c r="M50" s="92"/>
      <c r="N50" s="92"/>
      <c r="O50" s="92"/>
      <c r="P50" s="92"/>
      <c r="Q50" s="55"/>
    </row>
    <row r="51" spans="3:17" ht="15" customHeight="1">
      <c r="C51" s="756" t="str">
        <f>IF(Indice_index!$Z$1=1,"Transferências de capital","Capital transfers")</f>
        <v>Capital transfers</v>
      </c>
      <c r="D51" s="228">
        <f>SUM(D52:D55)</f>
        <v>2035.80182524</v>
      </c>
      <c r="E51" s="228">
        <f>SUM(E52:E55)</f>
        <v>1237.9262200000001</v>
      </c>
      <c r="F51" s="228">
        <f>SUM(F52:F55)</f>
        <v>2035.80182524</v>
      </c>
      <c r="G51" s="228">
        <f>SUM(G52:G55)</f>
        <v>1284.5038028500003</v>
      </c>
      <c r="H51" s="228">
        <f t="shared" si="12"/>
        <v>103.76254918083892</v>
      </c>
      <c r="I51" s="228">
        <f t="shared" si="8"/>
        <v>-36.904280813356152</v>
      </c>
      <c r="J51" s="228">
        <f t="shared" si="13"/>
        <v>-2.1054221139706413</v>
      </c>
      <c r="K51" s="341"/>
      <c r="L51" s="365"/>
      <c r="M51" s="94"/>
      <c r="N51" s="92"/>
      <c r="O51" s="92"/>
      <c r="P51" s="92"/>
      <c r="Q51" s="55"/>
    </row>
    <row r="52" spans="3:17" ht="15" customHeight="1">
      <c r="C52" s="751" t="str">
        <f>IF(Indice_index!$Z$1=1,"Administração Central","Central Administration")</f>
        <v>Central Administration</v>
      </c>
      <c r="D52" s="116">
        <v>31.58682894</v>
      </c>
      <c r="E52" s="116">
        <v>36.029286999999997</v>
      </c>
      <c r="F52" s="228">
        <v>31.58682894</v>
      </c>
      <c r="G52" s="228">
        <v>13.07259616</v>
      </c>
      <c r="H52" s="228">
        <f t="shared" si="12"/>
        <v>36.283249679628689</v>
      </c>
      <c r="I52" s="228">
        <f t="shared" si="8"/>
        <v>-58.61377479571712</v>
      </c>
      <c r="J52" s="228">
        <f t="shared" si="13"/>
        <v>-5.1883904864024041E-2</v>
      </c>
      <c r="K52" s="341"/>
      <c r="L52" s="365"/>
      <c r="M52" s="92"/>
      <c r="N52" s="92"/>
      <c r="O52" s="92"/>
      <c r="P52" s="92"/>
      <c r="Q52" s="55"/>
    </row>
    <row r="53" spans="3:17" ht="15" customHeight="1">
      <c r="C53" s="751" t="str">
        <f>IF(Indice_index!$Z$1=1,"Outros subsectores das AP","Other General Government subsectors")</f>
        <v>Other General Government subsectors</v>
      </c>
      <c r="D53" s="228">
        <v>38.318416939999992</v>
      </c>
      <c r="E53" s="228">
        <v>197.68287799999999</v>
      </c>
      <c r="F53" s="228">
        <v>38.318416939999992</v>
      </c>
      <c r="G53" s="228">
        <v>43.0516407</v>
      </c>
      <c r="H53" s="228">
        <f t="shared" si="12"/>
        <v>21.778133309046623</v>
      </c>
      <c r="I53" s="228">
        <f t="shared" si="8"/>
        <v>12.352346829493028</v>
      </c>
      <c r="J53" s="228">
        <f t="shared" si="13"/>
        <v>1.3264288841029608E-2</v>
      </c>
      <c r="K53" s="341"/>
      <c r="L53" s="366"/>
      <c r="M53" s="92"/>
      <c r="N53" s="92"/>
      <c r="O53" s="92"/>
      <c r="P53" s="92"/>
      <c r="Q53" s="55"/>
    </row>
    <row r="54" spans="3:17" ht="15" customHeight="1">
      <c r="C54" s="751" t="str">
        <f>IF(Indice_index!$Z$1=1,"União Europeia","European Union")</f>
        <v>European Union</v>
      </c>
      <c r="D54" s="228">
        <v>133.96027826</v>
      </c>
      <c r="E54" s="228">
        <v>135.73274799999999</v>
      </c>
      <c r="F54" s="228">
        <v>133.96027826</v>
      </c>
      <c r="G54" s="228">
        <v>140.22298720999999</v>
      </c>
      <c r="H54" s="228">
        <f t="shared" si="12"/>
        <v>103.30814727924023</v>
      </c>
      <c r="I54" s="228">
        <f t="shared" si="8"/>
        <v>4.6750492245506248</v>
      </c>
      <c r="J54" s="228">
        <f t="shared" si="13"/>
        <v>1.7550486656075809E-2</v>
      </c>
      <c r="K54" s="341"/>
      <c r="L54" s="366"/>
      <c r="M54" s="92"/>
      <c r="N54" s="92"/>
      <c r="O54" s="92"/>
      <c r="P54" s="92"/>
      <c r="Q54" s="55"/>
    </row>
    <row r="55" spans="3:17" ht="15" customHeight="1">
      <c r="C55" s="751" t="str">
        <f>IF(Indice_index!$Z$1=1,"Outras transferências","Other transfers")</f>
        <v>Other transfers</v>
      </c>
      <c r="D55" s="228">
        <v>1831.9363011</v>
      </c>
      <c r="E55" s="228">
        <v>868.48130700000013</v>
      </c>
      <c r="F55" s="228">
        <v>1831.9363011</v>
      </c>
      <c r="G55" s="228">
        <v>1088.1565787800002</v>
      </c>
      <c r="H55" s="228">
        <f t="shared" si="12"/>
        <v>125.29418537962844</v>
      </c>
      <c r="I55" s="228">
        <f t="shared" si="8"/>
        <v>-40.600741514505259</v>
      </c>
      <c r="J55" s="228">
        <f t="shared" si="13"/>
        <v>-2.084352984603723</v>
      </c>
      <c r="K55" s="341"/>
      <c r="L55" s="366"/>
      <c r="M55" s="92"/>
      <c r="N55" s="92"/>
      <c r="O55" s="92"/>
      <c r="P55" s="92"/>
      <c r="Q55" s="55"/>
    </row>
    <row r="56" spans="3:17" ht="15" customHeight="1">
      <c r="C56" s="756" t="str">
        <f>IF(Indice_index!$Z$1=1,"Outras despesas de capital","Other capital expenditure")</f>
        <v>Other capital expenditure</v>
      </c>
      <c r="D56" s="228">
        <v>68.004577380000001</v>
      </c>
      <c r="E56" s="228">
        <v>136.530621</v>
      </c>
      <c r="F56" s="228">
        <v>68.004577380000001</v>
      </c>
      <c r="G56" s="228">
        <v>115.82734792000001</v>
      </c>
      <c r="H56" s="228">
        <f t="shared" si="12"/>
        <v>84.836168671641815</v>
      </c>
      <c r="I56" s="228">
        <f t="shared" si="8"/>
        <v>70.322869992666966</v>
      </c>
      <c r="J56" s="228">
        <f t="shared" si="13"/>
        <v>0.13401754782470721</v>
      </c>
      <c r="K56" s="341"/>
      <c r="L56" s="365"/>
      <c r="M56" s="94"/>
      <c r="N56" s="92"/>
      <c r="O56" s="92"/>
      <c r="P56" s="92"/>
      <c r="Q56" s="55"/>
    </row>
    <row r="57" spans="3:17" ht="15" customHeight="1">
      <c r="C57" s="743" t="str">
        <f>IF(Indice_index!$Z$1=1,"Diferenças de consolidação","Consolidation differences")</f>
        <v>Consolidation differences</v>
      </c>
      <c r="D57" s="228">
        <v>19.141616580000118</v>
      </c>
      <c r="E57" s="228">
        <v>0.33319400000004862</v>
      </c>
      <c r="F57" s="228">
        <v>19.141616580000118</v>
      </c>
      <c r="G57" s="228">
        <v>59.365100379999774</v>
      </c>
      <c r="H57" s="228"/>
      <c r="I57" s="228"/>
      <c r="J57" s="228"/>
      <c r="K57" s="341"/>
      <c r="L57" s="365"/>
      <c r="M57" s="91"/>
      <c r="N57" s="92"/>
      <c r="O57" s="92"/>
      <c r="P57" s="92"/>
      <c r="Q57" s="55"/>
    </row>
    <row r="58" spans="3:17" ht="4.5" customHeight="1">
      <c r="C58" s="756"/>
      <c r="D58" s="756"/>
      <c r="E58" s="756"/>
      <c r="F58" s="229"/>
      <c r="G58" s="229"/>
      <c r="H58" s="229"/>
      <c r="I58" s="229"/>
      <c r="J58" s="229"/>
      <c r="K58" s="341"/>
      <c r="L58" s="92"/>
      <c r="M58" s="92"/>
      <c r="N58" s="98"/>
      <c r="O58" s="92"/>
      <c r="P58" s="92"/>
      <c r="Q58" s="55"/>
    </row>
    <row r="59" spans="3:17" s="279" customFormat="1" ht="15" customHeight="1">
      <c r="C59" s="939" t="str">
        <f>IF(Indice_index!$Z$1=1,"Despesa efetiva","Effective Expenditure")</f>
        <v>Effective Expenditure</v>
      </c>
      <c r="D59" s="939">
        <f t="shared" ref="D59:E59" si="14">D34+D49</f>
        <v>35683.961776820019</v>
      </c>
      <c r="E59" s="939">
        <f t="shared" si="14"/>
        <v>38187.108219000002</v>
      </c>
      <c r="F59" s="940">
        <f>+F34+F49</f>
        <v>35683.961776820019</v>
      </c>
      <c r="G59" s="940">
        <f>+G34+G49</f>
        <v>37173.084720730047</v>
      </c>
      <c r="H59" s="940">
        <f>IFERROR(IF(G59/E59*100&lt;-500,"-",IF(G59/E59*100&gt;500,"-",G59/E59*100)),"-")</f>
        <v>97.344592074229325</v>
      </c>
      <c r="I59" s="940">
        <f t="shared" ref="I59" si="15">IFERROR(IF(F59=0,"-",(G59-F59)/F59*100),"-")</f>
        <v>4.1730874873802515</v>
      </c>
      <c r="J59" s="940"/>
      <c r="K59" s="574"/>
      <c r="L59" s="367"/>
      <c r="M59" s="291"/>
      <c r="N59" s="292"/>
      <c r="O59" s="292"/>
      <c r="P59" s="292"/>
    </row>
    <row r="60" spans="3:17" ht="4.5" customHeight="1">
      <c r="C60" s="942"/>
      <c r="D60" s="942"/>
      <c r="E60" s="942"/>
      <c r="F60" s="752"/>
      <c r="G60" s="752"/>
      <c r="H60" s="114"/>
      <c r="I60" s="114"/>
      <c r="J60" s="114"/>
      <c r="K60" s="341"/>
      <c r="L60" s="368"/>
      <c r="M60" s="92"/>
      <c r="N60" s="92"/>
      <c r="O60" s="92"/>
      <c r="P60" s="92"/>
      <c r="Q60" s="55"/>
    </row>
    <row r="61" spans="3:17" s="279" customFormat="1" ht="15" customHeight="1">
      <c r="C61" s="746" t="str">
        <f>IF(Indice_index!$Z$1=1,"Saldo global","Overall Balance")</f>
        <v>Overall Balance</v>
      </c>
      <c r="D61" s="746">
        <f>+(D9+D22)-(D34+D49)</f>
        <v>-1409.5634008600246</v>
      </c>
      <c r="E61" s="746">
        <f>+(E9+E22)-(E34+E49)</f>
        <v>54.363514000004216</v>
      </c>
      <c r="F61" s="747">
        <f>+(F9+F22)-(F34+F49)</f>
        <v>-1409.5634008600246</v>
      </c>
      <c r="G61" s="747">
        <f>+(G9+G22)-(G34+G49)</f>
        <v>-1119.4983583800422</v>
      </c>
      <c r="H61" s="747"/>
      <c r="I61" s="747"/>
      <c r="J61" s="747"/>
      <c r="K61" s="574"/>
      <c r="L61" s="367"/>
      <c r="M61" s="295"/>
      <c r="N61" s="296"/>
      <c r="O61" s="292"/>
      <c r="P61" s="292"/>
    </row>
    <row r="62" spans="3:17" ht="4.5" customHeight="1">
      <c r="C62" s="943"/>
      <c r="D62" s="943"/>
      <c r="E62" s="943"/>
      <c r="F62" s="944"/>
      <c r="G62" s="228"/>
      <c r="H62" s="230"/>
      <c r="I62" s="230"/>
      <c r="J62" s="230"/>
      <c r="K62" s="341"/>
      <c r="L62" s="368"/>
      <c r="M62" s="92"/>
      <c r="N62" s="92"/>
      <c r="O62" s="92"/>
      <c r="P62" s="92"/>
      <c r="Q62" s="55"/>
    </row>
    <row r="63" spans="3:17" ht="15" customHeight="1">
      <c r="C63" s="756" t="str">
        <f>IF(Indice_index!$Z$1=1,"Despesa  primária","Primary Expenditure")</f>
        <v>Primary Expenditure</v>
      </c>
      <c r="D63" s="116">
        <f>D59-D40</f>
        <v>35076.013810820019</v>
      </c>
      <c r="E63" s="116">
        <f>E59-E40</f>
        <v>37558.915967000001</v>
      </c>
      <c r="F63" s="116">
        <f>F59-F40</f>
        <v>35076.013810820019</v>
      </c>
      <c r="G63" s="116">
        <f>G59-G40</f>
        <v>36540.011402360047</v>
      </c>
      <c r="H63" s="228">
        <f>IFERROR(IF(G63/E63*100&lt;-500,"-",IF(G63/E63*100&gt;500,"-",G63/E63*100)),"-")</f>
        <v>97.287183246888205</v>
      </c>
      <c r="I63" s="228">
        <f t="shared" ref="I63" si="16">IFERROR(IF(F63=0,"-",(G63-F63)/F63*100),"-")</f>
        <v>4.1737855374216553</v>
      </c>
      <c r="J63" s="228"/>
      <c r="K63" s="341"/>
      <c r="L63" s="368"/>
      <c r="M63" s="92"/>
      <c r="N63" s="92"/>
      <c r="O63" s="92"/>
      <c r="P63" s="92"/>
      <c r="Q63" s="55"/>
    </row>
    <row r="64" spans="3:17" ht="15" customHeight="1">
      <c r="C64" s="927" t="str">
        <f>IF(Indice_index!$Z$1=1,"Saldo corrente","Current balance")</f>
        <v>Current balance</v>
      </c>
      <c r="D64" s="116">
        <f>+D9-D34</f>
        <v>220.97370868997677</v>
      </c>
      <c r="E64" s="116">
        <f>+E9-E34</f>
        <v>858.48491500000455</v>
      </c>
      <c r="F64" s="116">
        <f>+F9-F34</f>
        <v>220.97370868997677</v>
      </c>
      <c r="G64" s="116">
        <f>+G9-G34</f>
        <v>95.846267119952245</v>
      </c>
      <c r="H64" s="230"/>
      <c r="I64" s="230"/>
      <c r="J64" s="230"/>
      <c r="K64" s="341"/>
      <c r="L64" s="368"/>
      <c r="M64" s="99"/>
      <c r="N64" s="92"/>
      <c r="O64" s="92"/>
      <c r="P64" s="92"/>
      <c r="Q64" s="55"/>
    </row>
    <row r="65" spans="3:19" ht="15" customHeight="1">
      <c r="C65" s="927" t="str">
        <f>IF(Indice_index!$Z$1=1,"Saldo de capital","Capital balance")</f>
        <v>Capital balance</v>
      </c>
      <c r="D65" s="116">
        <f>D22-D49</f>
        <v>-1630.5371095500004</v>
      </c>
      <c r="E65" s="116">
        <f>E22-E49</f>
        <v>-804.12140100000033</v>
      </c>
      <c r="F65" s="116">
        <f>F22-F49</f>
        <v>-1630.5371095500004</v>
      </c>
      <c r="G65" s="116">
        <f>G22-G49</f>
        <v>-1215.3446254999958</v>
      </c>
      <c r="H65" s="230"/>
      <c r="I65" s="230"/>
      <c r="J65" s="230"/>
      <c r="K65" s="341"/>
      <c r="L65" s="368"/>
      <c r="M65" s="99"/>
      <c r="N65" s="92"/>
      <c r="O65" s="92"/>
      <c r="P65" s="92"/>
      <c r="Q65" s="55"/>
    </row>
    <row r="66" spans="3:19" ht="15" customHeight="1">
      <c r="C66" s="927" t="str">
        <f>IF(Indice_index!$Z$1=1,"Saldo primário","Primary balance")</f>
        <v>Primary balance</v>
      </c>
      <c r="D66" s="116">
        <f>D61+D40</f>
        <v>-801.61543486002461</v>
      </c>
      <c r="E66" s="116">
        <f>E61+E40</f>
        <v>682.55576600000416</v>
      </c>
      <c r="F66" s="116">
        <f>F61+F40</f>
        <v>-801.61543486002461</v>
      </c>
      <c r="G66" s="116">
        <f>G61+G40</f>
        <v>-486.42504001004238</v>
      </c>
      <c r="H66" s="230"/>
      <c r="I66" s="230"/>
      <c r="J66" s="230"/>
      <c r="K66" s="341"/>
      <c r="L66" s="368"/>
      <c r="M66" s="99"/>
      <c r="N66" s="92"/>
      <c r="O66" s="92"/>
      <c r="P66" s="92"/>
      <c r="Q66" s="55"/>
    </row>
    <row r="67" spans="3:19" ht="4.5" customHeight="1">
      <c r="C67" s="138"/>
      <c r="D67" s="138"/>
      <c r="E67" s="138"/>
      <c r="F67" s="116"/>
      <c r="G67" s="116"/>
      <c r="H67" s="230"/>
      <c r="I67" s="230"/>
      <c r="J67" s="230"/>
      <c r="K67" s="341"/>
      <c r="L67" s="368"/>
      <c r="M67" s="99"/>
      <c r="N67" s="92"/>
      <c r="O67" s="92"/>
      <c r="P67" s="92"/>
      <c r="Q67" s="55"/>
    </row>
    <row r="68" spans="3:19" ht="15" customHeight="1">
      <c r="C68" s="138" t="str">
        <f>IF(Indice_index!$Z$1=1,"Ativos financeiros líquidos de reembolsos","Financial assets net of reimbursements")</f>
        <v>Financial assets net of reimbursements</v>
      </c>
      <c r="D68" s="138">
        <v>-684.04429174999768</v>
      </c>
      <c r="E68" s="138">
        <v>1941.7555179999999</v>
      </c>
      <c r="F68" s="116">
        <v>-684.04429174999768</v>
      </c>
      <c r="G68" s="116">
        <v>3342.5411347699969</v>
      </c>
      <c r="H68" s="945"/>
      <c r="I68" s="945"/>
      <c r="J68" s="230"/>
      <c r="K68" s="575"/>
      <c r="L68" s="368"/>
      <c r="M68" s="92"/>
      <c r="N68" s="92"/>
      <c r="O68" s="92"/>
      <c r="P68" s="92"/>
      <c r="Q68" s="55"/>
    </row>
    <row r="69" spans="3:19" ht="15" customHeight="1">
      <c r="C69" s="946" t="str">
        <f>IF(Indice_index!$Z$1=1,"dos quais Receitas de:","of which revenue from:")</f>
        <v>of which revenue from:</v>
      </c>
      <c r="D69" s="946"/>
      <c r="E69" s="946"/>
      <c r="F69" s="116"/>
      <c r="G69" s="116"/>
      <c r="H69" s="116"/>
      <c r="I69" s="116"/>
      <c r="J69" s="230"/>
      <c r="K69" s="341"/>
      <c r="L69" s="368"/>
      <c r="M69" s="92"/>
      <c r="N69" s="92"/>
      <c r="O69" s="92"/>
      <c r="P69" s="92"/>
      <c r="Q69" s="55"/>
    </row>
    <row r="70" spans="3:19" ht="15" customHeight="1">
      <c r="C70" s="750" t="str">
        <f>IF(Indice_index!$Z$1=1,"Alienação de partes de Capital","Disposal of Capital Shares")</f>
        <v>Disposal of Capital Shares</v>
      </c>
      <c r="D70" s="116">
        <v>3.0014323799999998</v>
      </c>
      <c r="E70" s="116">
        <v>0</v>
      </c>
      <c r="F70" s="116">
        <v>3.0014323799999998</v>
      </c>
      <c r="G70" s="116">
        <v>0</v>
      </c>
      <c r="H70" s="228"/>
      <c r="I70" s="228">
        <f>IF(F70=0,"-",(G70-F70)/F70*100)</f>
        <v>-100</v>
      </c>
      <c r="J70" s="230"/>
      <c r="K70" s="341"/>
      <c r="L70" s="368"/>
      <c r="M70" s="92"/>
      <c r="N70" s="92"/>
      <c r="O70" s="92"/>
      <c r="P70" s="92"/>
      <c r="Q70" s="55"/>
    </row>
    <row r="71" spans="3:19" ht="15" customHeight="1">
      <c r="C71" s="751" t="str">
        <f>IF(Indice_index!$Z$1=1,"Outros Ativos","Other Assets")</f>
        <v>Other Assets</v>
      </c>
      <c r="D71" s="116">
        <v>3825.1710623199997</v>
      </c>
      <c r="E71" s="116">
        <v>6002.6424470000002</v>
      </c>
      <c r="F71" s="116">
        <v>3825.1710623199997</v>
      </c>
      <c r="G71" s="116">
        <v>2551.3647277100004</v>
      </c>
      <c r="H71" s="228"/>
      <c r="I71" s="228">
        <f>IF(IFERROR((G71-F71)/F71*100,"")&gt;500,"-",IFERROR((G71-F71)/F71*100,""))</f>
        <v>-33.300637118106415</v>
      </c>
      <c r="J71" s="230"/>
      <c r="K71" s="341"/>
      <c r="L71" s="368"/>
      <c r="M71" s="92"/>
      <c r="N71" s="92"/>
      <c r="O71" s="92"/>
      <c r="P71" s="92"/>
      <c r="Q71" s="55"/>
    </row>
    <row r="72" spans="3:19" ht="15" customHeight="1">
      <c r="C72" s="138" t="str">
        <f>IF(Indice_index!$Z$1=1,"Passivos financeiros líquidos de amortizações","Financial liabilities net of amortizations")</f>
        <v>Financial liabilities net of amortizations</v>
      </c>
      <c r="D72" s="138">
        <v>2306.0591623399996</v>
      </c>
      <c r="E72" s="138">
        <v>2335.5831519999992</v>
      </c>
      <c r="F72" s="116">
        <v>2306.0591623399996</v>
      </c>
      <c r="G72" s="116">
        <v>1926.6766931799998</v>
      </c>
      <c r="H72" s="116"/>
      <c r="I72" s="116"/>
      <c r="J72" s="230"/>
      <c r="K72" s="341"/>
      <c r="L72" s="368"/>
      <c r="M72" s="92"/>
      <c r="N72" s="92"/>
      <c r="O72" s="92"/>
      <c r="P72" s="92"/>
      <c r="Q72" s="55"/>
    </row>
    <row r="73" spans="3:19" ht="15" customHeight="1">
      <c r="C73" s="928" t="str">
        <f>IF(Indice_index!$Z$1=1,"Poupança (+) / Utilização (-) de saldo da gerência anterior","Saving (+) / Usage (-) of balance from previous management")</f>
        <v>Saving (+) / Usage (-) of balance from previous management</v>
      </c>
      <c r="D73" s="928">
        <f>D61-D68+D72</f>
        <v>1580.5400532299727</v>
      </c>
      <c r="E73" s="928">
        <f>E61-E68+E72</f>
        <v>448.19114800000352</v>
      </c>
      <c r="F73" s="913">
        <f>F61-F68+F72</f>
        <v>1580.5400532299727</v>
      </c>
      <c r="G73" s="913">
        <f>G61-G68+G72</f>
        <v>-2535.3627999700398</v>
      </c>
      <c r="H73" s="913"/>
      <c r="I73" s="913"/>
      <c r="J73" s="913"/>
      <c r="K73" s="341"/>
      <c r="L73" s="368"/>
      <c r="M73" s="60"/>
      <c r="N73" s="60"/>
      <c r="O73" s="60"/>
      <c r="Q73" s="55"/>
    </row>
    <row r="74" spans="3:19" ht="4.5" customHeight="1">
      <c r="F74" s="749"/>
      <c r="K74" s="341"/>
    </row>
    <row r="75" spans="3:19" ht="15" customHeight="1">
      <c r="C75" s="732" t="str">
        <f>IF(Indice_index!$Z$1=1,"Notas:","Notes:")</f>
        <v>Notes:</v>
      </c>
      <c r="D75" s="732"/>
      <c r="E75" s="732"/>
      <c r="F75" s="60"/>
      <c r="G75" s="60"/>
    </row>
    <row r="76" spans="3:19" s="23" customFormat="1" ht="15" customHeight="1">
      <c r="C76" s="1582" t="str">
        <f>+'4 - Conta AC + SS'!$C$65</f>
        <v>2020 accumulated execution was updated with the final execution.</v>
      </c>
      <c r="D76" s="1582"/>
      <c r="E76" s="1582"/>
      <c r="F76" s="1582"/>
      <c r="G76" s="1582"/>
      <c r="H76" s="1582"/>
      <c r="I76" s="1582"/>
      <c r="J76" s="1582"/>
      <c r="K76" s="65"/>
      <c r="R76" s="25"/>
      <c r="S76" s="25"/>
    </row>
    <row r="77" spans="3:19" s="65" customFormat="1" ht="4.5" customHeight="1">
      <c r="C77" s="740"/>
      <c r="D77" s="740"/>
      <c r="E77" s="740"/>
      <c r="F77" s="81"/>
      <c r="G77" s="81"/>
      <c r="H77" s="81"/>
      <c r="I77" s="81"/>
      <c r="J77" s="81"/>
      <c r="K77" s="81"/>
      <c r="L77" s="55"/>
      <c r="O77" s="100"/>
      <c r="P77" s="100"/>
    </row>
    <row r="78" spans="3:19" ht="15" customHeight="1">
      <c r="C78" s="1599" t="str">
        <f>IF(Indice_index!$Z$1=1,"Entidades em incumprimento no reporte de execução orçamental no mês em análise:","Non reporting entities are identified below:")</f>
        <v>Non reporting entities are identified below:</v>
      </c>
      <c r="D78" s="1599"/>
      <c r="E78" s="1599"/>
      <c r="F78" s="1599"/>
      <c r="G78" s="1599"/>
      <c r="H78" s="1599"/>
      <c r="I78" s="1599"/>
      <c r="J78" s="1599"/>
    </row>
    <row r="79" spans="3:19" ht="15" customHeight="1">
      <c r="C79" s="947" t="s">
        <v>66</v>
      </c>
      <c r="D79" s="948"/>
      <c r="E79" s="948"/>
      <c r="F79" s="949"/>
      <c r="G79" s="949"/>
      <c r="H79" s="949"/>
      <c r="I79" s="949"/>
      <c r="J79" s="949"/>
      <c r="K79" s="222"/>
      <c r="M79" s="52"/>
      <c r="N79" s="52"/>
      <c r="P79" s="55"/>
      <c r="Q79" s="55"/>
    </row>
    <row r="80" spans="3:19" ht="15" customHeight="1">
      <c r="C80" s="1601" t="s">
        <v>84</v>
      </c>
      <c r="D80" s="1601"/>
      <c r="E80" s="1601"/>
      <c r="F80" s="1601"/>
      <c r="G80" s="1601"/>
      <c r="H80" s="1601"/>
      <c r="I80" s="1601"/>
      <c r="J80" s="1601"/>
      <c r="K80" s="225"/>
      <c r="L80" s="225"/>
      <c r="M80" s="52"/>
      <c r="N80" s="52"/>
      <c r="P80" s="55"/>
      <c r="Q80" s="55"/>
    </row>
    <row r="81" spans="3:22" ht="12.75" customHeight="1">
      <c r="C81" s="947" t="s">
        <v>83</v>
      </c>
      <c r="D81" s="948"/>
      <c r="E81" s="948"/>
      <c r="F81" s="949"/>
      <c r="G81" s="949"/>
      <c r="H81" s="949"/>
      <c r="I81" s="949"/>
      <c r="J81" s="949"/>
      <c r="K81" s="222"/>
    </row>
    <row r="82" spans="3:22">
      <c r="C82" s="1601" t="s">
        <v>107</v>
      </c>
      <c r="D82" s="1601"/>
      <c r="E82" s="1601"/>
      <c r="F82" s="1601"/>
      <c r="G82" s="1601"/>
      <c r="H82" s="1601"/>
      <c r="I82" s="1601"/>
      <c r="J82" s="1601"/>
      <c r="K82" s="224"/>
      <c r="L82" s="224"/>
    </row>
    <row r="83" spans="3:22" ht="4.5" customHeight="1">
      <c r="C83" s="576"/>
      <c r="D83" s="576"/>
      <c r="E83" s="576"/>
      <c r="F83" s="576"/>
      <c r="G83" s="576"/>
      <c r="H83" s="576"/>
      <c r="I83" s="576"/>
      <c r="J83" s="576"/>
      <c r="K83" s="576"/>
    </row>
    <row r="84" spans="3:22" ht="24.75" customHeight="1">
      <c r="C84" s="1602" t="str">
        <f>+'9 - EPR'!C84:J84</f>
        <v>For the entities identified above an estimate is being used for the months without report. From July´s edition onward, the estimate corresponds to the 2021 monthly budget implementation prediction.</v>
      </c>
      <c r="D84" s="1602"/>
      <c r="E84" s="1602"/>
      <c r="F84" s="1602"/>
      <c r="G84" s="1602"/>
      <c r="H84" s="1602"/>
      <c r="I84" s="1602"/>
      <c r="J84" s="1602"/>
      <c r="K84" s="224"/>
      <c r="M84" s="101"/>
      <c r="N84" s="101"/>
      <c r="O84" s="55"/>
      <c r="P84" s="55"/>
      <c r="Q84" s="55"/>
      <c r="T84" s="52"/>
      <c r="U84" s="52"/>
      <c r="V84" s="52"/>
    </row>
    <row r="85" spans="3:22" s="102" customFormat="1" ht="4.5" customHeight="1">
      <c r="C85" s="577"/>
      <c r="D85" s="577"/>
      <c r="E85" s="577"/>
      <c r="F85" s="577"/>
      <c r="G85" s="577"/>
      <c r="H85" s="577"/>
      <c r="I85" s="577"/>
      <c r="J85" s="577"/>
      <c r="K85" s="577"/>
      <c r="M85" s="479"/>
      <c r="N85" s="479"/>
      <c r="T85" s="106"/>
      <c r="U85" s="106"/>
      <c r="V85" s="106"/>
    </row>
    <row r="86" spans="3:22" ht="18" customHeight="1">
      <c r="C86" s="1601" t="str">
        <f>+'9 - EPR'!C86:J86</f>
        <v>This estimate is used only in months in which there is a lack of report. In other months, the information considered is that effectively reported by the entities.</v>
      </c>
      <c r="D86" s="1601"/>
      <c r="E86" s="1601"/>
      <c r="F86" s="1601"/>
      <c r="G86" s="1601"/>
      <c r="H86" s="1601"/>
      <c r="I86" s="1601"/>
      <c r="J86" s="1601"/>
      <c r="K86" s="224"/>
      <c r="L86" s="101"/>
      <c r="M86" s="101"/>
      <c r="N86" s="101"/>
      <c r="O86" s="55"/>
      <c r="P86" s="55"/>
      <c r="Q86" s="55"/>
      <c r="T86" s="52"/>
      <c r="U86" s="52"/>
      <c r="V86" s="52"/>
    </row>
    <row r="87" spans="3:22" s="356" customFormat="1" ht="4.5" customHeight="1">
      <c r="C87" s="950"/>
      <c r="D87" s="950"/>
      <c r="E87" s="950"/>
      <c r="F87" s="950"/>
      <c r="G87" s="950"/>
      <c r="H87" s="950"/>
      <c r="I87" s="950"/>
      <c r="J87" s="950"/>
      <c r="K87" s="355"/>
      <c r="L87" s="355"/>
      <c r="M87" s="355"/>
      <c r="N87" s="355"/>
      <c r="O87" s="355"/>
      <c r="P87" s="355"/>
      <c r="T87" s="357"/>
      <c r="U87" s="357"/>
      <c r="V87" s="357"/>
    </row>
    <row r="88" spans="3:22">
      <c r="C88" s="718" t="str">
        <f>IF(Indice_index!$Z$1=1,"Fonte: Direção-Geral do Orçamento","Source: Budget General Directorate")</f>
        <v>Source: Budget General Directorate</v>
      </c>
      <c r="D88" s="718"/>
      <c r="E88" s="718"/>
      <c r="F88" s="951"/>
      <c r="G88" s="951"/>
      <c r="H88" s="951"/>
      <c r="I88" s="951"/>
      <c r="J88" s="951"/>
    </row>
    <row r="89" spans="3:22" s="356" customFormat="1" ht="12.75" customHeight="1">
      <c r="C89" s="395"/>
      <c r="D89" s="395"/>
      <c r="E89" s="395"/>
      <c r="F89" s="386"/>
      <c r="G89" s="396"/>
      <c r="H89" s="104"/>
      <c r="I89" s="104"/>
      <c r="J89" s="104"/>
      <c r="K89" s="397"/>
      <c r="L89" s="358"/>
      <c r="M89" s="358"/>
      <c r="N89" s="358"/>
      <c r="O89" s="358"/>
      <c r="P89" s="358"/>
      <c r="Q89" s="358"/>
      <c r="R89" s="358"/>
      <c r="S89" s="358"/>
    </row>
    <row r="90" spans="3:22" s="356" customFormat="1" ht="12.75" customHeight="1">
      <c r="C90" s="387"/>
      <c r="D90" s="387"/>
      <c r="E90" s="387"/>
      <c r="F90" s="386"/>
      <c r="G90" s="104"/>
      <c r="H90" s="388"/>
      <c r="I90" s="388"/>
      <c r="J90" s="104"/>
      <c r="K90" s="104"/>
      <c r="O90" s="357"/>
      <c r="P90" s="357"/>
      <c r="Q90" s="357"/>
    </row>
    <row r="91" spans="3:22" s="356" customFormat="1" ht="12.75" customHeight="1">
      <c r="C91" s="1598"/>
      <c r="D91" s="1598"/>
      <c r="E91" s="1598"/>
      <c r="F91" s="1598"/>
      <c r="G91" s="1598"/>
      <c r="H91" s="1598"/>
      <c r="I91" s="1598"/>
      <c r="J91" s="1598"/>
      <c r="K91" s="1598"/>
      <c r="O91" s="357"/>
      <c r="P91" s="357"/>
      <c r="Q91" s="357"/>
    </row>
    <row r="92" spans="3:22" s="356" customFormat="1" ht="12.75" customHeight="1">
      <c r="C92" s="1598"/>
      <c r="D92" s="1598"/>
      <c r="E92" s="1598"/>
      <c r="F92" s="1598"/>
      <c r="G92" s="1598"/>
      <c r="H92" s="1598"/>
      <c r="I92" s="1598"/>
      <c r="J92" s="1598"/>
      <c r="K92" s="1598"/>
      <c r="O92" s="357"/>
      <c r="P92" s="357"/>
      <c r="Q92" s="357"/>
    </row>
    <row r="93" spans="3:22" s="356" customFormat="1" ht="12.75" customHeight="1">
      <c r="C93" s="1598"/>
      <c r="D93" s="1598"/>
      <c r="E93" s="1598"/>
      <c r="F93" s="1598"/>
      <c r="G93" s="1598"/>
      <c r="H93" s="1598"/>
      <c r="I93" s="1598"/>
      <c r="J93" s="1598"/>
      <c r="K93" s="1598"/>
      <c r="O93" s="357"/>
      <c r="P93" s="357"/>
      <c r="Q93" s="357"/>
    </row>
    <row r="94" spans="3:22" s="356" customFormat="1" ht="12.75" customHeight="1">
      <c r="C94" s="1598"/>
      <c r="D94" s="1598"/>
      <c r="E94" s="1598"/>
      <c r="F94" s="1598"/>
      <c r="G94" s="1598"/>
      <c r="H94" s="1598"/>
      <c r="I94" s="1598"/>
      <c r="J94" s="1598"/>
      <c r="K94" s="1598"/>
      <c r="O94" s="357"/>
      <c r="P94" s="357"/>
      <c r="Q94" s="357"/>
    </row>
    <row r="95" spans="3:22" s="356" customFormat="1" ht="12.75" customHeight="1">
      <c r="C95" s="1600"/>
      <c r="D95" s="1600"/>
      <c r="E95" s="1600"/>
      <c r="F95" s="1600"/>
      <c r="G95" s="1600"/>
      <c r="H95" s="1600"/>
      <c r="I95" s="1600"/>
      <c r="J95" s="1600"/>
      <c r="K95" s="1600"/>
      <c r="O95" s="357"/>
      <c r="P95" s="357"/>
      <c r="Q95" s="357"/>
    </row>
    <row r="96" spans="3:22" s="356" customFormat="1" ht="12.75" customHeight="1">
      <c r="C96" s="1600"/>
      <c r="D96" s="1600"/>
      <c r="E96" s="1600"/>
      <c r="F96" s="1600"/>
      <c r="G96" s="1600"/>
      <c r="H96" s="1600"/>
      <c r="I96" s="1600"/>
      <c r="J96" s="1600"/>
      <c r="K96" s="1600"/>
      <c r="O96" s="357"/>
      <c r="P96" s="357"/>
      <c r="Q96" s="357"/>
    </row>
    <row r="97" spans="3:18" s="102" customFormat="1">
      <c r="C97" s="1598"/>
      <c r="D97" s="1598"/>
      <c r="E97" s="1598"/>
      <c r="F97" s="1598"/>
      <c r="G97" s="1598"/>
      <c r="H97" s="1598"/>
      <c r="I97" s="1598"/>
      <c r="J97" s="1598"/>
      <c r="K97" s="1598"/>
      <c r="O97" s="106"/>
      <c r="P97" s="106"/>
      <c r="Q97" s="106"/>
    </row>
    <row r="98" spans="3:18" s="102" customFormat="1" ht="12.75" customHeight="1">
      <c r="C98" s="398"/>
      <c r="D98" s="398"/>
      <c r="E98" s="398"/>
      <c r="F98" s="108"/>
      <c r="G98" s="104"/>
      <c r="H98" s="104"/>
      <c r="I98" s="104"/>
      <c r="J98" s="104"/>
      <c r="K98" s="104"/>
      <c r="O98" s="106"/>
      <c r="P98" s="106"/>
      <c r="Q98" s="106"/>
    </row>
    <row r="99" spans="3:18" s="356" customFormat="1">
      <c r="C99" s="398"/>
      <c r="D99" s="398"/>
      <c r="E99" s="398"/>
      <c r="F99" s="108"/>
      <c r="G99" s="399"/>
      <c r="H99" s="399"/>
      <c r="I99" s="399"/>
      <c r="J99" s="399"/>
      <c r="K99" s="104"/>
      <c r="O99" s="357"/>
      <c r="P99" s="357"/>
      <c r="Q99" s="357"/>
    </row>
    <row r="100" spans="3:18" s="359" customFormat="1">
      <c r="C100" s="398"/>
      <c r="D100" s="398"/>
      <c r="E100" s="398"/>
      <c r="F100" s="108"/>
      <c r="G100" s="104"/>
      <c r="H100" s="104"/>
      <c r="I100" s="104"/>
      <c r="J100" s="104"/>
      <c r="K100" s="399"/>
      <c r="O100" s="357"/>
      <c r="P100" s="357"/>
      <c r="Q100" s="357"/>
    </row>
    <row r="101" spans="3:18" s="356" customFormat="1" ht="15">
      <c r="C101" s="400"/>
      <c r="D101" s="400"/>
      <c r="E101" s="400"/>
      <c r="F101" s="362"/>
      <c r="O101" s="357"/>
      <c r="P101" s="357"/>
      <c r="Q101" s="357"/>
    </row>
    <row r="102" spans="3:18" s="360" customFormat="1">
      <c r="C102" s="362"/>
      <c r="D102" s="362"/>
      <c r="E102" s="362"/>
      <c r="F102" s="362"/>
      <c r="G102" s="356"/>
      <c r="H102" s="356"/>
      <c r="I102" s="356"/>
      <c r="J102" s="356"/>
      <c r="P102" s="357"/>
      <c r="Q102" s="357"/>
      <c r="R102" s="357"/>
    </row>
    <row r="103" spans="3:18" s="361" customFormat="1">
      <c r="C103" s="362"/>
      <c r="D103" s="362"/>
      <c r="E103" s="362"/>
      <c r="F103" s="362"/>
      <c r="G103" s="356"/>
      <c r="H103" s="356"/>
      <c r="I103" s="356"/>
      <c r="J103" s="356"/>
      <c r="P103" s="357"/>
      <c r="Q103" s="357"/>
      <c r="R103" s="357"/>
    </row>
    <row r="104" spans="3:18" s="361" customFormat="1">
      <c r="C104" s="362"/>
      <c r="D104" s="362"/>
      <c r="E104" s="362"/>
      <c r="F104" s="362"/>
      <c r="G104" s="356"/>
      <c r="H104" s="356"/>
      <c r="I104" s="356"/>
      <c r="J104" s="356"/>
      <c r="P104" s="357"/>
      <c r="Q104" s="357"/>
      <c r="R104" s="357"/>
    </row>
    <row r="105" spans="3:18" s="361" customFormat="1">
      <c r="C105" s="362"/>
      <c r="D105" s="362"/>
      <c r="E105" s="362"/>
      <c r="F105" s="362"/>
      <c r="G105" s="356"/>
      <c r="H105" s="356"/>
      <c r="I105" s="356"/>
      <c r="J105" s="356"/>
      <c r="P105" s="357"/>
      <c r="Q105" s="357"/>
      <c r="R105" s="357"/>
    </row>
    <row r="106" spans="3:18" s="361" customFormat="1">
      <c r="C106" s="362"/>
      <c r="D106" s="362"/>
      <c r="E106" s="362"/>
      <c r="F106" s="362"/>
      <c r="G106" s="356"/>
      <c r="H106" s="356"/>
      <c r="I106" s="356"/>
      <c r="J106" s="356"/>
      <c r="P106" s="357"/>
      <c r="Q106" s="357"/>
      <c r="R106" s="357"/>
    </row>
    <row r="107" spans="3:18" s="361" customFormat="1">
      <c r="C107" s="362"/>
      <c r="D107" s="362"/>
      <c r="E107" s="362"/>
      <c r="F107" s="362"/>
      <c r="G107" s="356"/>
      <c r="H107" s="356"/>
      <c r="I107" s="356"/>
      <c r="J107" s="356"/>
      <c r="P107" s="357"/>
      <c r="Q107" s="357"/>
      <c r="R107" s="357"/>
    </row>
    <row r="108" spans="3:18" s="361" customFormat="1">
      <c r="C108" s="362"/>
      <c r="D108" s="362"/>
      <c r="E108" s="362"/>
      <c r="F108" s="362"/>
      <c r="G108" s="356"/>
      <c r="H108" s="356"/>
      <c r="I108" s="356"/>
      <c r="J108" s="356"/>
      <c r="P108" s="357"/>
      <c r="Q108" s="357"/>
      <c r="R108" s="357"/>
    </row>
    <row r="109" spans="3:18" s="356" customFormat="1">
      <c r="C109" s="362"/>
      <c r="D109" s="362"/>
      <c r="E109" s="362"/>
      <c r="F109" s="362"/>
      <c r="O109" s="357"/>
      <c r="P109" s="357"/>
      <c r="Q109" s="357"/>
    </row>
    <row r="110" spans="3:18" s="356" customFormat="1">
      <c r="C110" s="362"/>
      <c r="D110" s="362"/>
      <c r="E110" s="362"/>
      <c r="F110" s="362"/>
      <c r="O110" s="357"/>
      <c r="P110" s="357"/>
      <c r="Q110" s="357"/>
    </row>
    <row r="111" spans="3:18" s="356" customFormat="1">
      <c r="C111" s="362"/>
      <c r="D111" s="362"/>
      <c r="E111" s="362"/>
      <c r="F111" s="362"/>
      <c r="O111" s="357"/>
      <c r="P111" s="357"/>
      <c r="Q111" s="357"/>
    </row>
    <row r="112" spans="3:18" s="356" customFormat="1">
      <c r="C112" s="362"/>
      <c r="D112" s="362"/>
      <c r="E112" s="362"/>
      <c r="F112" s="362"/>
      <c r="O112" s="357"/>
      <c r="P112" s="357"/>
      <c r="Q112" s="357"/>
    </row>
    <row r="113" spans="3:17" s="356" customFormat="1" ht="12" customHeight="1">
      <c r="C113" s="362"/>
      <c r="D113" s="362"/>
      <c r="E113" s="362"/>
      <c r="F113" s="362"/>
      <c r="O113" s="357"/>
      <c r="P113" s="357"/>
      <c r="Q113" s="357"/>
    </row>
    <row r="114" spans="3:17" s="356" customFormat="1">
      <c r="C114" s="362"/>
      <c r="D114" s="362"/>
      <c r="E114" s="362"/>
      <c r="F114" s="362"/>
      <c r="O114" s="357"/>
      <c r="P114" s="357"/>
      <c r="Q114" s="357"/>
    </row>
    <row r="115" spans="3:17" s="356" customFormat="1">
      <c r="C115" s="362"/>
      <c r="D115" s="362"/>
      <c r="E115" s="362"/>
      <c r="F115" s="362"/>
      <c r="O115" s="357"/>
      <c r="P115" s="357"/>
      <c r="Q115" s="357"/>
    </row>
    <row r="116" spans="3:17" s="356" customFormat="1">
      <c r="C116" s="362"/>
      <c r="D116" s="362"/>
      <c r="E116" s="362"/>
      <c r="F116" s="362"/>
      <c r="O116" s="357"/>
      <c r="P116" s="357"/>
      <c r="Q116" s="357"/>
    </row>
    <row r="117" spans="3:17" s="356" customFormat="1">
      <c r="C117" s="362"/>
      <c r="D117" s="362"/>
      <c r="E117" s="362"/>
      <c r="F117" s="362"/>
      <c r="O117" s="357"/>
      <c r="P117" s="357"/>
      <c r="Q117" s="357"/>
    </row>
    <row r="118" spans="3:17" s="107" customFormat="1">
      <c r="C118" s="65"/>
      <c r="D118" s="65"/>
      <c r="E118" s="65"/>
      <c r="F118" s="64"/>
      <c r="G118" s="65"/>
      <c r="H118" s="65"/>
      <c r="I118" s="65"/>
      <c r="J118" s="65"/>
      <c r="O118" s="52"/>
      <c r="P118" s="52"/>
      <c r="Q118" s="52"/>
    </row>
    <row r="119" spans="3:17" s="107" customFormat="1">
      <c r="C119" s="65"/>
      <c r="D119" s="65"/>
      <c r="E119" s="65"/>
      <c r="F119" s="64"/>
      <c r="G119" s="65"/>
      <c r="H119" s="65"/>
      <c r="I119" s="65"/>
      <c r="J119" s="65"/>
      <c r="O119" s="52"/>
      <c r="P119" s="52"/>
      <c r="Q119" s="52"/>
    </row>
    <row r="120" spans="3:17" s="107" customFormat="1">
      <c r="C120" s="65"/>
      <c r="D120" s="65"/>
      <c r="E120" s="65"/>
      <c r="F120" s="65"/>
      <c r="O120" s="52"/>
      <c r="P120" s="52"/>
      <c r="Q120" s="52"/>
    </row>
    <row r="121" spans="3:17" s="107" customFormat="1">
      <c r="C121" s="65"/>
      <c r="D121" s="65"/>
      <c r="E121" s="65"/>
      <c r="F121" s="65"/>
      <c r="O121" s="52"/>
      <c r="P121" s="52"/>
      <c r="Q121" s="52"/>
    </row>
    <row r="122" spans="3:17" s="107" customFormat="1">
      <c r="C122" s="65"/>
      <c r="D122" s="65"/>
      <c r="E122" s="65"/>
      <c r="F122" s="65"/>
      <c r="O122" s="52"/>
      <c r="P122" s="52"/>
      <c r="Q122" s="52"/>
    </row>
    <row r="123" spans="3:17" s="107" customFormat="1">
      <c r="C123" s="65"/>
      <c r="D123" s="65"/>
      <c r="E123" s="65"/>
      <c r="F123" s="65"/>
      <c r="O123" s="52"/>
      <c r="P123" s="52"/>
      <c r="Q123" s="52"/>
    </row>
    <row r="124" spans="3:17" s="107" customFormat="1">
      <c r="C124" s="65"/>
      <c r="D124" s="65"/>
      <c r="E124" s="65"/>
      <c r="F124" s="65"/>
      <c r="O124" s="52"/>
      <c r="P124" s="52"/>
      <c r="Q124" s="52"/>
    </row>
    <row r="125" spans="3:17" s="107" customFormat="1">
      <c r="C125" s="65"/>
      <c r="D125" s="65"/>
      <c r="E125" s="65"/>
      <c r="F125" s="65"/>
      <c r="O125" s="52"/>
      <c r="P125" s="52"/>
      <c r="Q125" s="52"/>
    </row>
    <row r="126" spans="3:17" s="107" customFormat="1">
      <c r="C126" s="65"/>
      <c r="D126" s="65"/>
      <c r="E126" s="65"/>
      <c r="F126" s="65"/>
      <c r="O126" s="52"/>
      <c r="P126" s="52"/>
      <c r="Q126" s="52"/>
    </row>
    <row r="127" spans="3:17" s="107" customFormat="1">
      <c r="C127" s="65"/>
      <c r="D127" s="65"/>
      <c r="E127" s="65"/>
      <c r="F127" s="65"/>
      <c r="O127" s="52"/>
      <c r="P127" s="52"/>
      <c r="Q127" s="52"/>
    </row>
    <row r="128" spans="3:17" s="107" customFormat="1">
      <c r="C128" s="65"/>
      <c r="D128" s="65"/>
      <c r="E128" s="65"/>
      <c r="F128" s="65"/>
      <c r="O128" s="52"/>
      <c r="P128" s="52"/>
      <c r="Q128" s="52"/>
    </row>
  </sheetData>
  <sheetProtection selectLockedCells="1"/>
  <mergeCells count="17">
    <mergeCell ref="C97:K97"/>
    <mergeCell ref="C78:J78"/>
    <mergeCell ref="C91:K91"/>
    <mergeCell ref="C92:K92"/>
    <mergeCell ref="C93:K93"/>
    <mergeCell ref="C94:K94"/>
    <mergeCell ref="C96:K96"/>
    <mergeCell ref="C80:J80"/>
    <mergeCell ref="C82:J82"/>
    <mergeCell ref="C86:J86"/>
    <mergeCell ref="C84:J84"/>
    <mergeCell ref="C95:K95"/>
    <mergeCell ref="C76:J76"/>
    <mergeCell ref="C2:J2"/>
    <mergeCell ref="F6:G6"/>
    <mergeCell ref="I6:J6"/>
    <mergeCell ref="U6:V6"/>
  </mergeCells>
  <printOptions horizontalCentered="1"/>
  <pageMargins left="0.70866141732283472" right="0.70866141732283472" top="0.74803149606299213" bottom="0.74803149606299213" header="0.74803149606299213" footer="0.35433070866141736"/>
  <pageSetup paperSize="9" scale="61" orientation="portrait" r:id="rId1"/>
  <headerFooter differentOddEven="1">
    <oddFooter>&amp;R&amp;G</oddFooter>
    <evenFooter>&amp;L&amp;G</evenFooter>
  </headerFooter>
  <ignoredErrors>
    <ignoredError sqref="F67:G67 I11:J57 I68:J72 F8:G8 D10 F58:G62 F9:G10 I64:J67 I73:J73 I8:J8 I58:J63 I9:J10 F63:G63 F64:G66 H64:H66 F73:G73 E10 D6:E6 J5 H48 H33 H30:H31 H21 H10:H20 H22:H29 H32 H34:H47 H49:H63 I6" unlockedFormula="1"/>
    <ignoredError sqref="F35:G35 F22:G22 F24:G24 F31:G34 F41:G41 F49:G49 F51:G51 D58:D67 D51 D49 D41 D31:D35 D24 D22 F15:G15 D15 E15 E22 E24 E31:E35 E41 E49 E51 E58:E67 E73" formulaRange="1" unlockedFormula="1"/>
    <ignoredError sqref="D7:E7 I7:J7" numberStoredAsText="1" unlockedFormula="1"/>
    <ignoredError sqref="C79:J81 F7:H7" numberStoredAsText="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4"/>
  <dimension ref="B1:AC110"/>
  <sheetViews>
    <sheetView showGridLines="0" zoomScaleNormal="100" zoomScaleSheetLayoutView="100" workbookViewId="0">
      <selection activeCell="B2" sqref="B2"/>
    </sheetView>
  </sheetViews>
  <sheetFormatPr defaultColWidth="9.140625" defaultRowHeight="12"/>
  <cols>
    <col min="1" max="1" width="2.42578125" style="112" customWidth="1"/>
    <col min="2" max="2" width="4.42578125" style="112" customWidth="1"/>
    <col min="3" max="3" width="39.5703125" style="65" customWidth="1"/>
    <col min="4" max="4" width="9.42578125" style="65" hidden="1" customWidth="1"/>
    <col min="5" max="5" width="9.42578125" style="65" customWidth="1"/>
    <col min="6" max="6" width="9.42578125" style="113" customWidth="1"/>
    <col min="7" max="7" width="9.42578125" style="65" customWidth="1"/>
    <col min="8" max="10" width="9.42578125" style="55" customWidth="1"/>
    <col min="11" max="14" width="8.5703125" style="112" customWidth="1"/>
    <col min="15" max="15" width="9.140625" style="112"/>
    <col min="16" max="16" width="9.5703125" style="112" bestFit="1" customWidth="1"/>
    <col min="17" max="17" width="9.5703125" style="52" bestFit="1" customWidth="1"/>
    <col min="18" max="19" width="9.140625" style="52" customWidth="1"/>
    <col min="20" max="16384" width="9.140625" style="112"/>
  </cols>
  <sheetData>
    <row r="1" spans="2:29" s="52" customFormat="1" ht="15" customHeight="1">
      <c r="B1" s="51"/>
      <c r="C1" s="51"/>
      <c r="D1" s="51"/>
      <c r="E1" s="51"/>
      <c r="F1" s="110"/>
    </row>
    <row r="2" spans="2:29" ht="24" customHeight="1">
      <c r="B2" s="8"/>
      <c r="C2" s="53" t="str">
        <f>IF(Indice_index!$Z$1=1,"9 - Execução Orçamental das Entidades Públicas Reclassificadas da Administração Central","9 - State Owned Enterprises Budget Execution")</f>
        <v>9 - State Owned Enterprises Budget Execution</v>
      </c>
      <c r="D2" s="53"/>
      <c r="E2" s="53"/>
      <c r="F2" s="111"/>
      <c r="G2" s="53"/>
      <c r="H2" s="53"/>
      <c r="I2" s="53"/>
      <c r="J2" s="53"/>
      <c r="Q2" s="83"/>
      <c r="S2" s="83"/>
    </row>
    <row r="3" spans="2:29" s="55" customFormat="1" ht="15" customHeight="1">
      <c r="C3" s="56"/>
      <c r="D3" s="56"/>
      <c r="E3" s="56"/>
      <c r="F3" s="84"/>
      <c r="O3" s="83"/>
      <c r="P3" s="52"/>
      <c r="Q3" s="52"/>
    </row>
    <row r="4" spans="2:29" s="55" customFormat="1" ht="15" customHeight="1">
      <c r="F4" s="65"/>
      <c r="O4" s="52"/>
      <c r="P4" s="52"/>
      <c r="Q4" s="52"/>
    </row>
    <row r="5" spans="2:29" s="297" customFormat="1" ht="15" customHeight="1">
      <c r="C5" s="699" t="str">
        <f>+'4 - Conta AC + SS'!C5</f>
        <v>Period: January to December</v>
      </c>
      <c r="D5" s="699"/>
      <c r="E5" s="699"/>
      <c r="F5" s="952"/>
      <c r="G5" s="953"/>
      <c r="H5" s="279"/>
      <c r="I5" s="279"/>
      <c r="J5" s="891" t="str">
        <f>IF(Indice_index!$Z$1=1,"€ Milhões","€ Millions")</f>
        <v>€ Millions</v>
      </c>
      <c r="Q5" s="256"/>
      <c r="R5" s="256"/>
      <c r="S5" s="256"/>
    </row>
    <row r="6" spans="2:29" ht="31.5" customHeight="1">
      <c r="C6" s="702"/>
      <c r="D6" s="703" t="str">
        <f>IF(Indice_index!$Z$1=1,"CGE","Final execution")</f>
        <v>Final execution</v>
      </c>
      <c r="E6" s="703" t="str">
        <f>IF(Indice_index!$Z$1=1,"Orçamento Inicial","Budget")</f>
        <v>Budget</v>
      </c>
      <c r="F6" s="1607" t="str">
        <f>IF(Indice_index!$Z$1=1,"Execução Acumulada","Accumulated Execution")</f>
        <v>Accumulated Execution</v>
      </c>
      <c r="G6" s="1607"/>
      <c r="H6" s="954" t="str">
        <f>IF(Indice_index!$Z$1=1,"Grau de Execução (%)","Execution Degree (%)")</f>
        <v>Execution Degree (%)</v>
      </c>
      <c r="I6" s="1587" t="str">
        <f>IF(Indice_index!$Z$1=1,"Variação Homóloga Acumulada","YOY Change Rate")</f>
        <v>YOY Change Rate</v>
      </c>
      <c r="J6" s="1588"/>
      <c r="K6" s="57"/>
    </row>
    <row r="7" spans="2:29" ht="33.75" customHeight="1">
      <c r="C7" s="928"/>
      <c r="D7" s="705" t="s">
        <v>66</v>
      </c>
      <c r="E7" s="705" t="s">
        <v>83</v>
      </c>
      <c r="F7" s="955" t="s">
        <v>66</v>
      </c>
      <c r="G7" s="932" t="s">
        <v>83</v>
      </c>
      <c r="H7" s="709" t="s">
        <v>83</v>
      </c>
      <c r="I7" s="709" t="str">
        <f>IF(Indice_index!$Z$1=1,"Relativa (%)","Relative change (%)")</f>
        <v>Relative change (%)</v>
      </c>
      <c r="J7" s="710" t="str">
        <f>IF(Indice_index!$Z$1=1,"Contributo VHA (p.p.)","YOY Change Rate Contrib. (p.p.)")</f>
        <v>YOY Change Rate Contrib. (p.p.)</v>
      </c>
      <c r="K7" s="57"/>
    </row>
    <row r="8" spans="2:29" s="89" customFormat="1" ht="4.5" customHeight="1">
      <c r="C8" s="934"/>
      <c r="D8" s="934"/>
      <c r="E8" s="934"/>
      <c r="F8" s="956"/>
      <c r="G8" s="934"/>
      <c r="H8" s="114"/>
      <c r="I8" s="114"/>
      <c r="J8" s="114"/>
      <c r="K8" s="114"/>
      <c r="N8" s="90"/>
    </row>
    <row r="9" spans="2:29" s="297" customFormat="1" ht="15" customHeight="1">
      <c r="C9" s="935" t="str">
        <f>IF(Indice_index!$Z$1=1,"Receita corrente","Current revenue")</f>
        <v>Current revenue</v>
      </c>
      <c r="D9" s="935">
        <f>SUM(D10:D21)-D15-D10</f>
        <v>9341.6486732899994</v>
      </c>
      <c r="E9" s="935">
        <f>SUM(E10:E21)-E15-E10</f>
        <v>10598.071904999999</v>
      </c>
      <c r="F9" s="936">
        <f>SUM(F10:F21)-F10-F15</f>
        <v>9341.6486732899994</v>
      </c>
      <c r="G9" s="936">
        <f>SUM(G10:G21)-G10-G15</f>
        <v>9400.3271256699991</v>
      </c>
      <c r="H9" s="936">
        <f t="shared" ref="H9:H20" si="0">IFERROR(IF(G9/E9*100&lt;-500,"-",IF(G9/E9*100&gt;500,"-",G9/E9*100)),"-")</f>
        <v>88.698465248523902</v>
      </c>
      <c r="I9" s="936">
        <f>IF(IFERROR((G9-F9)/F9*100,"")&gt;500,"-",IFERROR((G9-F9)/F9*100,""))</f>
        <v>0.62813807746565564</v>
      </c>
      <c r="J9" s="286">
        <f>IFERROR((G9-F9)/$F$32*100,"-")</f>
        <v>0.52987786202149501</v>
      </c>
      <c r="K9" s="286"/>
      <c r="L9" s="281"/>
      <c r="M9" s="298"/>
      <c r="N9" s="298"/>
      <c r="O9" s="298"/>
      <c r="P9" s="298"/>
      <c r="Q9" s="298"/>
      <c r="R9" s="298"/>
      <c r="S9" s="298"/>
      <c r="T9" s="298"/>
      <c r="U9" s="298"/>
      <c r="V9" s="298"/>
      <c r="W9" s="298"/>
      <c r="X9" s="298"/>
      <c r="Y9" s="298"/>
      <c r="Z9" s="298"/>
      <c r="AA9" s="298"/>
      <c r="AB9" s="298"/>
      <c r="AC9" s="298"/>
    </row>
    <row r="10" spans="2:29" ht="15" customHeight="1">
      <c r="C10" s="756" t="str">
        <f>IF(Indice_index!$Z$1=1,"Receita Fiscal","Tax")</f>
        <v>Tax</v>
      </c>
      <c r="D10" s="226">
        <f>D11+D12</f>
        <v>182.11281042000002</v>
      </c>
      <c r="E10" s="226">
        <f>E11+E12</f>
        <v>209.74436</v>
      </c>
      <c r="F10" s="749">
        <f>F11+F12</f>
        <v>182.11281042000002</v>
      </c>
      <c r="G10" s="749">
        <f>G11+G12</f>
        <v>184.84977921999999</v>
      </c>
      <c r="H10" s="957">
        <f t="shared" si="0"/>
        <v>88.130989181306234</v>
      </c>
      <c r="I10" s="957">
        <f t="shared" ref="I10:I29" si="1">IF(IFERROR((G10-F10)/F10*100,"")&gt;500,"-",IFERROR((G10-F10)/F10*100,""))</f>
        <v>1.5028974588266479</v>
      </c>
      <c r="J10" s="957">
        <f t="shared" ref="J10:J20" si="2">IFERROR((G10-F10)/$F$32*100,"-")</f>
        <v>2.4715361727192308E-2</v>
      </c>
      <c r="K10" s="226"/>
      <c r="L10" s="59"/>
      <c r="N10" s="115"/>
      <c r="O10" s="115"/>
      <c r="P10" s="115"/>
      <c r="Q10" s="115"/>
      <c r="R10" s="115"/>
      <c r="S10" s="115"/>
      <c r="T10" s="115"/>
      <c r="U10" s="115"/>
      <c r="V10" s="115"/>
      <c r="W10" s="115"/>
      <c r="X10" s="115"/>
      <c r="Y10" s="115"/>
      <c r="Z10" s="115"/>
      <c r="AA10" s="115"/>
      <c r="AB10" s="115"/>
      <c r="AC10" s="115"/>
    </row>
    <row r="11" spans="2:29" ht="15" customHeight="1">
      <c r="C11" s="751" t="str">
        <f>IF(Indice_index!$Z$1=1,"Impostos diretos","Direct taxes")</f>
        <v>Direct taxes</v>
      </c>
      <c r="D11" s="226">
        <v>0</v>
      </c>
      <c r="E11" s="226">
        <v>0</v>
      </c>
      <c r="F11" s="752">
        <v>0</v>
      </c>
      <c r="G11" s="752">
        <v>1.5595100000000001E-3</v>
      </c>
      <c r="H11" s="958" t="str">
        <f t="shared" si="0"/>
        <v>-</v>
      </c>
      <c r="I11" s="958" t="str">
        <f t="shared" si="1"/>
        <v>-</v>
      </c>
      <c r="J11" s="958">
        <f t="shared" si="2"/>
        <v>1.408267926443812E-5</v>
      </c>
      <c r="K11" s="227"/>
      <c r="L11" s="59"/>
      <c r="M11" s="115"/>
      <c r="N11" s="115"/>
      <c r="O11" s="115"/>
      <c r="P11" s="115"/>
      <c r="Q11" s="115"/>
      <c r="R11" s="115"/>
      <c r="S11" s="115"/>
      <c r="T11" s="115"/>
      <c r="U11" s="115"/>
      <c r="V11" s="115"/>
      <c r="W11" s="115"/>
      <c r="X11" s="115"/>
      <c r="Y11" s="115"/>
      <c r="Z11" s="115"/>
      <c r="AA11" s="115"/>
      <c r="AB11" s="115"/>
      <c r="AC11" s="115"/>
    </row>
    <row r="12" spans="2:29" ht="15" customHeight="1">
      <c r="C12" s="751" t="str">
        <f>IF(Indice_index!$Z$1=1,"Impostos indiretos","Indirect taxes")</f>
        <v>Indirect taxes</v>
      </c>
      <c r="D12" s="226">
        <v>182.11281042000002</v>
      </c>
      <c r="E12" s="226">
        <v>209.74436</v>
      </c>
      <c r="F12" s="752">
        <v>182.11281042000002</v>
      </c>
      <c r="G12" s="752">
        <v>184.84821971</v>
      </c>
      <c r="H12" s="957">
        <f t="shared" si="0"/>
        <v>88.130245652374157</v>
      </c>
      <c r="I12" s="957">
        <f t="shared" si="1"/>
        <v>1.5020411159936555</v>
      </c>
      <c r="J12" s="957">
        <f t="shared" si="2"/>
        <v>2.4701279047927932E-2</v>
      </c>
      <c r="K12" s="226"/>
      <c r="L12" s="59"/>
      <c r="M12" s="115"/>
      <c r="N12" s="115"/>
      <c r="O12" s="115"/>
      <c r="P12" s="115"/>
      <c r="Q12" s="115"/>
      <c r="R12" s="115"/>
      <c r="S12" s="115"/>
      <c r="T12" s="115"/>
      <c r="U12" s="115"/>
      <c r="V12" s="115"/>
      <c r="W12" s="115"/>
      <c r="X12" s="115"/>
      <c r="Y12" s="115"/>
      <c r="Z12" s="115"/>
      <c r="AA12" s="115"/>
      <c r="AB12" s="115"/>
      <c r="AC12" s="115"/>
    </row>
    <row r="13" spans="2:29" ht="15" customHeight="1">
      <c r="C13" s="756" t="str">
        <f>IF(Indice_index!$Z$1=1,"Contribuições para Segurança Social, CGA e ADSE","Social security, CGA and ADSE contributions")</f>
        <v>Social security, CGA and ADSE contributions</v>
      </c>
      <c r="D13" s="226">
        <v>0</v>
      </c>
      <c r="E13" s="226">
        <v>0</v>
      </c>
      <c r="F13" s="752">
        <v>0</v>
      </c>
      <c r="G13" s="752">
        <v>0</v>
      </c>
      <c r="H13" s="958" t="str">
        <f t="shared" si="0"/>
        <v>-</v>
      </c>
      <c r="I13" s="958" t="str">
        <f t="shared" si="1"/>
        <v>-</v>
      </c>
      <c r="J13" s="957">
        <f t="shared" si="2"/>
        <v>0</v>
      </c>
      <c r="K13" s="226"/>
      <c r="L13" s="59"/>
      <c r="M13" s="115"/>
      <c r="N13" s="115"/>
      <c r="O13" s="115"/>
      <c r="P13" s="115"/>
      <c r="Q13" s="115"/>
      <c r="R13" s="115"/>
      <c r="S13" s="115"/>
      <c r="T13" s="115"/>
      <c r="U13" s="115"/>
      <c r="V13" s="115"/>
      <c r="W13" s="115"/>
      <c r="X13" s="115"/>
      <c r="Y13" s="115"/>
      <c r="Z13" s="115"/>
      <c r="AA13" s="115"/>
      <c r="AB13" s="115"/>
      <c r="AC13" s="115"/>
    </row>
    <row r="14" spans="2:29" ht="15" customHeight="1">
      <c r="C14" s="756" t="str">
        <f>IF(Indice_index!$Z$1=1,"Taxas, Multas e Outras Penalidades","Taxes, fines and other penalties")</f>
        <v>Taxes, fines and other penalties</v>
      </c>
      <c r="D14" s="226">
        <v>459.08493600999998</v>
      </c>
      <c r="E14" s="226">
        <v>598.93881499999998</v>
      </c>
      <c r="F14" s="752">
        <v>459.08493600999998</v>
      </c>
      <c r="G14" s="752">
        <v>471.84797313000007</v>
      </c>
      <c r="H14" s="957">
        <f t="shared" si="0"/>
        <v>78.780663619204589</v>
      </c>
      <c r="I14" s="957">
        <f t="shared" si="1"/>
        <v>2.7801036625000655</v>
      </c>
      <c r="J14" s="957">
        <f t="shared" si="2"/>
        <v>0.11525271283998133</v>
      </c>
      <c r="K14" s="226"/>
      <c r="L14" s="59"/>
      <c r="M14" s="115"/>
      <c r="N14" s="115"/>
      <c r="O14" s="115"/>
      <c r="P14" s="115"/>
      <c r="Q14" s="115"/>
      <c r="R14" s="115"/>
      <c r="S14" s="115"/>
      <c r="T14" s="115"/>
      <c r="U14" s="115"/>
      <c r="V14" s="115"/>
      <c r="W14" s="115"/>
      <c r="X14" s="115"/>
      <c r="Y14" s="115"/>
      <c r="Z14" s="115"/>
      <c r="AA14" s="115"/>
      <c r="AB14" s="115"/>
      <c r="AC14" s="115"/>
    </row>
    <row r="15" spans="2:29" ht="15" customHeight="1">
      <c r="C15" s="756" t="str">
        <f>IF(Indice_index!$Z$1=1,"Transferências Correntes","Current transfers")</f>
        <v>Current transfers</v>
      </c>
      <c r="D15" s="226">
        <f>SUM(D16:D19)</f>
        <v>1230.9991630500001</v>
      </c>
      <c r="E15" s="226">
        <f>SUM(E16:E19)</f>
        <v>1425.61527</v>
      </c>
      <c r="F15" s="957">
        <f>SUM(F16:F19)</f>
        <v>1230.9991630500001</v>
      </c>
      <c r="G15" s="957">
        <f>SUM(G16:G19)</f>
        <v>1331.4208718799998</v>
      </c>
      <c r="H15" s="957">
        <f t="shared" si="0"/>
        <v>93.392719613616364</v>
      </c>
      <c r="I15" s="957">
        <f t="shared" si="1"/>
        <v>8.1577398136639374</v>
      </c>
      <c r="J15" s="957">
        <f t="shared" si="2"/>
        <v>0.90682760395231787</v>
      </c>
      <c r="K15" s="226"/>
      <c r="L15" s="59"/>
      <c r="M15" s="115"/>
      <c r="N15" s="59"/>
      <c r="O15" s="115"/>
      <c r="P15" s="115"/>
      <c r="Q15" s="115"/>
      <c r="R15" s="115"/>
      <c r="S15" s="115"/>
      <c r="T15" s="115"/>
      <c r="U15" s="115"/>
      <c r="V15" s="115"/>
      <c r="W15" s="115"/>
      <c r="X15" s="115"/>
      <c r="Y15" s="115"/>
      <c r="Z15" s="115"/>
      <c r="AA15" s="115"/>
      <c r="AB15" s="115"/>
      <c r="AC15" s="115"/>
    </row>
    <row r="16" spans="2:29" ht="15" customHeight="1">
      <c r="C16" s="751" t="str">
        <f>IF(Indice_index!$Z$1=1,"Administração Central","Central Administration")</f>
        <v>Central Administration</v>
      </c>
      <c r="D16" s="226">
        <v>1060.8291304699999</v>
      </c>
      <c r="E16" s="226">
        <v>1156.147612</v>
      </c>
      <c r="F16" s="749">
        <v>1060.8291304699999</v>
      </c>
      <c r="G16" s="749">
        <v>1134.58588966</v>
      </c>
      <c r="H16" s="957">
        <f t="shared" si="0"/>
        <v>98.135037246437705</v>
      </c>
      <c r="I16" s="957">
        <f t="shared" si="1"/>
        <v>6.9527464010459674</v>
      </c>
      <c r="J16" s="957">
        <f t="shared" si="2"/>
        <v>0.66603791143190527</v>
      </c>
      <c r="K16" s="226"/>
      <c r="L16" s="59"/>
      <c r="M16" s="115"/>
      <c r="N16" s="115"/>
      <c r="O16" s="115"/>
      <c r="P16" s="115"/>
      <c r="Q16" s="115"/>
      <c r="R16" s="115"/>
      <c r="S16" s="115"/>
      <c r="T16" s="115"/>
      <c r="U16" s="115"/>
      <c r="V16" s="115"/>
      <c r="W16" s="115"/>
      <c r="X16" s="115"/>
      <c r="Y16" s="115"/>
      <c r="Z16" s="115"/>
      <c r="AA16" s="115"/>
      <c r="AB16" s="115"/>
      <c r="AC16" s="115"/>
    </row>
    <row r="17" spans="3:29" ht="15" customHeight="1">
      <c r="C17" s="937" t="str">
        <f>IF(Indice_index!$Z$1=1,"Outros subsectores das AP","Other General Government subsectors")</f>
        <v>Other General Government subsectors</v>
      </c>
      <c r="D17" s="226">
        <v>70.05191609000002</v>
      </c>
      <c r="E17" s="226">
        <v>57.750959999999999</v>
      </c>
      <c r="F17" s="752">
        <v>70.05191609000002</v>
      </c>
      <c r="G17" s="752">
        <v>92.47538935</v>
      </c>
      <c r="H17" s="957">
        <f t="shared" si="0"/>
        <v>160.12788246290626</v>
      </c>
      <c r="I17" s="957">
        <f t="shared" si="1"/>
        <v>32.009792895873339</v>
      </c>
      <c r="J17" s="957">
        <f t="shared" si="2"/>
        <v>0.20248833410191941</v>
      </c>
      <c r="K17" s="226"/>
      <c r="L17" s="59"/>
      <c r="M17" s="115"/>
      <c r="N17" s="115"/>
      <c r="O17" s="115"/>
      <c r="P17" s="115"/>
      <c r="Q17" s="115"/>
      <c r="R17" s="115"/>
      <c r="S17" s="115"/>
      <c r="T17" s="115"/>
      <c r="U17" s="115"/>
      <c r="V17" s="115"/>
      <c r="W17" s="115"/>
      <c r="X17" s="115"/>
      <c r="Y17" s="115"/>
      <c r="Z17" s="115"/>
      <c r="AA17" s="115"/>
      <c r="AB17" s="115"/>
      <c r="AC17" s="115"/>
    </row>
    <row r="18" spans="3:29" ht="15" customHeight="1">
      <c r="C18" s="937" t="str">
        <f>IF(Indice_index!$Z$1=1,"União Europeia","European Union")</f>
        <v>European Union</v>
      </c>
      <c r="D18" s="226">
        <v>88.723843080000009</v>
      </c>
      <c r="E18" s="226">
        <v>199.35130800000002</v>
      </c>
      <c r="F18" s="752">
        <v>88.723843080000009</v>
      </c>
      <c r="G18" s="752">
        <v>94.249513879999995</v>
      </c>
      <c r="H18" s="957">
        <f t="shared" si="0"/>
        <v>47.278101571322516</v>
      </c>
      <c r="I18" s="957">
        <f t="shared" si="1"/>
        <v>6.2279434796547646</v>
      </c>
      <c r="J18" s="957">
        <f t="shared" si="2"/>
        <v>4.9897884333714435E-2</v>
      </c>
      <c r="K18" s="226"/>
      <c r="L18" s="59"/>
      <c r="M18" s="115"/>
      <c r="N18" s="115"/>
      <c r="O18" s="115"/>
      <c r="P18" s="115"/>
      <c r="Q18" s="115"/>
      <c r="R18" s="115"/>
      <c r="S18" s="115"/>
      <c r="T18" s="115"/>
      <c r="U18" s="115"/>
      <c r="V18" s="115"/>
      <c r="W18" s="115"/>
      <c r="X18" s="115"/>
      <c r="Y18" s="115"/>
      <c r="Z18" s="115"/>
      <c r="AA18" s="115"/>
      <c r="AB18" s="115"/>
      <c r="AC18" s="115"/>
    </row>
    <row r="19" spans="3:29" ht="15" customHeight="1">
      <c r="C19" s="937" t="str">
        <f>IF(Indice_index!$Z$1=1,"Outras transferências","Other transfers")</f>
        <v>Other transfers</v>
      </c>
      <c r="D19" s="938">
        <v>11.394273409999997</v>
      </c>
      <c r="E19" s="938">
        <v>12.365389999999991</v>
      </c>
      <c r="F19" s="752">
        <v>11.394273409999997</v>
      </c>
      <c r="G19" s="752">
        <v>10.110078990000005</v>
      </c>
      <c r="H19" s="957">
        <f t="shared" si="0"/>
        <v>81.761100862973294</v>
      </c>
      <c r="I19" s="957">
        <f t="shared" si="1"/>
        <v>-11.270524883780123</v>
      </c>
      <c r="J19" s="957">
        <f t="shared" si="2"/>
        <v>-1.1596525915217612E-2</v>
      </c>
      <c r="K19" s="226"/>
      <c r="L19" s="59"/>
      <c r="M19" s="115"/>
      <c r="N19" s="115"/>
      <c r="O19" s="115"/>
      <c r="P19" s="115"/>
      <c r="Q19" s="115"/>
      <c r="R19" s="115"/>
      <c r="S19" s="115"/>
      <c r="T19" s="115"/>
      <c r="U19" s="115"/>
      <c r="V19" s="115"/>
      <c r="W19" s="115"/>
      <c r="X19" s="115"/>
      <c r="Y19" s="115"/>
      <c r="Z19" s="115"/>
      <c r="AA19" s="115"/>
      <c r="AB19" s="115"/>
      <c r="AC19" s="115"/>
    </row>
    <row r="20" spans="3:29" ht="15" customHeight="1">
      <c r="C20" s="756" t="str">
        <f>IF(Indice_index!$Z$1=1,"Outras Receitas Correntes","Other current revenue")</f>
        <v>Other current revenue</v>
      </c>
      <c r="D20" s="226">
        <v>7469.4142504299989</v>
      </c>
      <c r="E20" s="226">
        <v>8363.7526890000008</v>
      </c>
      <c r="F20" s="752">
        <v>7469.4142504299989</v>
      </c>
      <c r="G20" s="752">
        <v>7412.1560054699985</v>
      </c>
      <c r="H20" s="957">
        <f t="shared" si="0"/>
        <v>88.62237181185975</v>
      </c>
      <c r="I20" s="957">
        <f t="shared" si="1"/>
        <v>-0.7665694128117766</v>
      </c>
      <c r="J20" s="957">
        <f t="shared" si="2"/>
        <v>-0.51705311220595962</v>
      </c>
      <c r="K20" s="226"/>
      <c r="L20" s="59"/>
      <c r="M20" s="115"/>
      <c r="N20" s="115"/>
      <c r="O20" s="115"/>
      <c r="P20" s="115"/>
      <c r="Q20" s="115"/>
      <c r="R20" s="115"/>
      <c r="S20" s="115"/>
      <c r="T20" s="115"/>
      <c r="U20" s="115"/>
      <c r="V20" s="115"/>
      <c r="W20" s="115"/>
      <c r="X20" s="115"/>
      <c r="Y20" s="115"/>
      <c r="Z20" s="115"/>
      <c r="AA20" s="115"/>
      <c r="AB20" s="115"/>
      <c r="AC20" s="115"/>
    </row>
    <row r="21" spans="3:29" ht="15" customHeight="1">
      <c r="C21" s="743" t="str">
        <f>IF(Indice_index!$Z$1=1,"Diferenças de consolidação","Consolidation differences")</f>
        <v>Consolidation differences</v>
      </c>
      <c r="D21" s="226">
        <v>3.751337999999993E-2</v>
      </c>
      <c r="E21" s="226">
        <v>2.0770999999999984E-2</v>
      </c>
      <c r="F21" s="752">
        <v>3.751337999999993E-2</v>
      </c>
      <c r="G21" s="752">
        <v>5.2495969999999947E-2</v>
      </c>
      <c r="H21" s="957"/>
      <c r="I21" s="957"/>
      <c r="J21" s="957"/>
      <c r="K21" s="226"/>
      <c r="L21" s="59"/>
      <c r="M21" s="115"/>
      <c r="N21" s="115"/>
      <c r="O21" s="115"/>
      <c r="P21" s="115"/>
      <c r="Q21" s="115"/>
      <c r="R21" s="115"/>
      <c r="S21" s="115"/>
      <c r="T21" s="115"/>
      <c r="U21" s="115"/>
      <c r="V21" s="115"/>
      <c r="W21" s="115"/>
      <c r="X21" s="115"/>
      <c r="Y21" s="115"/>
      <c r="Z21" s="115"/>
      <c r="AA21" s="115"/>
      <c r="AB21" s="115"/>
      <c r="AC21" s="115"/>
    </row>
    <row r="22" spans="3:29" s="297" customFormat="1" ht="15" customHeight="1">
      <c r="C22" s="935" t="str">
        <f>IF(Indice_index!$Z$1=1,"Receita de capital","Capital revenue")</f>
        <v>Capital revenue</v>
      </c>
      <c r="D22" s="293">
        <f>SUM(D23:D30)-D24</f>
        <v>1732.3094188900004</v>
      </c>
      <c r="E22" s="293">
        <f>SUM(E23:E30)-E24</f>
        <v>2574.1010650000003</v>
      </c>
      <c r="F22" s="290">
        <f>SUM(F23:F30)-F24</f>
        <v>1732.3094188900004</v>
      </c>
      <c r="G22" s="290">
        <f>SUM(G23:G30)-G24</f>
        <v>1988.8815757700004</v>
      </c>
      <c r="H22" s="290">
        <f t="shared" ref="H22:H29" si="3">IFERROR(IF(G22/E22*100&lt;-500,"-",IF(G22/E22*100&gt;500,"-",G22/E22*100)),"-")</f>
        <v>77.265092766278016</v>
      </c>
      <c r="I22" s="290">
        <f t="shared" si="1"/>
        <v>14.810988965493351</v>
      </c>
      <c r="J22" s="290">
        <f t="shared" ref="J22:J29" si="4">IFERROR((G22-F22)/$F$32*100,"-")</f>
        <v>2.3168965851620955</v>
      </c>
      <c r="K22" s="293"/>
      <c r="L22" s="281"/>
      <c r="M22" s="298"/>
      <c r="N22" s="298"/>
      <c r="O22" s="298"/>
      <c r="P22" s="298"/>
      <c r="Q22" s="298"/>
      <c r="R22" s="298"/>
      <c r="S22" s="298"/>
      <c r="T22" s="298"/>
      <c r="U22" s="298"/>
      <c r="V22" s="298"/>
      <c r="W22" s="298"/>
      <c r="X22" s="298"/>
      <c r="Y22" s="298"/>
      <c r="Z22" s="298"/>
      <c r="AA22" s="298"/>
      <c r="AB22" s="298"/>
      <c r="AC22" s="298"/>
    </row>
    <row r="23" spans="3:29" ht="15" customHeight="1">
      <c r="C23" s="756" t="str">
        <f>IF(Indice_index!$Z$1=1,"Venda de bens de investimento","Sale of investment goods")</f>
        <v>Sale of investment goods</v>
      </c>
      <c r="D23" s="228">
        <v>61.686570139999994</v>
      </c>
      <c r="E23" s="228">
        <v>276.53828700000003</v>
      </c>
      <c r="F23" s="752">
        <v>61.686570139999994</v>
      </c>
      <c r="G23" s="752">
        <v>111.07551103999999</v>
      </c>
      <c r="H23" s="752">
        <f t="shared" si="3"/>
        <v>40.166413209900291</v>
      </c>
      <c r="I23" s="752">
        <f t="shared" si="1"/>
        <v>80.064332946231147</v>
      </c>
      <c r="J23" s="752">
        <f t="shared" si="4"/>
        <v>0.44599176273636576</v>
      </c>
      <c r="K23" s="228"/>
      <c r="L23" s="59"/>
      <c r="M23" s="115"/>
      <c r="N23" s="115"/>
      <c r="O23" s="115"/>
      <c r="P23" s="115"/>
      <c r="Q23" s="115"/>
      <c r="R23" s="115"/>
      <c r="S23" s="115"/>
      <c r="T23" s="115"/>
      <c r="U23" s="115"/>
      <c r="V23" s="115"/>
      <c r="W23" s="115"/>
      <c r="X23" s="115"/>
      <c r="Y23" s="115"/>
      <c r="Z23" s="115"/>
      <c r="AA23" s="115"/>
      <c r="AB23" s="115"/>
      <c r="AC23" s="115"/>
    </row>
    <row r="24" spans="3:29" ht="15" customHeight="1">
      <c r="C24" s="756" t="str">
        <f>IF(Indice_index!$Z$1=1,"Transferências de capital","Capital transfers")</f>
        <v>Capital transfers</v>
      </c>
      <c r="D24" s="228">
        <f>SUM(D25:D28)</f>
        <v>1633.6494715700001</v>
      </c>
      <c r="E24" s="228">
        <f>SUM(E25:E28)</f>
        <v>2274.4540780000002</v>
      </c>
      <c r="F24" s="752">
        <f>SUM(F25:F28)</f>
        <v>1633.6494715700001</v>
      </c>
      <c r="G24" s="752">
        <f>SUM(G25:G28)</f>
        <v>1863.2719674599998</v>
      </c>
      <c r="H24" s="752">
        <f t="shared" si="3"/>
        <v>81.9217229084895</v>
      </c>
      <c r="I24" s="752">
        <f t="shared" si="1"/>
        <v>14.055799599979284</v>
      </c>
      <c r="J24" s="752">
        <f t="shared" si="4"/>
        <v>2.073535893658025</v>
      </c>
      <c r="K24" s="228"/>
      <c r="L24" s="59"/>
      <c r="M24" s="115"/>
      <c r="N24" s="115"/>
      <c r="O24" s="115"/>
      <c r="P24" s="115"/>
      <c r="Q24" s="115"/>
      <c r="R24" s="115"/>
      <c r="S24" s="115"/>
      <c r="T24" s="115"/>
      <c r="U24" s="115"/>
      <c r="V24" s="115"/>
      <c r="W24" s="115"/>
      <c r="X24" s="115"/>
      <c r="Y24" s="115"/>
      <c r="Z24" s="115"/>
      <c r="AA24" s="115"/>
      <c r="AB24" s="115"/>
      <c r="AC24" s="115"/>
    </row>
    <row r="25" spans="3:29" ht="15" customHeight="1">
      <c r="C25" s="751" t="str">
        <f>IF(Indice_index!$Z$1=1,"Administração Central","Central Administration")</f>
        <v>Central Administration</v>
      </c>
      <c r="D25" s="228">
        <v>1346.3117051199999</v>
      </c>
      <c r="E25" s="228">
        <v>1464.2473070000001</v>
      </c>
      <c r="F25" s="752">
        <v>1346.3117051199999</v>
      </c>
      <c r="G25" s="752">
        <v>1455.85267359</v>
      </c>
      <c r="H25" s="752">
        <f t="shared" si="3"/>
        <v>99.426692924762875</v>
      </c>
      <c r="I25" s="752">
        <f t="shared" si="1"/>
        <v>8.1363749608220495</v>
      </c>
      <c r="J25" s="752">
        <f t="shared" si="4"/>
        <v>0.98917629593842904</v>
      </c>
      <c r="K25" s="228"/>
      <c r="L25" s="59"/>
      <c r="M25" s="115"/>
      <c r="N25" s="115"/>
      <c r="O25" s="115"/>
      <c r="P25" s="115"/>
      <c r="Q25" s="115"/>
      <c r="R25" s="115"/>
      <c r="S25" s="115"/>
      <c r="T25" s="115"/>
      <c r="U25" s="115"/>
      <c r="V25" s="115"/>
      <c r="W25" s="115"/>
      <c r="X25" s="115"/>
      <c r="Y25" s="115"/>
      <c r="Z25" s="115"/>
      <c r="AA25" s="115"/>
      <c r="AB25" s="115"/>
      <c r="AC25" s="115"/>
    </row>
    <row r="26" spans="3:29" ht="15" customHeight="1">
      <c r="C26" s="751" t="str">
        <f>IF(Indice_index!$Z$1=1,"Outros subsectores das AP","Other General Government subsectors")</f>
        <v>Other General Government subsectors</v>
      </c>
      <c r="D26" s="228">
        <v>0.80392460999999993</v>
      </c>
      <c r="E26" s="228">
        <v>4.7397999999999998</v>
      </c>
      <c r="F26" s="752">
        <v>0.80392460999999993</v>
      </c>
      <c r="G26" s="752">
        <v>3.3715945</v>
      </c>
      <c r="H26" s="752">
        <f t="shared" si="3"/>
        <v>71.133687075404026</v>
      </c>
      <c r="I26" s="752">
        <f t="shared" si="1"/>
        <v>319.39187556405329</v>
      </c>
      <c r="J26" s="752">
        <f t="shared" si="4"/>
        <v>2.3186559571804675E-2</v>
      </c>
      <c r="K26" s="228"/>
      <c r="L26" s="59"/>
      <c r="M26" s="115"/>
      <c r="N26" s="115"/>
      <c r="O26" s="115"/>
      <c r="P26" s="115"/>
      <c r="Q26" s="115"/>
      <c r="R26" s="115"/>
      <c r="S26" s="115"/>
      <c r="T26" s="115"/>
      <c r="U26" s="115"/>
      <c r="V26" s="115"/>
      <c r="W26" s="115"/>
      <c r="X26" s="115"/>
      <c r="Y26" s="115"/>
      <c r="Z26" s="115"/>
      <c r="AA26" s="115"/>
      <c r="AB26" s="115"/>
      <c r="AC26" s="115"/>
    </row>
    <row r="27" spans="3:29" ht="15" customHeight="1">
      <c r="C27" s="751" t="str">
        <f>IF(Indice_index!$Z$1=1,"União Europeia","European Union")</f>
        <v>European Union</v>
      </c>
      <c r="D27" s="228">
        <v>75.296659860000005</v>
      </c>
      <c r="E27" s="228">
        <v>529.839291</v>
      </c>
      <c r="F27" s="752">
        <v>75.296659860000005</v>
      </c>
      <c r="G27" s="752">
        <v>189.90549678999997</v>
      </c>
      <c r="H27" s="752">
        <f t="shared" si="3"/>
        <v>35.842094011483944</v>
      </c>
      <c r="I27" s="752">
        <f t="shared" si="1"/>
        <v>152.20972237426412</v>
      </c>
      <c r="J27" s="752">
        <f t="shared" si="4"/>
        <v>1.0349401359115877</v>
      </c>
      <c r="K27" s="228"/>
      <c r="L27" s="59"/>
      <c r="M27" s="115"/>
      <c r="N27" s="115"/>
      <c r="O27" s="115"/>
      <c r="P27" s="115"/>
      <c r="Q27" s="115"/>
      <c r="R27" s="115"/>
      <c r="S27" s="115"/>
      <c r="T27" s="115"/>
      <c r="U27" s="115"/>
      <c r="V27" s="115"/>
      <c r="W27" s="115"/>
      <c r="X27" s="115"/>
      <c r="Y27" s="115"/>
      <c r="Z27" s="115"/>
      <c r="AA27" s="115"/>
      <c r="AB27" s="115"/>
      <c r="AC27" s="115"/>
    </row>
    <row r="28" spans="3:29" ht="15" customHeight="1">
      <c r="C28" s="751" t="str">
        <f>IF(Indice_index!$Z$1=1,"Outras transferências","Other transfers")</f>
        <v>Other transfers</v>
      </c>
      <c r="D28" s="228">
        <v>211.23718198000003</v>
      </c>
      <c r="E28" s="228">
        <v>275.62768000000005</v>
      </c>
      <c r="F28" s="752">
        <v>211.23718198000003</v>
      </c>
      <c r="G28" s="752">
        <v>214.14220258</v>
      </c>
      <c r="H28" s="752">
        <f t="shared" si="3"/>
        <v>77.69256069637126</v>
      </c>
      <c r="I28" s="752">
        <f t="shared" si="1"/>
        <v>1.3752411260035744</v>
      </c>
      <c r="J28" s="752">
        <f t="shared" si="4"/>
        <v>2.6232902236205721E-2</v>
      </c>
      <c r="K28" s="228"/>
      <c r="L28" s="59"/>
      <c r="M28" s="115"/>
      <c r="N28" s="115"/>
      <c r="O28" s="115"/>
      <c r="P28" s="115"/>
      <c r="Q28" s="115"/>
      <c r="R28" s="115"/>
      <c r="S28" s="115"/>
      <c r="T28" s="115"/>
      <c r="U28" s="115"/>
      <c r="V28" s="115"/>
      <c r="W28" s="115"/>
      <c r="X28" s="115"/>
      <c r="Y28" s="115"/>
      <c r="Z28" s="115"/>
      <c r="AA28" s="115"/>
      <c r="AB28" s="115"/>
      <c r="AC28" s="115"/>
    </row>
    <row r="29" spans="3:29" ht="15" customHeight="1">
      <c r="C29" s="756" t="str">
        <f>IF(Indice_index!$Z$1=1,"Outras Receitas de Capital","Other capital revenue")</f>
        <v>Other capital revenue</v>
      </c>
      <c r="D29" s="228">
        <v>36.97337718</v>
      </c>
      <c r="E29" s="228">
        <v>23.108699999999999</v>
      </c>
      <c r="F29" s="752">
        <v>36.97337718</v>
      </c>
      <c r="G29" s="752">
        <v>14.53409727</v>
      </c>
      <c r="H29" s="752">
        <f t="shared" si="3"/>
        <v>62.894482467642064</v>
      </c>
      <c r="I29" s="752">
        <f t="shared" si="1"/>
        <v>-60.6903713468135</v>
      </c>
      <c r="J29" s="752">
        <f t="shared" si="4"/>
        <v>-0.20263107123229723</v>
      </c>
      <c r="K29" s="228"/>
      <c r="L29" s="59"/>
      <c r="M29" s="115"/>
      <c r="N29" s="115"/>
      <c r="O29" s="115"/>
      <c r="P29" s="115"/>
      <c r="Q29" s="115"/>
      <c r="R29" s="115"/>
      <c r="S29" s="115"/>
      <c r="T29" s="115"/>
      <c r="U29" s="115"/>
      <c r="V29" s="115"/>
      <c r="W29" s="115"/>
      <c r="X29" s="115"/>
      <c r="Y29" s="115"/>
      <c r="Z29" s="115"/>
      <c r="AA29" s="115"/>
      <c r="AB29" s="115"/>
      <c r="AC29" s="115"/>
    </row>
    <row r="30" spans="3:29" ht="15" customHeight="1">
      <c r="C30" s="743" t="str">
        <f>IF(Indice_index!$Z$1=1,"Diferenças de consolidação","Consolidation differences")</f>
        <v>Consolidation differences</v>
      </c>
      <c r="D30" s="228">
        <v>0</v>
      </c>
      <c r="E30" s="228">
        <v>0</v>
      </c>
      <c r="F30" s="752">
        <v>0</v>
      </c>
      <c r="G30" s="752">
        <v>0</v>
      </c>
      <c r="H30" s="752"/>
      <c r="I30" s="752"/>
      <c r="J30" s="752"/>
      <c r="K30" s="228"/>
      <c r="L30" s="59"/>
      <c r="M30" s="115"/>
      <c r="N30" s="115"/>
      <c r="O30" s="115"/>
      <c r="P30" s="115"/>
      <c r="Q30" s="115"/>
      <c r="R30" s="115"/>
      <c r="S30" s="115"/>
      <c r="T30" s="115"/>
      <c r="U30" s="115"/>
      <c r="V30" s="115"/>
      <c r="W30" s="115"/>
      <c r="X30" s="115"/>
      <c r="Y30" s="115"/>
      <c r="Z30" s="115"/>
      <c r="AA30" s="115"/>
      <c r="AB30" s="115"/>
      <c r="AC30" s="115"/>
    </row>
    <row r="31" spans="3:29" ht="4.5" customHeight="1">
      <c r="C31" s="751"/>
      <c r="D31" s="751"/>
      <c r="E31" s="751"/>
      <c r="F31" s="229"/>
      <c r="G31" s="229"/>
      <c r="H31" s="229"/>
      <c r="I31" s="229"/>
      <c r="J31" s="229"/>
      <c r="K31" s="229"/>
      <c r="L31" s="59"/>
      <c r="M31" s="115"/>
      <c r="N31" s="115"/>
      <c r="O31" s="115"/>
      <c r="P31" s="115"/>
      <c r="Q31" s="115"/>
      <c r="R31" s="115"/>
      <c r="S31" s="115"/>
      <c r="T31" s="115"/>
      <c r="U31" s="115"/>
      <c r="V31" s="115"/>
      <c r="W31" s="115"/>
      <c r="X31" s="115"/>
      <c r="Y31" s="115"/>
      <c r="Z31" s="115"/>
      <c r="AA31" s="115"/>
      <c r="AB31" s="115"/>
      <c r="AC31" s="115"/>
    </row>
    <row r="32" spans="3:29" s="297" customFormat="1" ht="15" customHeight="1">
      <c r="C32" s="939" t="str">
        <f>IF(Indice_index!$Z$1=1,"Receita efetiva","Effective revenue")</f>
        <v>Effective revenue</v>
      </c>
      <c r="D32" s="939">
        <f>D9+D22</f>
        <v>11073.958092180001</v>
      </c>
      <c r="E32" s="939">
        <f>E9+E22</f>
        <v>13172.17297</v>
      </c>
      <c r="F32" s="940">
        <f>+F9+F22</f>
        <v>11073.958092180001</v>
      </c>
      <c r="G32" s="940">
        <f>+G9+G22</f>
        <v>11389.208701439999</v>
      </c>
      <c r="H32" s="940">
        <f>IFERROR(IF(G32/E32*100&lt;-500,"-",IF(G32/E32*100&gt;500,"-",G32/E32*100)),"-")</f>
        <v>86.464159917875719</v>
      </c>
      <c r="I32" s="940">
        <f t="shared" ref="I32" si="5">IFERROR(IF(F32=0,"-",(G32-F32)/F32*100),"-")</f>
        <v>2.8467744471835741</v>
      </c>
      <c r="J32" s="940"/>
      <c r="K32" s="290"/>
      <c r="L32" s="281"/>
      <c r="M32" s="298"/>
      <c r="N32" s="298"/>
      <c r="O32" s="298"/>
      <c r="P32" s="298"/>
      <c r="Q32" s="298"/>
      <c r="R32" s="298"/>
      <c r="S32" s="298"/>
      <c r="T32" s="298"/>
      <c r="U32" s="298"/>
      <c r="V32" s="298"/>
      <c r="W32" s="298"/>
      <c r="X32" s="298"/>
      <c r="Y32" s="298"/>
      <c r="Z32" s="298"/>
      <c r="AA32" s="298"/>
      <c r="AB32" s="298"/>
      <c r="AC32" s="298"/>
    </row>
    <row r="33" spans="3:29" ht="4.5" customHeight="1">
      <c r="C33" s="751"/>
      <c r="D33" s="751"/>
      <c r="E33" s="751"/>
      <c r="F33" s="752"/>
      <c r="G33" s="752"/>
      <c r="H33" s="752"/>
      <c r="I33" s="752"/>
      <c r="J33" s="114"/>
      <c r="K33" s="114"/>
      <c r="L33" s="59"/>
      <c r="M33" s="115"/>
      <c r="N33" s="115"/>
      <c r="O33" s="115"/>
      <c r="P33" s="115"/>
      <c r="Q33" s="115"/>
      <c r="R33" s="115"/>
      <c r="S33" s="115"/>
      <c r="T33" s="115"/>
      <c r="U33" s="115"/>
      <c r="V33" s="115"/>
      <c r="W33" s="115"/>
      <c r="X33" s="115"/>
      <c r="Y33" s="115"/>
      <c r="Z33" s="115"/>
      <c r="AA33" s="115"/>
      <c r="AB33" s="115"/>
      <c r="AC33" s="115"/>
    </row>
    <row r="34" spans="3:29" s="297" customFormat="1" ht="15" customHeight="1">
      <c r="C34" s="935" t="str">
        <f>IF(Indice_index!$Z$1=1,"Despesa corrente","Current Expenditure")</f>
        <v>Current Expenditure</v>
      </c>
      <c r="D34" s="935">
        <f t="shared" ref="D34:E34" si="6">SUM(D35:D48)-D35-D41</f>
        <v>10011.978169039989</v>
      </c>
      <c r="E34" s="935">
        <f t="shared" si="6"/>
        <v>10331.668802</v>
      </c>
      <c r="F34" s="290">
        <f>SUM(F35:F48)-F35-F41</f>
        <v>10011.978169039989</v>
      </c>
      <c r="G34" s="290">
        <f>SUM(G35:G48)-G35-G41</f>
        <v>10419.011711129995</v>
      </c>
      <c r="H34" s="290">
        <f t="shared" ref="H34:H47" si="7">IFERROR(IF(G34/E34*100&lt;-500,"-",IF(G34/E34*100&gt;500,"-",G34/E34*100)),"-")</f>
        <v>100.84539013787479</v>
      </c>
      <c r="I34" s="290">
        <f t="shared" ref="I34:I56" si="8">IF(IFERROR((G34-F34)/F34*100,"")&gt;500,"-",IFERROR((G34-F34)/F34*100,""))</f>
        <v>4.0654657373172771</v>
      </c>
      <c r="J34" s="290">
        <f>IFERROR((G34-F34)/$F$59*100,"-")</f>
        <v>3.0376327489943287</v>
      </c>
      <c r="K34" s="290"/>
      <c r="L34" s="281"/>
      <c r="M34" s="298"/>
      <c r="N34" s="298"/>
      <c r="O34" s="298"/>
      <c r="P34" s="298"/>
      <c r="Q34" s="298"/>
      <c r="R34" s="298"/>
      <c r="S34" s="298"/>
      <c r="T34" s="298"/>
      <c r="U34" s="298"/>
      <c r="V34" s="298"/>
      <c r="W34" s="298"/>
      <c r="X34" s="298"/>
      <c r="Y34" s="298"/>
      <c r="Z34" s="298"/>
      <c r="AA34" s="298"/>
      <c r="AB34" s="298"/>
      <c r="AC34" s="298"/>
    </row>
    <row r="35" spans="3:29" ht="15" customHeight="1">
      <c r="C35" s="756" t="str">
        <f>IF(Indice_index!$Z$1=1,"Despesas com o pessoal","Employees")</f>
        <v>Employees</v>
      </c>
      <c r="D35" s="228">
        <f t="shared" ref="D35:E35" si="9">SUM(D36:D38)</f>
        <v>4717.654887179996</v>
      </c>
      <c r="E35" s="228">
        <f t="shared" si="9"/>
        <v>4977.2913840000001</v>
      </c>
      <c r="F35" s="752">
        <f>SUM(F36:F38)</f>
        <v>4717.654887179996</v>
      </c>
      <c r="G35" s="752">
        <f t="shared" ref="G35" si="10">SUM(G36:G38)</f>
        <v>5027.0330712000014</v>
      </c>
      <c r="H35" s="752">
        <f t="shared" si="7"/>
        <v>100.99937261780374</v>
      </c>
      <c r="I35" s="752">
        <f t="shared" si="8"/>
        <v>6.5578807992234864</v>
      </c>
      <c r="J35" s="752">
        <f t="shared" ref="J35:J47" si="11">IFERROR((G35-F35)/$F$59*100,"-")</f>
        <v>2.3088448651628601</v>
      </c>
      <c r="K35" s="228"/>
      <c r="L35" s="59"/>
      <c r="M35" s="115"/>
      <c r="N35" s="115"/>
      <c r="O35" s="115"/>
      <c r="P35" s="115"/>
      <c r="Q35" s="115"/>
      <c r="R35" s="115"/>
      <c r="S35" s="115"/>
      <c r="T35" s="115"/>
      <c r="U35" s="115"/>
      <c r="V35" s="115"/>
      <c r="W35" s="115"/>
      <c r="X35" s="115"/>
      <c r="Y35" s="115"/>
      <c r="Z35" s="115"/>
      <c r="AA35" s="115"/>
      <c r="AB35" s="115"/>
      <c r="AC35" s="115"/>
    </row>
    <row r="36" spans="3:29" ht="15" customHeight="1">
      <c r="C36" s="751" t="str">
        <f>IF(Indice_index!$Z$1=1,"Remunerações Certas e Permanentes","Certain and permanent wages")</f>
        <v>Certain and permanent wages</v>
      </c>
      <c r="D36" s="228">
        <v>3186.7357172599955</v>
      </c>
      <c r="E36" s="228">
        <v>3425.6141499999999</v>
      </c>
      <c r="F36" s="752">
        <v>3186.7357172599955</v>
      </c>
      <c r="G36" s="752">
        <v>3304.6980452700004</v>
      </c>
      <c r="H36" s="752">
        <f t="shared" si="7"/>
        <v>96.470235717294685</v>
      </c>
      <c r="I36" s="752">
        <f t="shared" si="8"/>
        <v>3.7016664849581811</v>
      </c>
      <c r="J36" s="752">
        <f t="shared" si="11"/>
        <v>0.88033587814629333</v>
      </c>
      <c r="K36" s="228"/>
      <c r="L36" s="59"/>
      <c r="M36" s="115"/>
      <c r="N36" s="115"/>
      <c r="O36" s="115"/>
      <c r="P36" s="115"/>
      <c r="Q36" s="115"/>
      <c r="R36" s="115"/>
      <c r="S36" s="115"/>
      <c r="T36" s="115"/>
      <c r="U36" s="115"/>
      <c r="V36" s="115"/>
      <c r="W36" s="115"/>
      <c r="X36" s="115"/>
      <c r="Y36" s="115"/>
      <c r="Z36" s="115"/>
      <c r="AA36" s="115"/>
      <c r="AB36" s="115"/>
      <c r="AC36" s="115"/>
    </row>
    <row r="37" spans="3:29" ht="15" customHeight="1">
      <c r="C37" s="751" t="str">
        <f>IF(Indice_index!$Z$1=1,"Abonos Variáveis ou Eventuais","Variable or contingent bonuses")</f>
        <v>Variable or contingent bonuses</v>
      </c>
      <c r="D37" s="228">
        <v>627.63419042999999</v>
      </c>
      <c r="E37" s="228">
        <v>614.39706699999999</v>
      </c>
      <c r="F37" s="752">
        <v>627.63419042999999</v>
      </c>
      <c r="G37" s="752">
        <v>760.60944498000015</v>
      </c>
      <c r="H37" s="752">
        <f t="shared" si="7"/>
        <v>123.79770116643481</v>
      </c>
      <c r="I37" s="752">
        <f t="shared" si="8"/>
        <v>21.186744855135625</v>
      </c>
      <c r="J37" s="752">
        <f t="shared" si="11"/>
        <v>0.99237518842517758</v>
      </c>
      <c r="K37" s="228"/>
      <c r="L37" s="59"/>
      <c r="M37" s="115"/>
      <c r="N37" s="115"/>
      <c r="O37" s="115"/>
      <c r="P37" s="115"/>
      <c r="Q37" s="115"/>
      <c r="R37" s="115"/>
      <c r="S37" s="115"/>
      <c r="T37" s="115"/>
      <c r="U37" s="115"/>
      <c r="V37" s="115"/>
      <c r="W37" s="115"/>
      <c r="X37" s="115"/>
      <c r="Y37" s="115"/>
      <c r="Z37" s="115"/>
      <c r="AA37" s="115"/>
      <c r="AB37" s="115"/>
      <c r="AC37" s="115"/>
    </row>
    <row r="38" spans="3:29" ht="15" customHeight="1">
      <c r="C38" s="751" t="str">
        <f>IF(Indice_index!$Z$1=1,"Segurança social","Social security")</f>
        <v>Social security</v>
      </c>
      <c r="D38" s="228">
        <v>903.28497949000018</v>
      </c>
      <c r="E38" s="228">
        <v>937.28016700000001</v>
      </c>
      <c r="F38" s="752">
        <v>903.28497949000018</v>
      </c>
      <c r="G38" s="752">
        <v>961.72558095000056</v>
      </c>
      <c r="H38" s="752">
        <f t="shared" si="7"/>
        <v>102.60812239612882</v>
      </c>
      <c r="I38" s="752">
        <f t="shared" si="8"/>
        <v>6.4697855922497771</v>
      </c>
      <c r="J38" s="752">
        <f>IFERROR((G38-F38)/$F$59*100,"-")</f>
        <v>0.43613379859139001</v>
      </c>
      <c r="K38" s="228"/>
      <c r="L38" s="59"/>
      <c r="M38" s="115"/>
      <c r="N38" s="115"/>
      <c r="O38" s="115"/>
      <c r="P38" s="115"/>
      <c r="Q38" s="115"/>
      <c r="R38" s="115"/>
      <c r="S38" s="115"/>
      <c r="T38" s="115"/>
      <c r="U38" s="115"/>
      <c r="V38" s="115"/>
      <c r="W38" s="115"/>
      <c r="X38" s="115"/>
      <c r="Y38" s="115"/>
      <c r="Z38" s="115"/>
      <c r="AA38" s="115"/>
      <c r="AB38" s="115"/>
      <c r="AC38" s="115"/>
    </row>
    <row r="39" spans="3:29" ht="15" customHeight="1">
      <c r="C39" s="756" t="str">
        <f>IF(Indice_index!$Z$1=1,"Aquisição de bens e serviços","Purchase of goods and services")</f>
        <v>Purchase of goods and services</v>
      </c>
      <c r="D39" s="228">
        <v>4411.4835588499936</v>
      </c>
      <c r="E39" s="228">
        <v>4307.1551819999995</v>
      </c>
      <c r="F39" s="752">
        <v>4411.4835588499936</v>
      </c>
      <c r="G39" s="752">
        <v>4529.3495264899948</v>
      </c>
      <c r="H39" s="752">
        <f t="shared" si="7"/>
        <v>105.15872623811109</v>
      </c>
      <c r="I39" s="752">
        <f t="shared" si="8"/>
        <v>2.6717988646596478</v>
      </c>
      <c r="J39" s="752">
        <f t="shared" si="11"/>
        <v>0.87961675457203981</v>
      </c>
      <c r="K39" s="228"/>
      <c r="L39" s="59"/>
      <c r="M39" s="115"/>
      <c r="N39" s="115"/>
      <c r="O39" s="115"/>
      <c r="P39" s="115"/>
      <c r="Q39" s="115"/>
      <c r="R39" s="115"/>
      <c r="S39" s="115"/>
      <c r="T39" s="115"/>
      <c r="U39" s="115"/>
      <c r="V39" s="115"/>
      <c r="W39" s="115"/>
      <c r="X39" s="115"/>
      <c r="Y39" s="115"/>
      <c r="Z39" s="115"/>
      <c r="AA39" s="115"/>
      <c r="AB39" s="115"/>
      <c r="AC39" s="115"/>
    </row>
    <row r="40" spans="3:29" ht="15" customHeight="1">
      <c r="C40" s="756" t="str">
        <f>IF(Indice_index!$Z$1=1,"Juros e outros encargos","Interests")</f>
        <v>Interests</v>
      </c>
      <c r="D40" s="228">
        <v>595.56543515999999</v>
      </c>
      <c r="E40" s="228">
        <v>609.81387300000006</v>
      </c>
      <c r="F40" s="752">
        <v>595.56543515999999</v>
      </c>
      <c r="G40" s="752">
        <v>620.6306830499999</v>
      </c>
      <c r="H40" s="752">
        <f t="shared" si="7"/>
        <v>101.77378877866228</v>
      </c>
      <c r="I40" s="752">
        <f t="shared" si="8"/>
        <v>4.2086471796782625</v>
      </c>
      <c r="J40" s="752">
        <f t="shared" si="11"/>
        <v>0.18705833789857118</v>
      </c>
      <c r="K40" s="228"/>
      <c r="L40" s="59"/>
      <c r="M40" s="115"/>
      <c r="N40" s="115"/>
      <c r="O40" s="115"/>
      <c r="P40" s="115"/>
      <c r="Q40" s="115"/>
      <c r="R40" s="115"/>
      <c r="S40" s="115"/>
      <c r="T40" s="115"/>
      <c r="U40" s="115"/>
      <c r="V40" s="115"/>
      <c r="W40" s="115"/>
      <c r="X40" s="115"/>
      <c r="Y40" s="115"/>
      <c r="Z40" s="115"/>
      <c r="AA40" s="115"/>
      <c r="AB40" s="115"/>
      <c r="AC40" s="115"/>
    </row>
    <row r="41" spans="3:29" ht="15" customHeight="1">
      <c r="C41" s="756" t="str">
        <f>IF(Indice_index!$Z$1=1,"Transferências correntes","Current transfers")</f>
        <v>Current transfers</v>
      </c>
      <c r="D41" s="116">
        <f>SUM(D42:D45)</f>
        <v>68.068765470000017</v>
      </c>
      <c r="E41" s="116">
        <f>SUM(E42:E45)</f>
        <v>78.463219000000009</v>
      </c>
      <c r="F41" s="749">
        <f>SUM(F42:F45)</f>
        <v>68.068765470000017</v>
      </c>
      <c r="G41" s="749">
        <f>SUM(G42:G45)</f>
        <v>51.778066840000001</v>
      </c>
      <c r="H41" s="749">
        <f t="shared" si="7"/>
        <v>65.990240395311844</v>
      </c>
      <c r="I41" s="749">
        <f t="shared" si="8"/>
        <v>-23.932707633987903</v>
      </c>
      <c r="J41" s="749">
        <f t="shared" si="11"/>
        <v>-0.12157513950420956</v>
      </c>
      <c r="K41" s="116"/>
      <c r="L41" s="59"/>
      <c r="M41" s="115"/>
      <c r="N41" s="115"/>
      <c r="O41" s="115"/>
      <c r="P41" s="115"/>
      <c r="Q41" s="115"/>
      <c r="R41" s="115"/>
      <c r="S41" s="115"/>
      <c r="T41" s="115"/>
      <c r="U41" s="115"/>
      <c r="V41" s="115"/>
      <c r="W41" s="115"/>
      <c r="X41" s="115"/>
      <c r="Y41" s="115"/>
      <c r="Z41" s="115"/>
      <c r="AA41" s="115"/>
      <c r="AB41" s="115"/>
      <c r="AC41" s="115"/>
    </row>
    <row r="42" spans="3:29" ht="15" customHeight="1">
      <c r="C42" s="751" t="str">
        <f>IF(Indice_index!$Z$1=1,"Administração Central","Central Administration")</f>
        <v>Central Administration</v>
      </c>
      <c r="D42" s="116">
        <v>11.905924870000002</v>
      </c>
      <c r="E42" s="116">
        <v>2.6359240000000002</v>
      </c>
      <c r="F42" s="752">
        <v>11.905924870000002</v>
      </c>
      <c r="G42" s="752">
        <v>0.64367631999999997</v>
      </c>
      <c r="H42" s="752">
        <f t="shared" si="7"/>
        <v>24.419380831920794</v>
      </c>
      <c r="I42" s="752">
        <f t="shared" si="8"/>
        <v>-94.593647053645498</v>
      </c>
      <c r="J42" s="749">
        <f t="shared" si="11"/>
        <v>-8.4048540194333637E-2</v>
      </c>
      <c r="K42" s="116"/>
      <c r="L42" s="59"/>
      <c r="M42" s="115"/>
      <c r="N42" s="115"/>
      <c r="O42" s="115"/>
      <c r="P42" s="115"/>
      <c r="Q42" s="115"/>
      <c r="R42" s="115"/>
      <c r="S42" s="115"/>
      <c r="T42" s="115"/>
      <c r="U42" s="115"/>
      <c r="V42" s="115"/>
      <c r="W42" s="115"/>
      <c r="X42" s="115"/>
      <c r="Y42" s="115"/>
      <c r="Z42" s="115"/>
      <c r="AA42" s="115"/>
      <c r="AB42" s="115"/>
      <c r="AC42" s="115"/>
    </row>
    <row r="43" spans="3:29" ht="15" customHeight="1">
      <c r="C43" s="751" t="str">
        <f>IF(Indice_index!$Z$1=1,"Outros subsectores das AP","Other General Government subsectors")</f>
        <v>Other General Government subsectors</v>
      </c>
      <c r="D43" s="228">
        <v>2.9355000000000001E-4</v>
      </c>
      <c r="E43" s="228">
        <v>2.7779000000000002E-2</v>
      </c>
      <c r="F43" s="752">
        <v>2.9355000000000001E-4</v>
      </c>
      <c r="G43" s="752">
        <v>0.28187275999999994</v>
      </c>
      <c r="H43" s="752" t="str">
        <f t="shared" si="7"/>
        <v>-</v>
      </c>
      <c r="I43" s="752" t="str">
        <f t="shared" si="8"/>
        <v>-</v>
      </c>
      <c r="J43" s="752">
        <f t="shared" si="11"/>
        <v>2.1013851225627324E-3</v>
      </c>
      <c r="K43" s="228"/>
      <c r="L43" s="59"/>
      <c r="M43" s="115"/>
      <c r="N43" s="115"/>
      <c r="O43" s="115"/>
      <c r="P43" s="115"/>
      <c r="Q43" s="115"/>
      <c r="R43" s="115"/>
      <c r="S43" s="115"/>
      <c r="T43" s="115"/>
      <c r="U43" s="115"/>
      <c r="V43" s="115"/>
      <c r="W43" s="115"/>
      <c r="X43" s="115"/>
      <c r="Y43" s="115"/>
      <c r="Z43" s="115"/>
      <c r="AA43" s="115"/>
      <c r="AB43" s="115"/>
      <c r="AC43" s="115"/>
    </row>
    <row r="44" spans="3:29" ht="15" customHeight="1">
      <c r="C44" s="751" t="str">
        <f>IF(Indice_index!$Z$1=1,"União Europeia","European Union")</f>
        <v>European Union</v>
      </c>
      <c r="D44" s="228">
        <v>3.0235365300000003</v>
      </c>
      <c r="E44" s="228">
        <v>5.8423639999999999</v>
      </c>
      <c r="F44" s="752">
        <v>3.0235365300000003</v>
      </c>
      <c r="G44" s="752">
        <v>1.5492267100000001</v>
      </c>
      <c r="H44" s="752">
        <f t="shared" si="7"/>
        <v>26.51712063815264</v>
      </c>
      <c r="I44" s="752">
        <f t="shared" si="8"/>
        <v>-48.761104930324755</v>
      </c>
      <c r="J44" s="752">
        <f t="shared" si="11"/>
        <v>-1.1002562020811624E-2</v>
      </c>
      <c r="K44" s="228"/>
      <c r="L44" s="59"/>
      <c r="M44" s="115"/>
      <c r="N44" s="115"/>
      <c r="O44" s="115"/>
      <c r="P44" s="115"/>
      <c r="Q44" s="115"/>
      <c r="R44" s="115"/>
      <c r="S44" s="115"/>
      <c r="T44" s="115"/>
      <c r="U44" s="115"/>
      <c r="V44" s="115"/>
      <c r="W44" s="115"/>
      <c r="X44" s="115"/>
      <c r="Y44" s="115"/>
      <c r="Z44" s="115"/>
      <c r="AA44" s="115"/>
      <c r="AB44" s="115"/>
      <c r="AC44" s="115"/>
    </row>
    <row r="45" spans="3:29" ht="15" customHeight="1">
      <c r="C45" s="751" t="str">
        <f>IF(Indice_index!$Z$1=1,"Outras transferências","Other transfers")</f>
        <v>Other transfers</v>
      </c>
      <c r="D45" s="228">
        <v>53.139010520000006</v>
      </c>
      <c r="E45" s="228">
        <v>69.957152000000008</v>
      </c>
      <c r="F45" s="752">
        <v>53.139010520000006</v>
      </c>
      <c r="G45" s="752">
        <v>49.303291049999999</v>
      </c>
      <c r="H45" s="752">
        <f t="shared" si="7"/>
        <v>70.476412547497631</v>
      </c>
      <c r="I45" s="752">
        <f t="shared" si="8"/>
        <v>-7.2182741689485406</v>
      </c>
      <c r="J45" s="752">
        <f t="shared" si="11"/>
        <v>-2.8625422411627004E-2</v>
      </c>
      <c r="K45" s="228"/>
      <c r="L45" s="59"/>
      <c r="M45" s="115"/>
      <c r="N45" s="115"/>
      <c r="O45" s="115"/>
      <c r="P45" s="115"/>
      <c r="Q45" s="115"/>
      <c r="R45" s="115"/>
      <c r="S45" s="115"/>
      <c r="T45" s="115"/>
      <c r="U45" s="115"/>
      <c r="V45" s="115"/>
      <c r="W45" s="115"/>
      <c r="X45" s="115"/>
      <c r="Y45" s="115"/>
      <c r="Z45" s="115"/>
      <c r="AA45" s="115"/>
      <c r="AB45" s="115"/>
      <c r="AC45" s="115"/>
    </row>
    <row r="46" spans="3:29" ht="15" customHeight="1">
      <c r="C46" s="756" t="str">
        <f>IF(Indice_index!$Z$1=1,"Subsídios","Subsidies")</f>
        <v>Subsidies</v>
      </c>
      <c r="D46" s="228">
        <v>39.069130660000006</v>
      </c>
      <c r="E46" s="228">
        <v>37.083592000000003</v>
      </c>
      <c r="F46" s="752">
        <v>39.069130660000006</v>
      </c>
      <c r="G46" s="752">
        <v>34.932333480000004</v>
      </c>
      <c r="H46" s="752">
        <f t="shared" si="7"/>
        <v>94.198893893558093</v>
      </c>
      <c r="I46" s="752">
        <f t="shared" si="8"/>
        <v>-10.588403453357008</v>
      </c>
      <c r="J46" s="752">
        <f t="shared" si="11"/>
        <v>-3.0872322033688036E-2</v>
      </c>
      <c r="K46" s="228"/>
      <c r="L46" s="59"/>
      <c r="M46" s="115"/>
      <c r="N46" s="115"/>
      <c r="O46" s="115"/>
      <c r="P46" s="115"/>
      <c r="Q46" s="115"/>
      <c r="R46" s="115"/>
      <c r="S46" s="115"/>
      <c r="T46" s="115"/>
      <c r="U46" s="115"/>
      <c r="V46" s="115"/>
      <c r="W46" s="115"/>
      <c r="X46" s="115"/>
      <c r="Y46" s="115"/>
      <c r="Z46" s="115"/>
      <c r="AA46" s="115"/>
      <c r="AB46" s="115"/>
      <c r="AC46" s="115"/>
    </row>
    <row r="47" spans="3:29" ht="15" customHeight="1">
      <c r="C47" s="756" t="str">
        <f>IF(Indice_index!$Z$1=1,"Outras despesas correntes","Other current expenditure")</f>
        <v>Other current expenditure</v>
      </c>
      <c r="D47" s="228">
        <v>171.18809751000003</v>
      </c>
      <c r="E47" s="228">
        <v>321.86155200000002</v>
      </c>
      <c r="F47" s="752">
        <v>171.18809751000003</v>
      </c>
      <c r="G47" s="752">
        <v>139.70318480999998</v>
      </c>
      <c r="H47" s="752">
        <f t="shared" si="7"/>
        <v>43.404744661766863</v>
      </c>
      <c r="I47" s="752">
        <f t="shared" si="8"/>
        <v>-18.391998718345967</v>
      </c>
      <c r="J47" s="752">
        <f t="shared" si="11"/>
        <v>-0.23496737253068697</v>
      </c>
      <c r="K47" s="228"/>
      <c r="L47" s="59"/>
      <c r="M47" s="115"/>
      <c r="N47" s="115"/>
      <c r="O47" s="115"/>
      <c r="P47" s="115"/>
      <c r="Q47" s="115"/>
      <c r="R47" s="115"/>
      <c r="S47" s="115"/>
      <c r="T47" s="115"/>
      <c r="U47" s="115"/>
      <c r="V47" s="115"/>
      <c r="W47" s="115"/>
      <c r="X47" s="115"/>
      <c r="Y47" s="115"/>
      <c r="Z47" s="115"/>
      <c r="AA47" s="115"/>
      <c r="AB47" s="115"/>
      <c r="AC47" s="115"/>
    </row>
    <row r="48" spans="3:29" ht="15" customHeight="1">
      <c r="C48" s="743" t="str">
        <f>IF(Indice_index!$Z$1=1,"Diferenças de consolidação","Consolidation differences")</f>
        <v>Consolidation differences</v>
      </c>
      <c r="D48" s="228">
        <v>8.9482942100000002</v>
      </c>
      <c r="E48" s="228">
        <v>0</v>
      </c>
      <c r="F48" s="752">
        <v>8.9482942100000002</v>
      </c>
      <c r="G48" s="752">
        <v>15.584845260000009</v>
      </c>
      <c r="H48" s="752"/>
      <c r="I48" s="752"/>
      <c r="J48" s="752"/>
      <c r="K48" s="228"/>
      <c r="L48" s="59"/>
      <c r="M48" s="115"/>
      <c r="N48" s="115"/>
      <c r="O48" s="115"/>
      <c r="P48" s="115"/>
      <c r="Q48" s="115"/>
      <c r="R48" s="115"/>
      <c r="S48" s="115"/>
      <c r="T48" s="115"/>
      <c r="U48" s="115"/>
      <c r="V48" s="115"/>
      <c r="W48" s="115"/>
      <c r="X48" s="115"/>
      <c r="Y48" s="115"/>
      <c r="Z48" s="115"/>
      <c r="AA48" s="115"/>
      <c r="AB48" s="115"/>
      <c r="AC48" s="115"/>
    </row>
    <row r="49" spans="3:29" s="297" customFormat="1" ht="15" customHeight="1">
      <c r="C49" s="935" t="str">
        <f>IF(Indice_index!$Z$1=1,"Despesa de capital","Capital expenditure")</f>
        <v>Capital expenditure</v>
      </c>
      <c r="D49" s="290">
        <f>SUM(D50:D57)-D51</f>
        <v>3387.7174401400007</v>
      </c>
      <c r="E49" s="290">
        <f>SUM(E50:E57)-E51</f>
        <v>3420.9207879999999</v>
      </c>
      <c r="F49" s="290">
        <f>SUM(F50:F57)-F51</f>
        <v>3387.7174401400007</v>
      </c>
      <c r="G49" s="290">
        <f>SUM(G50:G57)-G51</f>
        <v>3045.7424600100003</v>
      </c>
      <c r="H49" s="290">
        <f t="shared" ref="H49:H56" si="12">IFERROR(IF(G49/E49*100&lt;-500,"-",IF(G49/E49*100&gt;500,"-",G49/E49*100)),"-")</f>
        <v>89.032826211408917</v>
      </c>
      <c r="I49" s="290">
        <f t="shared" si="8"/>
        <v>-10.094554406399016</v>
      </c>
      <c r="J49" s="290">
        <f t="shared" ref="J49:J56" si="13">IFERROR((G49-F49)/$F$59*100,"-")</f>
        <v>-2.5521100635727647</v>
      </c>
      <c r="K49" s="290"/>
      <c r="L49" s="281"/>
      <c r="M49" s="298"/>
      <c r="N49" s="298"/>
      <c r="O49" s="298"/>
      <c r="P49" s="298"/>
      <c r="Q49" s="298"/>
      <c r="R49" s="298"/>
      <c r="S49" s="298"/>
      <c r="T49" s="298"/>
      <c r="U49" s="298"/>
      <c r="V49" s="298"/>
      <c r="W49" s="298"/>
      <c r="X49" s="298"/>
      <c r="Y49" s="298"/>
      <c r="Z49" s="298"/>
      <c r="AA49" s="298"/>
      <c r="AB49" s="298"/>
      <c r="AC49" s="298"/>
    </row>
    <row r="50" spans="3:29" ht="15" customHeight="1">
      <c r="C50" s="756" t="str">
        <f>IF(Indice_index!$Z$1=1,"Investimento","Investment")</f>
        <v>Investment</v>
      </c>
      <c r="D50" s="228">
        <v>2110.4433112300003</v>
      </c>
      <c r="E50" s="228">
        <v>3267.4303960000002</v>
      </c>
      <c r="F50" s="752">
        <v>2110.4433112300003</v>
      </c>
      <c r="G50" s="752">
        <v>2473.8574484000001</v>
      </c>
      <c r="H50" s="752">
        <f t="shared" si="12"/>
        <v>75.712628842178404</v>
      </c>
      <c r="I50" s="752">
        <f t="shared" si="8"/>
        <v>17.219800941167957</v>
      </c>
      <c r="J50" s="752">
        <f t="shared" si="13"/>
        <v>2.7121074072834057</v>
      </c>
      <c r="K50" s="228"/>
      <c r="L50" s="59"/>
      <c r="M50" s="115"/>
      <c r="N50" s="115"/>
      <c r="O50" s="115"/>
      <c r="P50" s="115"/>
      <c r="Q50" s="115"/>
      <c r="R50" s="115"/>
      <c r="S50" s="115"/>
      <c r="T50" s="115"/>
      <c r="U50" s="115"/>
      <c r="V50" s="115"/>
      <c r="W50" s="115"/>
      <c r="X50" s="115"/>
      <c r="Y50" s="115"/>
      <c r="Z50" s="115"/>
      <c r="AA50" s="115"/>
      <c r="AB50" s="115"/>
      <c r="AC50" s="115"/>
    </row>
    <row r="51" spans="3:29" ht="15" customHeight="1">
      <c r="C51" s="756" t="str">
        <f>IF(Indice_index!$Z$1=1,"Transferências de capital","Capital transfers")</f>
        <v>Capital transfers</v>
      </c>
      <c r="D51" s="228">
        <f>SUM(D52:D55)</f>
        <v>1257.3773929500003</v>
      </c>
      <c r="E51" s="228">
        <f>SUM(E52:E55)</f>
        <v>141.49986799999999</v>
      </c>
      <c r="F51" s="752">
        <f>SUM(F52:F55)</f>
        <v>1257.3773929500003</v>
      </c>
      <c r="G51" s="752">
        <f>SUM(G52:G55)</f>
        <v>568.01443534000009</v>
      </c>
      <c r="H51" s="752">
        <f t="shared" si="12"/>
        <v>401.42400368882329</v>
      </c>
      <c r="I51" s="752">
        <f t="shared" si="8"/>
        <v>-54.825461430688591</v>
      </c>
      <c r="J51" s="749">
        <f t="shared" si="13"/>
        <v>-5.1446165473917551</v>
      </c>
      <c r="K51" s="116"/>
      <c r="L51" s="59"/>
      <c r="M51" s="115"/>
      <c r="N51" s="115"/>
      <c r="O51" s="115"/>
      <c r="P51" s="115"/>
      <c r="Q51" s="115"/>
      <c r="R51" s="115"/>
      <c r="S51" s="115"/>
      <c r="T51" s="115"/>
      <c r="U51" s="115"/>
      <c r="V51" s="115"/>
      <c r="W51" s="115"/>
      <c r="X51" s="115"/>
      <c r="Y51" s="115"/>
      <c r="Z51" s="115"/>
      <c r="AA51" s="115"/>
      <c r="AB51" s="115"/>
      <c r="AC51" s="115"/>
    </row>
    <row r="52" spans="3:29" ht="15" customHeight="1">
      <c r="C52" s="751" t="str">
        <f>IF(Indice_index!$Z$1=1,"Administração Central","Central Administration")</f>
        <v>Central Administration</v>
      </c>
      <c r="D52" s="116">
        <v>11.744117180000018</v>
      </c>
      <c r="E52" s="116">
        <v>0.127086</v>
      </c>
      <c r="F52" s="752">
        <v>11.744117180000018</v>
      </c>
      <c r="G52" s="752">
        <v>0.59989913000000006</v>
      </c>
      <c r="H52" s="752">
        <f t="shared" si="12"/>
        <v>472.04186928536586</v>
      </c>
      <c r="I52" s="752">
        <f t="shared" si="8"/>
        <v>-94.891918048794537</v>
      </c>
      <c r="J52" s="752">
        <f t="shared" si="13"/>
        <v>-8.3167695558436644E-2</v>
      </c>
      <c r="K52" s="228"/>
      <c r="L52" s="59"/>
      <c r="M52" s="115"/>
      <c r="N52" s="117"/>
      <c r="O52" s="115"/>
      <c r="P52" s="115"/>
      <c r="Q52" s="115"/>
      <c r="R52" s="115"/>
      <c r="S52" s="115"/>
      <c r="T52" s="115"/>
      <c r="U52" s="115"/>
      <c r="V52" s="115"/>
      <c r="W52" s="115"/>
      <c r="X52" s="115"/>
      <c r="Y52" s="115"/>
      <c r="Z52" s="115"/>
      <c r="AA52" s="115"/>
      <c r="AB52" s="115"/>
      <c r="AC52" s="115"/>
    </row>
    <row r="53" spans="3:29" ht="15" customHeight="1">
      <c r="C53" s="751" t="str">
        <f>IF(Indice_index!$Z$1=1,"Outros subsectores das AP","Other General Government subsectors")</f>
        <v>Other General Government subsectors</v>
      </c>
      <c r="D53" s="228">
        <v>0</v>
      </c>
      <c r="E53" s="228">
        <v>0</v>
      </c>
      <c r="F53" s="752">
        <v>0</v>
      </c>
      <c r="G53" s="752">
        <v>0</v>
      </c>
      <c r="H53" s="752" t="str">
        <f t="shared" si="12"/>
        <v>-</v>
      </c>
      <c r="I53" s="752" t="str">
        <f t="shared" si="8"/>
        <v>-</v>
      </c>
      <c r="J53" s="752">
        <f t="shared" si="13"/>
        <v>0</v>
      </c>
      <c r="K53" s="228"/>
      <c r="L53" s="59"/>
      <c r="M53" s="115"/>
      <c r="N53" s="115"/>
      <c r="O53" s="115"/>
      <c r="P53" s="115"/>
      <c r="Q53" s="115"/>
      <c r="R53" s="115"/>
      <c r="S53" s="115"/>
      <c r="T53" s="115"/>
      <c r="U53" s="115"/>
      <c r="V53" s="115"/>
      <c r="W53" s="115"/>
      <c r="X53" s="115"/>
      <c r="Y53" s="115"/>
      <c r="Z53" s="115"/>
      <c r="AA53" s="115"/>
      <c r="AB53" s="115"/>
      <c r="AC53" s="115"/>
    </row>
    <row r="54" spans="3:29" ht="15" customHeight="1">
      <c r="C54" s="751" t="str">
        <f>IF(Indice_index!$Z$1=1,"União Europeia","European Union")</f>
        <v>European Union</v>
      </c>
      <c r="D54" s="228">
        <v>128.93468598999999</v>
      </c>
      <c r="E54" s="228">
        <v>135.73274799999999</v>
      </c>
      <c r="F54" s="752">
        <v>128.93468598999999</v>
      </c>
      <c r="G54" s="752">
        <v>133.11694320999999</v>
      </c>
      <c r="H54" s="752">
        <f t="shared" si="12"/>
        <v>98.072827060128489</v>
      </c>
      <c r="I54" s="752">
        <f t="shared" si="8"/>
        <v>3.2437021798186776</v>
      </c>
      <c r="J54" s="752">
        <f t="shared" si="13"/>
        <v>3.121158377011771E-2</v>
      </c>
      <c r="K54" s="228"/>
      <c r="L54" s="59"/>
      <c r="M54" s="115"/>
      <c r="N54" s="115"/>
      <c r="O54" s="115"/>
      <c r="P54" s="115"/>
      <c r="Q54" s="115"/>
      <c r="R54" s="115"/>
      <c r="S54" s="115"/>
      <c r="T54" s="115"/>
      <c r="U54" s="115"/>
      <c r="V54" s="115"/>
      <c r="W54" s="115"/>
      <c r="X54" s="115"/>
      <c r="Y54" s="115"/>
      <c r="Z54" s="115"/>
      <c r="AA54" s="115"/>
      <c r="AB54" s="115"/>
      <c r="AC54" s="115"/>
    </row>
    <row r="55" spans="3:29" ht="15" customHeight="1">
      <c r="C55" s="751" t="str">
        <f>IF(Indice_index!$Z$1=1,"Outras transferências","Other transfers")</f>
        <v>Other transfers</v>
      </c>
      <c r="D55" s="228">
        <v>1116.6985897800002</v>
      </c>
      <c r="E55" s="228">
        <v>5.6400340000000142</v>
      </c>
      <c r="F55" s="752">
        <v>1116.6985897800002</v>
      </c>
      <c r="G55" s="752">
        <v>434.29759300000006</v>
      </c>
      <c r="H55" s="752" t="str">
        <f t="shared" si="12"/>
        <v>-</v>
      </c>
      <c r="I55" s="752">
        <f t="shared" si="8"/>
        <v>-61.108790055375593</v>
      </c>
      <c r="J55" s="752">
        <f t="shared" si="13"/>
        <v>-5.0926604356034373</v>
      </c>
      <c r="K55" s="228"/>
      <c r="L55" s="59"/>
      <c r="M55" s="115"/>
      <c r="N55" s="115"/>
      <c r="O55" s="115"/>
      <c r="P55" s="115"/>
      <c r="Q55" s="115"/>
      <c r="R55" s="115"/>
      <c r="S55" s="115"/>
      <c r="T55" s="115"/>
      <c r="U55" s="115"/>
      <c r="V55" s="115"/>
      <c r="W55" s="115"/>
      <c r="X55" s="115"/>
      <c r="Y55" s="115"/>
      <c r="Z55" s="115"/>
      <c r="AA55" s="115"/>
      <c r="AB55" s="115"/>
      <c r="AC55" s="115"/>
    </row>
    <row r="56" spans="3:29" ht="15" customHeight="1">
      <c r="C56" s="756" t="str">
        <f>IF(Indice_index!$Z$1=1,"Outras despesas de capital","Other capital expenditure")</f>
        <v>Other capital expenditure</v>
      </c>
      <c r="D56" s="228">
        <v>19.852056119999997</v>
      </c>
      <c r="E56" s="228">
        <v>11.990524000000001</v>
      </c>
      <c r="F56" s="752">
        <v>19.852056119999997</v>
      </c>
      <c r="G56" s="752">
        <v>3.8170452699999999</v>
      </c>
      <c r="H56" s="752">
        <f t="shared" si="12"/>
        <v>31.833848712533332</v>
      </c>
      <c r="I56" s="752">
        <f t="shared" si="8"/>
        <v>-80.772544431029942</v>
      </c>
      <c r="J56" s="752">
        <f t="shared" si="13"/>
        <v>-0.11966697839773748</v>
      </c>
      <c r="K56" s="228"/>
      <c r="L56" s="59"/>
      <c r="M56" s="115"/>
      <c r="N56" s="115"/>
      <c r="O56" s="115"/>
      <c r="P56" s="115"/>
      <c r="Q56" s="115"/>
      <c r="R56" s="115"/>
      <c r="S56" s="115"/>
      <c r="T56" s="115"/>
      <c r="U56" s="115"/>
      <c r="V56" s="115"/>
      <c r="W56" s="115"/>
      <c r="X56" s="115"/>
      <c r="Y56" s="115"/>
      <c r="Z56" s="115"/>
      <c r="AA56" s="115"/>
      <c r="AB56" s="115"/>
      <c r="AC56" s="115"/>
    </row>
    <row r="57" spans="3:29" ht="15" customHeight="1">
      <c r="C57" s="743" t="str">
        <f>IF(Indice_index!$Z$1=1,"Diferenças de consolidação","Consolidation differences")</f>
        <v>Consolidation differences</v>
      </c>
      <c r="D57" s="228">
        <v>4.467983999998637E-2</v>
      </c>
      <c r="E57" s="228">
        <v>0</v>
      </c>
      <c r="F57" s="752">
        <v>4.467983999998637E-2</v>
      </c>
      <c r="G57" s="752">
        <v>5.3530999999999995E-2</v>
      </c>
      <c r="H57" s="752"/>
      <c r="I57" s="752"/>
      <c r="J57" s="752"/>
      <c r="K57" s="228"/>
      <c r="L57" s="59"/>
      <c r="M57" s="115"/>
      <c r="N57" s="115"/>
      <c r="O57" s="115"/>
      <c r="P57" s="115"/>
      <c r="Q57" s="115"/>
      <c r="R57" s="115"/>
      <c r="S57" s="115"/>
      <c r="T57" s="115"/>
      <c r="U57" s="115"/>
      <c r="V57" s="115"/>
      <c r="W57" s="115"/>
      <c r="X57" s="115"/>
      <c r="Y57" s="115"/>
      <c r="Z57" s="115"/>
      <c r="AA57" s="115"/>
      <c r="AB57" s="115"/>
      <c r="AC57" s="115"/>
    </row>
    <row r="58" spans="3:29" ht="4.5" customHeight="1">
      <c r="C58" s="756"/>
      <c r="D58" s="756"/>
      <c r="E58" s="756"/>
      <c r="F58" s="229"/>
      <c r="G58" s="229"/>
      <c r="H58" s="229"/>
      <c r="I58" s="229"/>
      <c r="J58" s="229"/>
      <c r="K58" s="229"/>
      <c r="L58" s="59"/>
      <c r="M58" s="115"/>
      <c r="N58" s="115"/>
      <c r="O58" s="115"/>
      <c r="P58" s="115"/>
      <c r="Q58" s="115"/>
      <c r="R58" s="115"/>
      <c r="S58" s="115"/>
      <c r="T58" s="115"/>
      <c r="U58" s="115"/>
      <c r="V58" s="115"/>
      <c r="W58" s="115"/>
      <c r="X58" s="115"/>
      <c r="Y58" s="115"/>
      <c r="Z58" s="115"/>
      <c r="AA58" s="115"/>
      <c r="AB58" s="115"/>
      <c r="AC58" s="115"/>
    </row>
    <row r="59" spans="3:29" s="297" customFormat="1" ht="15" customHeight="1">
      <c r="C59" s="939" t="str">
        <f>IF(Indice_index!$Z$1=1,"Despesa efetiva","Effective Expenditure")</f>
        <v>Effective Expenditure</v>
      </c>
      <c r="D59" s="939">
        <f t="shared" ref="D59:E59" si="14">D34+D49</f>
        <v>13399.695609179989</v>
      </c>
      <c r="E59" s="939">
        <f t="shared" si="14"/>
        <v>13752.58959</v>
      </c>
      <c r="F59" s="940">
        <f>+F34+F49</f>
        <v>13399.695609179989</v>
      </c>
      <c r="G59" s="940">
        <f>+G34+G49</f>
        <v>13464.754171139995</v>
      </c>
      <c r="H59" s="940">
        <f>IFERROR(IF(G59/E59*100&lt;-500,"-",IF(G59/E59*100&gt;500,"-",G59/E59*100)),"-")</f>
        <v>97.907045673279598</v>
      </c>
      <c r="I59" s="940">
        <f t="shared" ref="I59" si="15">IF(F59=0,"-",(G59-F59)/F59*100)</f>
        <v>0.48552268542156374</v>
      </c>
      <c r="J59" s="940"/>
      <c r="K59" s="290"/>
      <c r="L59" s="281"/>
      <c r="M59" s="298"/>
      <c r="N59" s="298"/>
      <c r="O59" s="298"/>
      <c r="P59" s="298"/>
      <c r="Q59" s="298"/>
      <c r="R59" s="298"/>
      <c r="S59" s="298"/>
      <c r="T59" s="298"/>
      <c r="U59" s="298"/>
      <c r="V59" s="298"/>
      <c r="W59" s="298"/>
      <c r="X59" s="298"/>
      <c r="Y59" s="298"/>
      <c r="Z59" s="298"/>
      <c r="AA59" s="298"/>
      <c r="AB59" s="298"/>
      <c r="AC59" s="298"/>
    </row>
    <row r="60" spans="3:29" ht="4.5" customHeight="1">
      <c r="C60" s="942"/>
      <c r="D60" s="942"/>
      <c r="E60" s="942"/>
      <c r="F60" s="752"/>
      <c r="G60" s="752"/>
      <c r="H60" s="114"/>
      <c r="I60" s="114"/>
      <c r="J60" s="114"/>
      <c r="K60" s="114"/>
      <c r="L60" s="59"/>
      <c r="M60" s="115"/>
      <c r="N60" s="115"/>
      <c r="O60" s="115"/>
      <c r="P60" s="115"/>
      <c r="Q60" s="115"/>
      <c r="R60" s="115"/>
      <c r="S60" s="115"/>
      <c r="T60" s="115"/>
      <c r="U60" s="115"/>
      <c r="V60" s="115"/>
      <c r="W60" s="115"/>
      <c r="X60" s="115"/>
      <c r="Y60" s="115"/>
      <c r="Z60" s="115"/>
      <c r="AA60" s="115"/>
      <c r="AB60" s="115"/>
      <c r="AC60" s="115"/>
    </row>
    <row r="61" spans="3:29" s="297" customFormat="1" ht="15" customHeight="1">
      <c r="C61" s="746" t="str">
        <f>IF(Indice_index!$Z$1=1,"Saldo global","Overall Balance")</f>
        <v>Overall Balance</v>
      </c>
      <c r="D61" s="746">
        <f>+(D9+D22)-(D34+D49)</f>
        <v>-2325.7375169999887</v>
      </c>
      <c r="E61" s="746">
        <f>+(E9+E22)-(E34+E49)</f>
        <v>-580.41661999999997</v>
      </c>
      <c r="F61" s="747">
        <f>+(F9+F22)-(F34+F49)</f>
        <v>-2325.7375169999887</v>
      </c>
      <c r="G61" s="747">
        <f>+(G9+G22)-(G34+G49)</f>
        <v>-2075.5454696999968</v>
      </c>
      <c r="H61" s="747"/>
      <c r="I61" s="747"/>
      <c r="J61" s="747"/>
      <c r="K61" s="284"/>
      <c r="L61" s="281"/>
      <c r="M61" s="298"/>
      <c r="N61" s="298"/>
      <c r="O61" s="298"/>
      <c r="P61" s="298"/>
      <c r="Q61" s="298"/>
      <c r="R61" s="298"/>
      <c r="S61" s="298"/>
      <c r="T61" s="298"/>
      <c r="U61" s="298"/>
      <c r="V61" s="298"/>
      <c r="W61" s="298"/>
      <c r="X61" s="298"/>
      <c r="Y61" s="298"/>
      <c r="Z61" s="298"/>
      <c r="AA61" s="298"/>
      <c r="AB61" s="298"/>
      <c r="AC61" s="298"/>
    </row>
    <row r="62" spans="3:29" ht="4.5" customHeight="1">
      <c r="C62" s="943"/>
      <c r="D62" s="943"/>
      <c r="E62" s="943"/>
      <c r="F62" s="959"/>
      <c r="G62" s="959"/>
      <c r="H62" s="114"/>
      <c r="I62" s="114"/>
      <c r="J62" s="114"/>
      <c r="K62" s="230"/>
      <c r="L62" s="59"/>
      <c r="M62" s="115"/>
      <c r="N62" s="115"/>
      <c r="O62" s="115"/>
      <c r="P62" s="115"/>
      <c r="Q62" s="115"/>
      <c r="R62" s="115"/>
      <c r="S62" s="115"/>
      <c r="T62" s="115"/>
      <c r="U62" s="115"/>
      <c r="V62" s="115"/>
      <c r="W62" s="115"/>
      <c r="X62" s="115"/>
      <c r="Y62" s="115"/>
    </row>
    <row r="63" spans="3:29" ht="15" customHeight="1">
      <c r="C63" s="756" t="str">
        <f>IF(Indice_index!$Z$1=1,"Despesa  primária","Primary Expenditure")</f>
        <v>Primary Expenditure</v>
      </c>
      <c r="D63" s="116">
        <f>D59-D40</f>
        <v>12804.130174019989</v>
      </c>
      <c r="E63" s="116">
        <f>E59-E40</f>
        <v>13142.775717</v>
      </c>
      <c r="F63" s="749">
        <f>F59-F40</f>
        <v>12804.130174019989</v>
      </c>
      <c r="G63" s="749">
        <f>G59-G40</f>
        <v>12844.123488089996</v>
      </c>
      <c r="H63" s="752">
        <f>IFERROR(IF(G63/E63*100&lt;-500,"-",IF(G63/E63*100&gt;500,"-",G63/E63*100)),"-")</f>
        <v>97.727632006047997</v>
      </c>
      <c r="I63" s="752">
        <f>IF(F63=0,"-",(G63-F63)/F63*100)</f>
        <v>0.31234698121981452</v>
      </c>
      <c r="J63" s="752"/>
      <c r="K63" s="228"/>
      <c r="L63" s="59"/>
      <c r="M63" s="115"/>
      <c r="N63" s="115"/>
      <c r="O63" s="115"/>
      <c r="P63" s="115"/>
      <c r="Q63" s="115"/>
      <c r="R63" s="115"/>
      <c r="S63" s="115"/>
      <c r="T63" s="115"/>
      <c r="U63" s="115"/>
      <c r="V63" s="115"/>
      <c r="W63" s="115"/>
      <c r="X63" s="115"/>
      <c r="Y63" s="115"/>
    </row>
    <row r="64" spans="3:29" ht="15" customHeight="1">
      <c r="C64" s="927" t="str">
        <f>IF(Indice_index!$Z$1=1,"Saldo corrente","Current balance")</f>
        <v>Current balance</v>
      </c>
      <c r="D64" s="116">
        <f>+D9-D34</f>
        <v>-670.32949574998929</v>
      </c>
      <c r="E64" s="116">
        <f>+E9-E34</f>
        <v>266.40310299999874</v>
      </c>
      <c r="F64" s="749">
        <f>+F9-F34</f>
        <v>-670.32949574998929</v>
      </c>
      <c r="G64" s="749">
        <f>+G9-G34</f>
        <v>-1018.684585459996</v>
      </c>
      <c r="H64" s="114"/>
      <c r="I64" s="114"/>
      <c r="J64" s="114"/>
      <c r="K64" s="230"/>
      <c r="L64" s="59"/>
      <c r="M64" s="115"/>
      <c r="N64" s="115"/>
      <c r="O64" s="115"/>
      <c r="P64" s="115"/>
      <c r="Q64" s="115"/>
      <c r="R64" s="115"/>
      <c r="S64" s="115"/>
      <c r="T64" s="115"/>
      <c r="U64" s="115"/>
      <c r="V64" s="115"/>
      <c r="W64" s="115"/>
      <c r="X64" s="115"/>
      <c r="Y64" s="115"/>
    </row>
    <row r="65" spans="3:25" ht="15" customHeight="1">
      <c r="C65" s="927" t="str">
        <f>IF(Indice_index!$Z$1=1,"Saldo de capital","Capital balance")</f>
        <v>Capital balance</v>
      </c>
      <c r="D65" s="116">
        <f>D22-D49</f>
        <v>-1655.4080212500003</v>
      </c>
      <c r="E65" s="116">
        <f>E22-E49</f>
        <v>-846.81972299999961</v>
      </c>
      <c r="F65" s="749">
        <f>F22-F49</f>
        <v>-1655.4080212500003</v>
      </c>
      <c r="G65" s="749">
        <f>G22-G49</f>
        <v>-1056.8608842399999</v>
      </c>
      <c r="H65" s="114"/>
      <c r="I65" s="114"/>
      <c r="J65" s="114"/>
      <c r="K65" s="230"/>
      <c r="L65" s="59"/>
      <c r="M65" s="115"/>
      <c r="N65" s="115"/>
      <c r="O65" s="115"/>
      <c r="P65" s="115"/>
      <c r="Q65" s="115"/>
      <c r="R65" s="115"/>
      <c r="S65" s="115"/>
      <c r="T65" s="115"/>
      <c r="U65" s="115"/>
      <c r="V65" s="115"/>
      <c r="W65" s="115"/>
      <c r="X65" s="115"/>
      <c r="Y65" s="115"/>
    </row>
    <row r="66" spans="3:25" ht="15" customHeight="1">
      <c r="C66" s="927" t="str">
        <f>IF(Indice_index!$Z$1=1,"Saldo primário","Primary balance")</f>
        <v>Primary balance</v>
      </c>
      <c r="D66" s="116">
        <f>D61+D40</f>
        <v>-1730.1720818399886</v>
      </c>
      <c r="E66" s="116">
        <f>E61+E40</f>
        <v>29.397253000000092</v>
      </c>
      <c r="F66" s="749">
        <f>F61+F40</f>
        <v>-1730.1720818399886</v>
      </c>
      <c r="G66" s="749">
        <f>G61+G40</f>
        <v>-1454.914786649997</v>
      </c>
      <c r="H66" s="114"/>
      <c r="I66" s="114"/>
      <c r="J66" s="114"/>
      <c r="K66" s="230"/>
      <c r="L66" s="59"/>
      <c r="M66" s="115"/>
      <c r="N66" s="115"/>
      <c r="O66" s="115"/>
      <c r="P66" s="115"/>
      <c r="Q66" s="115"/>
      <c r="R66" s="115"/>
      <c r="S66" s="115"/>
      <c r="T66" s="115"/>
      <c r="U66" s="115"/>
      <c r="V66" s="115"/>
      <c r="W66" s="115"/>
      <c r="X66" s="115"/>
      <c r="Y66" s="115"/>
    </row>
    <row r="67" spans="3:25" ht="6" customHeight="1">
      <c r="C67" s="138"/>
      <c r="D67" s="138"/>
      <c r="E67" s="138"/>
      <c r="F67" s="749"/>
      <c r="G67" s="749"/>
      <c r="H67" s="114"/>
      <c r="I67" s="114"/>
      <c r="J67" s="114"/>
      <c r="K67" s="230"/>
      <c r="L67" s="59"/>
      <c r="M67" s="115"/>
      <c r="N67" s="115"/>
      <c r="O67" s="115"/>
      <c r="P67" s="115"/>
      <c r="Q67" s="115"/>
      <c r="R67" s="115"/>
      <c r="S67" s="115"/>
      <c r="T67" s="115"/>
      <c r="U67" s="115"/>
      <c r="V67" s="115"/>
      <c r="W67" s="115"/>
      <c r="X67" s="115"/>
      <c r="Y67" s="115"/>
    </row>
    <row r="68" spans="3:25" ht="15" customHeight="1">
      <c r="C68" s="138" t="str">
        <f>IF(Indice_index!$Z$1=1,"Ativos financeiros líquidos de reembolsos","Financial assets net of reimbursements")</f>
        <v>Financial assets net of reimbursements</v>
      </c>
      <c r="D68" s="138">
        <v>-334.04949704000001</v>
      </c>
      <c r="E68" s="138">
        <v>1164.998047</v>
      </c>
      <c r="F68" s="749">
        <v>-334.04949704000001</v>
      </c>
      <c r="G68" s="749">
        <v>305.42991187000007</v>
      </c>
      <c r="H68" s="749"/>
      <c r="I68" s="749"/>
      <c r="J68" s="114"/>
      <c r="K68" s="230"/>
      <c r="L68" s="59"/>
      <c r="M68" s="115"/>
      <c r="N68" s="115"/>
      <c r="O68" s="115"/>
      <c r="P68" s="115"/>
      <c r="Q68" s="115"/>
      <c r="R68" s="115"/>
      <c r="S68" s="115"/>
      <c r="T68" s="115"/>
      <c r="U68" s="115"/>
      <c r="V68" s="115"/>
      <c r="W68" s="115"/>
      <c r="X68" s="115"/>
      <c r="Y68" s="115"/>
    </row>
    <row r="69" spans="3:25" ht="15" customHeight="1">
      <c r="C69" s="946" t="str">
        <f>IF(Indice_index!$Z$1=1,"dos quais Receitas de:","of which revenue from:")</f>
        <v>of which revenue from:</v>
      </c>
      <c r="D69" s="946"/>
      <c r="E69" s="946"/>
      <c r="F69" s="749"/>
      <c r="G69" s="749"/>
      <c r="H69" s="749"/>
      <c r="I69" s="749"/>
      <c r="J69" s="114"/>
      <c r="K69" s="230"/>
      <c r="L69" s="59"/>
      <c r="M69" s="115"/>
      <c r="N69" s="115"/>
      <c r="O69" s="115"/>
      <c r="P69" s="115"/>
      <c r="Q69" s="115"/>
      <c r="R69" s="115"/>
      <c r="S69" s="115"/>
      <c r="T69" s="115"/>
      <c r="U69" s="115"/>
      <c r="V69" s="115"/>
      <c r="W69" s="115"/>
      <c r="X69" s="115"/>
      <c r="Y69" s="115"/>
    </row>
    <row r="70" spans="3:25" ht="15" customHeight="1">
      <c r="C70" s="750" t="str">
        <f>IF(Indice_index!$Z$1=1,"Alienação de partes de Capital","Disposal of Capital Shares")</f>
        <v>Disposal of Capital Shares</v>
      </c>
      <c r="D70" s="116">
        <v>3.0014323799999998</v>
      </c>
      <c r="E70" s="116">
        <v>0</v>
      </c>
      <c r="F70" s="749">
        <v>3.0014323799999998</v>
      </c>
      <c r="G70" s="749">
        <v>0</v>
      </c>
      <c r="H70" s="752"/>
      <c r="I70" s="752">
        <f t="shared" ref="I70:I71" si="16">IF(IFERROR((G70-F70)/F70*100,"")&gt;500,"-",IFERROR((G70-F70)/F70*100,""))</f>
        <v>-100</v>
      </c>
      <c r="J70" s="114"/>
      <c r="K70" s="230"/>
      <c r="L70" s="59"/>
      <c r="M70" s="115"/>
      <c r="N70" s="115"/>
      <c r="O70" s="115"/>
      <c r="P70" s="115"/>
      <c r="Q70" s="115"/>
      <c r="R70" s="115"/>
      <c r="S70" s="115"/>
      <c r="T70" s="115"/>
      <c r="U70" s="115"/>
      <c r="V70" s="115"/>
      <c r="W70" s="115"/>
      <c r="X70" s="115"/>
      <c r="Y70" s="115"/>
    </row>
    <row r="71" spans="3:25" ht="15" customHeight="1">
      <c r="C71" s="751" t="str">
        <f>IF(Indice_index!$Z$1=1,"Outros Ativos","Other Assets")</f>
        <v>Other Assets</v>
      </c>
      <c r="D71" s="116">
        <v>2525.6703983400002</v>
      </c>
      <c r="E71" s="116">
        <v>4602.3727699999999</v>
      </c>
      <c r="F71" s="749">
        <v>2525.6703983400002</v>
      </c>
      <c r="G71" s="749">
        <v>1363.5064573200002</v>
      </c>
      <c r="H71" s="752"/>
      <c r="I71" s="752">
        <f t="shared" si="16"/>
        <v>-46.01407775867483</v>
      </c>
      <c r="J71" s="114"/>
      <c r="K71" s="230"/>
      <c r="L71" s="59"/>
      <c r="M71" s="115"/>
      <c r="N71" s="115"/>
      <c r="O71" s="115"/>
      <c r="P71" s="115"/>
      <c r="Q71" s="115"/>
      <c r="R71" s="115"/>
      <c r="S71" s="115"/>
      <c r="T71" s="115"/>
      <c r="U71" s="115"/>
      <c r="V71" s="115"/>
      <c r="W71" s="115"/>
      <c r="X71" s="115"/>
      <c r="Y71" s="115"/>
    </row>
    <row r="72" spans="3:25" ht="15" customHeight="1">
      <c r="C72" s="138" t="str">
        <f>IF(Indice_index!$Z$1=1,"Passivos financeiros líquidos de amortizações","Financial liabilities net of amortizations")</f>
        <v>Financial liabilities net of amortizations</v>
      </c>
      <c r="D72" s="138">
        <v>2336.13716871</v>
      </c>
      <c r="E72" s="138">
        <v>2240.1529439999995</v>
      </c>
      <c r="F72" s="749">
        <v>2336.13716871</v>
      </c>
      <c r="G72" s="749">
        <v>2016.7952146799994</v>
      </c>
      <c r="H72" s="749"/>
      <c r="I72" s="749"/>
      <c r="J72" s="114"/>
      <c r="K72" s="230"/>
      <c r="L72" s="59"/>
      <c r="M72" s="115"/>
      <c r="N72" s="115"/>
      <c r="O72" s="115"/>
      <c r="P72" s="115"/>
      <c r="Q72" s="115"/>
      <c r="R72" s="115"/>
      <c r="S72" s="115"/>
      <c r="T72" s="115"/>
      <c r="U72" s="115"/>
      <c r="V72" s="115"/>
      <c r="W72" s="115"/>
      <c r="X72" s="115"/>
      <c r="Y72" s="115"/>
    </row>
    <row r="73" spans="3:25" ht="15" customHeight="1">
      <c r="C73" s="928" t="str">
        <f>IF(Indice_index!$Z$1=1,"Poupança (+) / Utilização (-) de saldo da gerência anterior","Saving (+) / Usage (-) of balance from previous management")</f>
        <v>Saving (+) / Usage (-) of balance from previous management</v>
      </c>
      <c r="D73" s="928">
        <f>D61-D68+D72</f>
        <v>344.44914875001132</v>
      </c>
      <c r="E73" s="928">
        <f>E61-E68+E72</f>
        <v>494.73827699999947</v>
      </c>
      <c r="F73" s="929">
        <f>F61-F68+F72</f>
        <v>344.44914875001132</v>
      </c>
      <c r="G73" s="929">
        <f>G61-G68+G72</f>
        <v>-364.18016688999751</v>
      </c>
      <c r="H73" s="929"/>
      <c r="I73" s="929"/>
      <c r="J73" s="929"/>
      <c r="K73" s="116"/>
      <c r="L73" s="59"/>
      <c r="M73" s="115"/>
      <c r="N73" s="115"/>
      <c r="O73" s="115"/>
      <c r="P73" s="115"/>
      <c r="Q73" s="115"/>
      <c r="R73" s="115"/>
      <c r="S73" s="115"/>
      <c r="T73" s="115"/>
      <c r="U73" s="115"/>
      <c r="V73" s="115"/>
      <c r="W73" s="115"/>
      <c r="X73" s="115"/>
      <c r="Y73" s="115"/>
    </row>
    <row r="74" spans="3:25" s="55" customFormat="1" ht="4.5" customHeight="1">
      <c r="C74" s="138"/>
      <c r="D74" s="138"/>
      <c r="E74" s="138"/>
      <c r="F74" s="960"/>
      <c r="G74" s="509"/>
      <c r="H74" s="509"/>
      <c r="I74" s="509"/>
      <c r="J74" s="509"/>
      <c r="K74" s="59"/>
      <c r="L74" s="60"/>
      <c r="P74" s="52"/>
      <c r="Q74" s="52"/>
      <c r="R74" s="52"/>
    </row>
    <row r="75" spans="3:25" s="55" customFormat="1" ht="15" customHeight="1">
      <c r="C75" s="732" t="str">
        <f>IF(Indice_index!$Z$1=1,"Notas:","Notes:")</f>
        <v>Notes:</v>
      </c>
      <c r="D75" s="732"/>
      <c r="E75" s="732"/>
      <c r="F75" s="60"/>
      <c r="L75" s="60"/>
      <c r="M75" s="52"/>
      <c r="N75" s="52"/>
      <c r="O75" s="52"/>
    </row>
    <row r="76" spans="3:25" s="23" customFormat="1" ht="15" customHeight="1">
      <c r="C76" s="1582" t="str">
        <f>+'4 - Conta AC + SS'!$C$65</f>
        <v>2020 accumulated execution was updated with the final execution.</v>
      </c>
      <c r="D76" s="1582"/>
      <c r="E76" s="1582"/>
      <c r="F76" s="1582"/>
      <c r="G76" s="1582"/>
      <c r="H76" s="1582"/>
      <c r="I76" s="1582"/>
      <c r="J76" s="1582"/>
      <c r="K76" s="65"/>
      <c r="R76" s="25"/>
      <c r="S76" s="25"/>
    </row>
    <row r="77" spans="3:25" s="65" customFormat="1" ht="4.5" customHeight="1">
      <c r="C77" s="81"/>
      <c r="D77" s="81"/>
      <c r="E77" s="81"/>
      <c r="F77" s="81"/>
      <c r="G77" s="81"/>
      <c r="H77" s="81"/>
      <c r="I77" s="81"/>
      <c r="J77" s="81"/>
      <c r="L77" s="60"/>
      <c r="M77" s="100"/>
      <c r="N77" s="100"/>
    </row>
    <row r="78" spans="3:25" s="55" customFormat="1" ht="15" customHeight="1">
      <c r="C78" s="1599" t="str">
        <f>IF(Indice_index!$Z$1=1,"Entidades em incumprimento no reporte de execução orçamental no mês em análise:","Non reporting entities are identified below ")</f>
        <v xml:space="preserve">Non reporting entities are identified below </v>
      </c>
      <c r="D78" s="1599"/>
      <c r="E78" s="1599"/>
      <c r="F78" s="1599"/>
      <c r="G78" s="1599"/>
      <c r="H78" s="1599"/>
      <c r="I78" s="1599"/>
      <c r="J78" s="1599"/>
      <c r="L78" s="60"/>
      <c r="M78" s="52"/>
      <c r="N78" s="52"/>
      <c r="O78" s="52"/>
    </row>
    <row r="79" spans="3:25" s="55" customFormat="1" ht="12.75" hidden="1" customHeight="1">
      <c r="C79" s="947" t="s">
        <v>66</v>
      </c>
      <c r="D79" s="948"/>
      <c r="E79" s="948"/>
      <c r="F79" s="949"/>
      <c r="G79" s="949"/>
      <c r="H79" s="949"/>
      <c r="I79" s="949"/>
      <c r="J79" s="949"/>
      <c r="K79" s="222"/>
      <c r="M79" s="52"/>
      <c r="N79" s="52"/>
      <c r="O79" s="52"/>
    </row>
    <row r="80" spans="3:25" s="55" customFormat="1" ht="12.6" hidden="1" customHeight="1">
      <c r="C80" s="1601"/>
      <c r="D80" s="1601"/>
      <c r="E80" s="1601"/>
      <c r="F80" s="1601"/>
      <c r="G80" s="1601"/>
      <c r="H80" s="1601"/>
      <c r="I80" s="1601"/>
      <c r="J80" s="1601"/>
      <c r="K80" s="225"/>
      <c r="M80" s="52"/>
      <c r="N80" s="52"/>
      <c r="O80" s="52"/>
    </row>
    <row r="81" spans="3:22" s="55" customFormat="1" ht="15" customHeight="1">
      <c r="C81" s="947" t="s">
        <v>83</v>
      </c>
      <c r="D81" s="948"/>
      <c r="E81" s="948"/>
      <c r="F81" s="949"/>
      <c r="G81" s="949"/>
      <c r="H81" s="949"/>
      <c r="I81" s="949"/>
      <c r="J81" s="949"/>
      <c r="K81" s="222"/>
      <c r="M81" s="52"/>
      <c r="N81" s="52"/>
      <c r="O81" s="52"/>
    </row>
    <row r="82" spans="3:22" s="55" customFormat="1" ht="11.25">
      <c r="C82" s="1601" t="s">
        <v>107</v>
      </c>
      <c r="D82" s="1601"/>
      <c r="E82" s="1601"/>
      <c r="F82" s="1601"/>
      <c r="G82" s="1601"/>
      <c r="H82" s="1601"/>
      <c r="I82" s="1601"/>
      <c r="J82" s="1601"/>
      <c r="K82" s="224"/>
      <c r="L82" s="1603"/>
      <c r="M82" s="1603"/>
      <c r="N82" s="1603"/>
      <c r="O82" s="1603"/>
      <c r="P82" s="1603"/>
      <c r="Q82" s="1603"/>
      <c r="R82" s="1603"/>
      <c r="S82" s="1603"/>
      <c r="T82" s="1603"/>
      <c r="U82" s="1603"/>
    </row>
    <row r="83" spans="3:22" s="102" customFormat="1" ht="4.5" customHeight="1">
      <c r="C83" s="231"/>
      <c r="D83" s="231"/>
      <c r="E83" s="231"/>
      <c r="F83" s="231"/>
      <c r="G83" s="231"/>
      <c r="H83" s="231"/>
      <c r="I83" s="231"/>
      <c r="J83" s="231"/>
      <c r="K83" s="231"/>
      <c r="M83" s="106"/>
      <c r="N83" s="106"/>
      <c r="O83" s="106"/>
    </row>
    <row r="84" spans="3:22" s="55" customFormat="1" ht="25.5" customHeight="1">
      <c r="C84" s="1602" t="str">
        <f>IF(Indice_index!$Z$1=1,C101,C102)</f>
        <v>For the entities identified above an estimate is being used for the months without report. From July´s edition onward, the estimate corresponds to the 2021 monthly budget implementation prediction.</v>
      </c>
      <c r="D84" s="1602"/>
      <c r="E84" s="1602"/>
      <c r="F84" s="1602"/>
      <c r="G84" s="1602"/>
      <c r="H84" s="1602"/>
      <c r="I84" s="1602"/>
      <c r="J84" s="1602"/>
      <c r="K84" s="224"/>
      <c r="M84" s="52"/>
      <c r="N84" s="52"/>
      <c r="O84" s="52"/>
    </row>
    <row r="85" spans="3:22" s="55" customFormat="1" ht="4.5" customHeight="1">
      <c r="C85" s="961"/>
      <c r="D85" s="961"/>
      <c r="E85" s="961"/>
      <c r="F85" s="961"/>
      <c r="G85" s="961"/>
      <c r="H85" s="961"/>
      <c r="I85" s="961"/>
      <c r="J85" s="961"/>
      <c r="K85" s="224"/>
      <c r="M85" s="52"/>
      <c r="N85" s="52"/>
      <c r="O85" s="52"/>
    </row>
    <row r="86" spans="3:22" s="55" customFormat="1" ht="17.45" customHeight="1">
      <c r="C86" s="1601" t="str">
        <f>IF(Indice_index!$Z$1=1,"Esta estimativa apenas é utilizada para os meses em que haja falta de reporte. Nos restantes meses, é utilizada a informação efetivamente reportada pelas entidades.",C103)</f>
        <v>This estimate is used only in months in which there is a lack of report. In other months, the information considered is that effectively reported by the entities.</v>
      </c>
      <c r="D86" s="1601"/>
      <c r="E86" s="1601"/>
      <c r="F86" s="1601"/>
      <c r="G86" s="1601"/>
      <c r="H86" s="1601"/>
      <c r="I86" s="1601"/>
      <c r="J86" s="1601"/>
      <c r="K86" s="232"/>
      <c r="M86" s="52"/>
      <c r="N86" s="52"/>
      <c r="O86" s="52"/>
    </row>
    <row r="87" spans="3:22" s="356" customFormat="1" ht="4.5" customHeight="1">
      <c r="C87" s="950"/>
      <c r="D87" s="950"/>
      <c r="E87" s="950"/>
      <c r="F87" s="950"/>
      <c r="G87" s="950"/>
      <c r="H87" s="950"/>
      <c r="I87" s="950"/>
      <c r="J87" s="950"/>
      <c r="K87" s="355"/>
      <c r="L87" s="355"/>
      <c r="M87" s="355"/>
      <c r="N87" s="355"/>
      <c r="O87" s="355"/>
      <c r="P87" s="355"/>
      <c r="T87" s="357"/>
      <c r="U87" s="357"/>
      <c r="V87" s="357"/>
    </row>
    <row r="88" spans="3:22" s="55" customFormat="1" ht="15" customHeight="1">
      <c r="C88" s="718" t="str">
        <f>IF(Indice_index!$Z$1=1,"Fonte: Direção-Geral do Orçamento","Source: Budget General Directorate")</f>
        <v>Source: Budget General Directorate</v>
      </c>
      <c r="D88" s="718"/>
      <c r="E88" s="718"/>
      <c r="K88" s="103"/>
      <c r="L88" s="103"/>
      <c r="M88" s="103"/>
      <c r="N88" s="103"/>
      <c r="O88" s="103"/>
      <c r="P88" s="103"/>
      <c r="Q88" s="103"/>
    </row>
    <row r="89" spans="3:22" s="109" customFormat="1" ht="12.75" customHeight="1">
      <c r="C89" s="108"/>
      <c r="D89" s="108"/>
      <c r="E89" s="108"/>
      <c r="F89" s="118"/>
      <c r="G89" s="108"/>
      <c r="H89" s="104"/>
      <c r="I89" s="104"/>
      <c r="J89" s="104"/>
      <c r="Q89" s="105"/>
      <c r="R89" s="105"/>
      <c r="S89" s="105"/>
    </row>
    <row r="90" spans="3:22" s="109" customFormat="1" ht="12.75" customHeight="1">
      <c r="C90" s="108"/>
      <c r="D90" s="108"/>
      <c r="E90" s="108"/>
      <c r="F90" s="118"/>
      <c r="G90" s="108"/>
      <c r="H90" s="399"/>
      <c r="I90" s="399"/>
      <c r="J90" s="399"/>
      <c r="Q90" s="105"/>
      <c r="R90" s="105"/>
      <c r="S90" s="105"/>
    </row>
    <row r="91" spans="3:22" s="109" customFormat="1" ht="12.75" customHeight="1">
      <c r="C91" s="336"/>
      <c r="D91" s="336"/>
      <c r="E91" s="336"/>
      <c r="F91" s="338"/>
      <c r="G91" s="336"/>
      <c r="H91" s="337"/>
      <c r="I91" s="337"/>
      <c r="J91" s="337"/>
      <c r="Q91" s="105"/>
      <c r="R91" s="105"/>
      <c r="S91" s="105"/>
    </row>
    <row r="92" spans="3:22" s="104" customFormat="1">
      <c r="C92" s="1598"/>
      <c r="D92" s="1598"/>
      <c r="E92" s="1598"/>
      <c r="F92" s="1598"/>
      <c r="G92" s="1598"/>
      <c r="H92" s="1598"/>
      <c r="I92" s="1598"/>
      <c r="J92" s="1598"/>
      <c r="K92" s="354"/>
      <c r="O92" s="105"/>
      <c r="P92" s="105"/>
      <c r="Q92" s="105"/>
    </row>
    <row r="93" spans="3:22" s="104" customFormat="1" ht="12.75" customHeight="1">
      <c r="C93" s="1598"/>
      <c r="D93" s="1598"/>
      <c r="E93" s="1598"/>
      <c r="F93" s="1598"/>
      <c r="G93" s="1598"/>
      <c r="H93" s="1598"/>
      <c r="I93" s="1598"/>
      <c r="J93" s="1598"/>
      <c r="K93" s="354"/>
      <c r="O93" s="105"/>
      <c r="P93" s="105"/>
      <c r="Q93" s="105"/>
    </row>
    <row r="94" spans="3:22" s="104" customFormat="1" ht="26.25" customHeight="1">
      <c r="C94" s="1598"/>
      <c r="D94" s="1598"/>
      <c r="E94" s="1598"/>
      <c r="F94" s="1598"/>
      <c r="G94" s="1598"/>
      <c r="H94" s="1598"/>
      <c r="I94" s="1598"/>
      <c r="J94" s="1598"/>
      <c r="K94" s="354"/>
      <c r="O94" s="105"/>
      <c r="P94" s="105"/>
      <c r="Q94" s="105"/>
    </row>
    <row r="95" spans="3:22" s="104" customFormat="1" ht="24.75" customHeight="1">
      <c r="C95" s="1598"/>
      <c r="D95" s="1598"/>
      <c r="E95" s="1598"/>
      <c r="F95" s="1598"/>
      <c r="G95" s="1598"/>
      <c r="H95" s="1598"/>
      <c r="I95" s="1598"/>
      <c r="J95" s="1598"/>
      <c r="K95" s="354"/>
      <c r="O95" s="105"/>
      <c r="P95" s="105"/>
      <c r="Q95" s="105"/>
    </row>
    <row r="96" spans="3:22" s="104" customFormat="1" ht="12.75" customHeight="1">
      <c r="C96" s="1598"/>
      <c r="D96" s="1598"/>
      <c r="E96" s="1598"/>
      <c r="F96" s="1598"/>
      <c r="G96" s="1598"/>
      <c r="H96" s="1598"/>
      <c r="I96" s="1598"/>
      <c r="J96" s="1598"/>
      <c r="O96" s="105"/>
      <c r="P96" s="105"/>
      <c r="Q96" s="105"/>
    </row>
    <row r="97" spans="3:19" s="109" customFormat="1" ht="12.75" customHeight="1">
      <c r="C97" s="108"/>
      <c r="D97" s="108"/>
      <c r="E97" s="108"/>
      <c r="F97" s="118"/>
      <c r="G97" s="108"/>
      <c r="H97" s="104"/>
      <c r="I97" s="104"/>
      <c r="J97" s="104"/>
      <c r="Q97" s="105"/>
      <c r="R97" s="105"/>
      <c r="S97" s="105"/>
    </row>
    <row r="98" spans="3:19" s="109" customFormat="1" ht="12.75" customHeight="1">
      <c r="C98" s="108"/>
      <c r="D98" s="108"/>
      <c r="E98" s="108"/>
      <c r="F98" s="118"/>
      <c r="G98" s="108"/>
      <c r="H98" s="104"/>
      <c r="I98" s="104"/>
      <c r="J98" s="104"/>
      <c r="Q98" s="105"/>
      <c r="R98" s="105"/>
      <c r="S98" s="105"/>
    </row>
    <row r="99" spans="3:19" s="109" customFormat="1" ht="12.75" customHeight="1">
      <c r="C99" s="371"/>
      <c r="D99" s="371"/>
      <c r="E99" s="371"/>
      <c r="F99" s="372"/>
      <c r="G99" s="371"/>
      <c r="H99" s="102"/>
      <c r="I99" s="102"/>
      <c r="J99" s="102"/>
      <c r="Q99" s="105"/>
      <c r="R99" s="105"/>
      <c r="S99" s="105"/>
    </row>
    <row r="100" spans="3:19" s="109" customFormat="1">
      <c r="C100" s="1604"/>
      <c r="D100" s="1604"/>
      <c r="E100" s="1604"/>
      <c r="F100" s="1604"/>
      <c r="G100" s="1604"/>
      <c r="H100" s="1604"/>
      <c r="I100" s="1604"/>
      <c r="J100" s="1604"/>
      <c r="K100" s="363"/>
      <c r="Q100" s="105"/>
      <c r="R100" s="105"/>
      <c r="S100" s="105"/>
    </row>
    <row r="101" spans="3:19" s="448" customFormat="1">
      <c r="C101" s="1605" t="s">
        <v>98</v>
      </c>
      <c r="D101" s="1606"/>
      <c r="E101" s="1606"/>
      <c r="F101" s="1606"/>
      <c r="G101" s="1606"/>
      <c r="H101" s="1606"/>
      <c r="I101" s="1606"/>
      <c r="J101" s="1606"/>
      <c r="K101" s="564"/>
      <c r="Q101" s="106"/>
      <c r="R101" s="106"/>
      <c r="S101" s="106"/>
    </row>
    <row r="102" spans="3:19" s="448" customFormat="1">
      <c r="C102" s="1600" t="s">
        <v>97</v>
      </c>
      <c r="D102" s="1600"/>
      <c r="E102" s="1600"/>
      <c r="F102" s="1600"/>
      <c r="G102" s="1600"/>
      <c r="H102" s="1600"/>
      <c r="I102" s="1600"/>
      <c r="J102" s="1600"/>
      <c r="Q102" s="106"/>
      <c r="R102" s="106"/>
      <c r="S102" s="106"/>
    </row>
    <row r="103" spans="3:19" s="109" customFormat="1">
      <c r="C103" s="1600" t="s">
        <v>11</v>
      </c>
      <c r="D103" s="1600"/>
      <c r="E103" s="1600"/>
      <c r="F103" s="1600"/>
      <c r="G103" s="1600"/>
      <c r="H103" s="1600"/>
      <c r="I103" s="1600"/>
      <c r="J103" s="1600"/>
      <c r="K103" s="354"/>
      <c r="Q103" s="105"/>
      <c r="R103" s="105"/>
      <c r="S103" s="105"/>
    </row>
    <row r="104" spans="3:19" s="109" customFormat="1">
      <c r="C104" s="371"/>
      <c r="D104" s="108"/>
      <c r="E104" s="108"/>
      <c r="F104" s="118"/>
      <c r="G104" s="108"/>
      <c r="H104" s="104"/>
      <c r="I104" s="104"/>
      <c r="J104" s="104"/>
      <c r="Q104" s="105"/>
      <c r="R104" s="105"/>
      <c r="S104" s="105"/>
    </row>
    <row r="105" spans="3:19" s="109" customFormat="1">
      <c r="C105" s="371"/>
      <c r="D105" s="108"/>
      <c r="E105" s="108"/>
      <c r="F105" s="118"/>
      <c r="G105" s="108"/>
      <c r="H105" s="104"/>
      <c r="I105" s="104"/>
      <c r="J105" s="104"/>
      <c r="Q105" s="105"/>
      <c r="R105" s="105"/>
      <c r="S105" s="105"/>
    </row>
    <row r="106" spans="3:19" s="109" customFormat="1">
      <c r="C106" s="108"/>
      <c r="D106" s="108"/>
      <c r="E106" s="108"/>
      <c r="F106" s="118"/>
      <c r="G106" s="108"/>
      <c r="H106" s="104"/>
      <c r="I106" s="104"/>
      <c r="J106" s="104"/>
      <c r="Q106" s="105"/>
      <c r="R106" s="105"/>
      <c r="S106" s="105"/>
    </row>
    <row r="107" spans="3:19" s="109" customFormat="1">
      <c r="C107" s="108"/>
      <c r="D107" s="108"/>
      <c r="E107" s="108"/>
      <c r="F107" s="118"/>
      <c r="G107" s="108"/>
      <c r="H107" s="104"/>
      <c r="I107" s="104"/>
      <c r="J107" s="104"/>
      <c r="Q107" s="105"/>
      <c r="R107" s="105"/>
      <c r="S107" s="105"/>
    </row>
    <row r="108" spans="3:19" s="109" customFormat="1">
      <c r="C108" s="108"/>
      <c r="D108" s="108"/>
      <c r="E108" s="108"/>
      <c r="F108" s="118"/>
      <c r="G108" s="108"/>
      <c r="H108" s="104"/>
      <c r="I108" s="104"/>
      <c r="J108" s="104"/>
      <c r="Q108" s="105"/>
      <c r="R108" s="105"/>
      <c r="S108" s="105"/>
    </row>
    <row r="109" spans="3:19" s="109" customFormat="1">
      <c r="C109" s="108"/>
      <c r="D109" s="108"/>
      <c r="E109" s="108"/>
      <c r="F109" s="118"/>
      <c r="G109" s="108"/>
      <c r="H109" s="104"/>
      <c r="I109" s="104"/>
      <c r="J109" s="104"/>
      <c r="Q109" s="105"/>
      <c r="R109" s="105"/>
      <c r="S109" s="105"/>
    </row>
    <row r="110" spans="3:19" s="109" customFormat="1">
      <c r="C110" s="108"/>
      <c r="D110" s="108"/>
      <c r="E110" s="108"/>
      <c r="F110" s="118"/>
      <c r="G110" s="108"/>
      <c r="H110" s="104"/>
      <c r="I110" s="104"/>
      <c r="J110" s="104"/>
      <c r="Q110" s="105"/>
      <c r="R110" s="105"/>
      <c r="S110" s="105"/>
    </row>
  </sheetData>
  <mergeCells count="18">
    <mergeCell ref="I6:J6"/>
    <mergeCell ref="C78:J78"/>
    <mergeCell ref="C76:J76"/>
    <mergeCell ref="C102:J102"/>
    <mergeCell ref="C80:J80"/>
    <mergeCell ref="F6:G6"/>
    <mergeCell ref="L82:U82"/>
    <mergeCell ref="C103:J103"/>
    <mergeCell ref="C94:J94"/>
    <mergeCell ref="C93:J93"/>
    <mergeCell ref="C95:J95"/>
    <mergeCell ref="C96:J96"/>
    <mergeCell ref="C100:J100"/>
    <mergeCell ref="C101:J101"/>
    <mergeCell ref="C92:J92"/>
    <mergeCell ref="C86:J86"/>
    <mergeCell ref="C84:J84"/>
    <mergeCell ref="C82:J8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D10 E10 J5 D6:E6 I6" unlockedFormula="1"/>
    <ignoredError sqref="F15:G15 F22:G22 F24:G24 F31:G33 F41:G41 F49:G49 F51:G51 F35:G35 F34:G34" formulaRange="1"/>
    <ignoredError sqref="D73 D58:D67 D49 D31:D35 D24 D22 D15 D41 D51 E15 E22 E24 E31:E35 E41 E49 E51 E58:E67 E73" formulaRange="1" unlockedFormula="1"/>
    <ignoredError sqref="D7:E7 I7:J7" numberStoredAsText="1" unlockedFormula="1"/>
    <ignoredError sqref="C81 F7:H7" numberStoredAsText="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20" customWidth="1"/>
    <col min="2" max="2" width="4.42578125" style="120" customWidth="1"/>
    <col min="3" max="3" width="40.85546875" style="120" customWidth="1"/>
    <col min="4" max="4" width="9.42578125" style="120" hidden="1" customWidth="1"/>
    <col min="5" max="10" width="9.42578125" style="120" customWidth="1"/>
    <col min="11" max="11" width="8.5703125" style="121" customWidth="1"/>
    <col min="12" max="12" width="9.5703125" style="120" bestFit="1" customWidth="1"/>
    <col min="13" max="14" width="8.5703125" style="120" customWidth="1"/>
    <col min="15" max="15" width="9.85546875" style="120" bestFit="1" customWidth="1"/>
    <col min="16" max="16" width="10.140625" style="120" customWidth="1"/>
    <col min="17" max="17" width="14.5703125" style="120" bestFit="1" customWidth="1"/>
    <col min="18" max="18" width="12.42578125" style="120" customWidth="1"/>
    <col min="19" max="19" width="10" style="120" customWidth="1"/>
    <col min="20" max="23" width="6.5703125" style="120" customWidth="1"/>
    <col min="24" max="24" width="9" style="120" bestFit="1" customWidth="1"/>
    <col min="25" max="27" width="9.140625" style="52" customWidth="1"/>
    <col min="28" max="28" width="9.140625" style="120" customWidth="1"/>
    <col min="29" max="16384" width="9.140625" style="120"/>
  </cols>
  <sheetData>
    <row r="1" spans="2:33" s="52" customFormat="1" ht="15" customHeight="1">
      <c r="B1" s="51"/>
      <c r="C1" s="51"/>
      <c r="D1" s="51"/>
      <c r="E1" s="51"/>
      <c r="H1" s="120"/>
      <c r="I1" s="120"/>
      <c r="J1" s="120"/>
    </row>
    <row r="2" spans="2:33" ht="24" customHeight="1">
      <c r="B2" s="8"/>
      <c r="C2" s="53" t="str">
        <f>IF(Indice_index!$Z$1=1,"10 - Execução Orçamental da Caixa Geral de Aposentações","10 - Public Servants Social Scheme Budget Execution")</f>
        <v>10 - Public Servants Social Scheme Budget Execution</v>
      </c>
      <c r="D2" s="53"/>
      <c r="E2" s="53"/>
      <c r="F2" s="53"/>
      <c r="G2" s="53"/>
      <c r="H2" s="53"/>
      <c r="I2" s="53"/>
      <c r="J2" s="53"/>
      <c r="Y2" s="83"/>
      <c r="AA2" s="83"/>
    </row>
    <row r="3" spans="2:33" ht="15" customHeight="1">
      <c r="C3" s="99"/>
      <c r="D3" s="99"/>
      <c r="E3" s="99"/>
      <c r="F3" s="122"/>
      <c r="G3" s="122"/>
      <c r="Y3" s="83"/>
    </row>
    <row r="4" spans="2:33" ht="15" customHeight="1">
      <c r="C4" s="122"/>
      <c r="D4" s="122"/>
      <c r="E4" s="122"/>
      <c r="F4" s="122"/>
      <c r="G4" s="122"/>
      <c r="H4" s="122"/>
      <c r="I4" s="122"/>
      <c r="J4" s="122"/>
    </row>
    <row r="5" spans="2:33" s="299" customFormat="1" ht="15" customHeight="1">
      <c r="C5" s="770" t="str">
        <f>+'4 - Conta AC + SS'!C5</f>
        <v>Period: January to December</v>
      </c>
      <c r="D5" s="770"/>
      <c r="E5" s="770"/>
      <c r="F5" s="962"/>
      <c r="G5" s="962"/>
      <c r="H5" s="962"/>
      <c r="I5" s="962"/>
      <c r="J5" s="891" t="str">
        <f>IF(Indice_index!$Z$1=1,"€ Milhões","€ Millions")</f>
        <v>€ Millions</v>
      </c>
      <c r="K5" s="401"/>
      <c r="L5" s="300"/>
      <c r="Y5" s="256"/>
      <c r="Z5" s="256"/>
      <c r="AA5" s="256"/>
    </row>
    <row r="6" spans="2:33" ht="30.75" customHeight="1">
      <c r="C6" s="963"/>
      <c r="D6" s="703" t="str">
        <f>IF(Indice_index!$Z$1=1,"CGE","Final execution")</f>
        <v>Final execution</v>
      </c>
      <c r="E6" s="703" t="str">
        <f>IF(Indice_index!$Z$1=1,"Orçamento Inicial","Budget")</f>
        <v>Budget</v>
      </c>
      <c r="F6" s="1607" t="str">
        <f>IF(Indice_index!$Z$1=1,"Execução Acumulada","Accumulated Execution")</f>
        <v>Accumulated Execution</v>
      </c>
      <c r="G6" s="1607"/>
      <c r="H6" s="954" t="str">
        <f>IF(Indice_index!$Z$1=1,"Grau de Execução (%)","Execution Degree (%)")</f>
        <v>Execution Degree (%)</v>
      </c>
      <c r="I6" s="1587" t="str">
        <f>IF(Indice_index!$Z$1=1,"Variação Homóloga Acumulada","YOY Change Rate")</f>
        <v>YOY Change Rate</v>
      </c>
      <c r="J6" s="1588"/>
      <c r="K6" s="120"/>
    </row>
    <row r="7" spans="2:33" ht="33" customHeight="1">
      <c r="C7" s="964"/>
      <c r="D7" s="705" t="s">
        <v>66</v>
      </c>
      <c r="E7" s="705" t="s">
        <v>83</v>
      </c>
      <c r="F7" s="965" t="s">
        <v>66</v>
      </c>
      <c r="G7" s="965" t="s">
        <v>83</v>
      </c>
      <c r="H7" s="709" t="s">
        <v>83</v>
      </c>
      <c r="I7" s="709" t="str">
        <f>IF(Indice_index!$Z$1=1,"Relativa (%)","Relative change (%)")</f>
        <v>Relative change (%)</v>
      </c>
      <c r="J7" s="710" t="str">
        <f>IF(Indice_index!$Z$1=1,"Contributo VHA (p.p.)","YOY Change Rate Contrib. (p.p.)")</f>
        <v>YOY Change Rate Contrib. (p.p.)</v>
      </c>
      <c r="K7" s="120"/>
    </row>
    <row r="8" spans="2:33" s="301" customFormat="1" ht="15" customHeight="1">
      <c r="C8" s="966" t="str">
        <f>IF(Indice_index!$Z$1=1,"Receita corrente","Current revenue")</f>
        <v>Current revenue</v>
      </c>
      <c r="D8" s="966">
        <f>+D9+D14+D23</f>
        <v>10265.155546710001</v>
      </c>
      <c r="E8" s="966">
        <f>+E9+E14+E23</f>
        <v>10138.456910000001</v>
      </c>
      <c r="F8" s="966">
        <f>+F9+F14+F23</f>
        <v>10265.155546710001</v>
      </c>
      <c r="G8" s="966">
        <f>+G9+G14+G23</f>
        <v>10365.383969580002</v>
      </c>
      <c r="H8" s="967">
        <f>IFERROR(IF(G8/E8*100&lt;-500,"-",IF(G8/E8*100&gt;500,"-",G8/E8*100)),"-")</f>
        <v>102.23828006169433</v>
      </c>
      <c r="I8" s="967">
        <f t="shared" ref="I8:I20" si="0">IF(IFERROR((G8-F8)/F8*100,"")&gt;500,"-",IFERROR((G8-F8)/F8*100,""))</f>
        <v>0.97639458470869744</v>
      </c>
      <c r="J8" s="967">
        <f>IFERROR((G8-F8)/$F$27*100,"-")</f>
        <v>0.97627540957944747</v>
      </c>
      <c r="K8" s="299"/>
      <c r="L8" s="302"/>
      <c r="M8" s="302"/>
      <c r="N8" s="442"/>
      <c r="O8" s="442"/>
      <c r="P8" s="302"/>
      <c r="Q8" s="302"/>
      <c r="R8" s="302"/>
      <c r="S8" s="302"/>
      <c r="T8" s="302"/>
      <c r="U8" s="302"/>
      <c r="V8" s="302"/>
      <c r="W8" s="302"/>
      <c r="X8" s="302"/>
      <c r="Y8" s="302"/>
      <c r="Z8" s="302"/>
      <c r="AA8" s="302"/>
    </row>
    <row r="9" spans="2:33" ht="15" customHeight="1">
      <c r="C9" s="968" t="str">
        <f>IF(Indice_index!$Z$1=1,"Contribuições para a Caixa Geral de Aposentações","Contributions to the Public Servants Social Scheme (CGA)")</f>
        <v>Contributions to the Public Servants Social Scheme (CGA)</v>
      </c>
      <c r="D9" s="969">
        <f>+D10+D11</f>
        <v>4094.9007370199997</v>
      </c>
      <c r="E9" s="969">
        <f>+E10+E11</f>
        <v>3841.0078100000001</v>
      </c>
      <c r="F9" s="969">
        <f t="shared" ref="F9:G9" si="1">+F10+F11</f>
        <v>4094.9007370199997</v>
      </c>
      <c r="G9" s="969">
        <f t="shared" si="1"/>
        <v>4119.3248779699998</v>
      </c>
      <c r="H9" s="970">
        <f t="shared" ref="H9:H25" si="2">IFERROR(IF(G9/E9*100&lt;-500,"-",IF(G9/E9*100&gt;500,"-",G9/E9*100)),"-")</f>
        <v>107.24593861135628</v>
      </c>
      <c r="I9" s="970">
        <f t="shared" si="0"/>
        <v>0.5964525764737908</v>
      </c>
      <c r="J9" s="970">
        <f t="shared" ref="J9:J25" si="3">IFERROR((G9-F9)/$F$27*100,"-")</f>
        <v>0.23790345619340603</v>
      </c>
      <c r="K9" s="120"/>
      <c r="L9" s="90"/>
      <c r="M9" s="90"/>
      <c r="N9" s="442"/>
      <c r="O9" s="442"/>
      <c r="P9" s="302"/>
      <c r="Q9" s="302"/>
      <c r="R9" s="302"/>
      <c r="S9" s="90"/>
      <c r="T9" s="90"/>
      <c r="U9" s="90"/>
      <c r="V9" s="90"/>
      <c r="W9" s="90"/>
      <c r="X9" s="90"/>
      <c r="Y9" s="90"/>
      <c r="Z9" s="90"/>
      <c r="AA9" s="90"/>
      <c r="AB9" s="90"/>
      <c r="AC9" s="90"/>
      <c r="AD9" s="90"/>
      <c r="AE9" s="90"/>
      <c r="AF9" s="90"/>
      <c r="AG9" s="90"/>
    </row>
    <row r="10" spans="2:33" ht="15" customHeight="1">
      <c r="C10" s="971" t="str">
        <f>IF(Indice_index!$Z$1=1,"Quotas e contribuições para a CGA","Fees and contributions to the CGA")</f>
        <v>Fees and contributions to the CGA</v>
      </c>
      <c r="D10" s="969">
        <v>3982.39818436</v>
      </c>
      <c r="E10" s="969">
        <v>3729.7458099999999</v>
      </c>
      <c r="F10" s="969">
        <v>3982.39818436</v>
      </c>
      <c r="G10" s="969">
        <v>4004.8889900199997</v>
      </c>
      <c r="H10" s="970">
        <f t="shared" si="2"/>
        <v>107.37699548538401</v>
      </c>
      <c r="I10" s="970">
        <f t="shared" si="0"/>
        <v>0.56475532126163286</v>
      </c>
      <c r="J10" s="970">
        <f t="shared" si="3"/>
        <v>0.21907179499339366</v>
      </c>
      <c r="K10" s="120"/>
      <c r="L10" s="90"/>
      <c r="M10" s="90"/>
      <c r="N10" s="442"/>
      <c r="O10" s="442"/>
      <c r="P10" s="302"/>
      <c r="Q10" s="302"/>
      <c r="R10" s="302"/>
      <c r="S10" s="90"/>
      <c r="T10" s="90"/>
      <c r="U10" s="90"/>
      <c r="V10" s="90"/>
      <c r="W10" s="90"/>
      <c r="X10" s="90"/>
      <c r="Y10" s="90"/>
      <c r="Z10" s="90"/>
      <c r="AA10" s="90"/>
      <c r="AB10" s="90"/>
      <c r="AC10" s="90"/>
      <c r="AD10" s="90"/>
      <c r="AE10" s="90"/>
      <c r="AF10" s="90"/>
      <c r="AG10" s="90"/>
    </row>
    <row r="11" spans="2:33" ht="15" customHeight="1">
      <c r="C11" s="971" t="str">
        <f>IF(Indice_index!$Z$1=1,"Compensação por pagamento de pensões","Pension payment compensations")</f>
        <v>Pension payment compensations</v>
      </c>
      <c r="D11" s="972">
        <f t="shared" ref="D11:G11" si="4">+D12+D13</f>
        <v>112.50255265999999</v>
      </c>
      <c r="E11" s="972">
        <f t="shared" si="4"/>
        <v>111.262</v>
      </c>
      <c r="F11" s="972">
        <f t="shared" si="4"/>
        <v>112.50255265999999</v>
      </c>
      <c r="G11" s="972">
        <f t="shared" si="4"/>
        <v>114.43588794999999</v>
      </c>
      <c r="H11" s="970">
        <f t="shared" si="2"/>
        <v>102.85262528985638</v>
      </c>
      <c r="I11" s="970">
        <f t="shared" si="0"/>
        <v>1.7184812649032404</v>
      </c>
      <c r="J11" s="970">
        <f t="shared" si="3"/>
        <v>1.8831661200009606E-2</v>
      </c>
      <c r="K11" s="120"/>
      <c r="L11" s="90"/>
      <c r="M11" s="90"/>
      <c r="N11" s="442"/>
      <c r="O11" s="442"/>
      <c r="P11" s="302"/>
      <c r="Q11" s="302"/>
      <c r="R11" s="302"/>
      <c r="S11" s="90"/>
      <c r="T11" s="90"/>
      <c r="U11" s="90"/>
      <c r="V11" s="90"/>
      <c r="W11" s="90"/>
      <c r="X11" s="90"/>
      <c r="Y11" s="90"/>
      <c r="Z11" s="90"/>
      <c r="AA11" s="90"/>
      <c r="AB11" s="90"/>
      <c r="AC11" s="90"/>
      <c r="AD11" s="90"/>
      <c r="AE11" s="90"/>
      <c r="AF11" s="90"/>
      <c r="AG11" s="90"/>
    </row>
    <row r="12" spans="2:33" ht="15" customHeight="1">
      <c r="C12" s="973" t="str">
        <f>IF(Indice_index!$Z$1=1,"Subsectores das Administrações Públicas","General Government subsectors")</f>
        <v>General Government subsectors</v>
      </c>
      <c r="D12" s="969">
        <v>55.135560059999996</v>
      </c>
      <c r="E12" s="969">
        <v>56.964300000000001</v>
      </c>
      <c r="F12" s="969">
        <v>55.135560059999996</v>
      </c>
      <c r="G12" s="969">
        <v>53.576918370000001</v>
      </c>
      <c r="H12" s="970">
        <f t="shared" si="2"/>
        <v>94.053500824200427</v>
      </c>
      <c r="I12" s="970">
        <f t="shared" si="0"/>
        <v>-2.8269263761968482</v>
      </c>
      <c r="J12" s="970">
        <f t="shared" si="3"/>
        <v>-1.5181956482204526E-2</v>
      </c>
      <c r="K12" s="120"/>
      <c r="L12" s="90"/>
      <c r="M12" s="90"/>
      <c r="N12" s="442"/>
      <c r="O12" s="442"/>
      <c r="P12" s="302"/>
      <c r="Q12" s="302"/>
      <c r="R12" s="302"/>
      <c r="S12" s="90"/>
      <c r="T12" s="90"/>
      <c r="U12" s="90"/>
      <c r="V12" s="90"/>
      <c r="W12" s="90"/>
      <c r="X12" s="90"/>
      <c r="Y12" s="90"/>
      <c r="Z12" s="90"/>
      <c r="AA12" s="90"/>
      <c r="AB12" s="90"/>
      <c r="AC12" s="90"/>
      <c r="AD12" s="90"/>
      <c r="AE12" s="90"/>
      <c r="AF12" s="90"/>
      <c r="AG12" s="90"/>
    </row>
    <row r="13" spans="2:33" ht="15" customHeight="1">
      <c r="C13" s="973" t="str">
        <f>IF(Indice_index!$Z$1=1,"Outras entidades","Other entities")</f>
        <v>Other entities</v>
      </c>
      <c r="D13" s="969">
        <v>57.366992599999996</v>
      </c>
      <c r="E13" s="969">
        <v>54.297699999999999</v>
      </c>
      <c r="F13" s="969">
        <v>57.366992599999996</v>
      </c>
      <c r="G13" s="969">
        <v>60.85896958</v>
      </c>
      <c r="H13" s="970">
        <f t="shared" si="2"/>
        <v>112.0838812325384</v>
      </c>
      <c r="I13" s="970">
        <f t="shared" si="0"/>
        <v>6.0870839166144544</v>
      </c>
      <c r="J13" s="970">
        <f t="shared" si="3"/>
        <v>3.4013617682214198E-2</v>
      </c>
      <c r="K13" s="120"/>
      <c r="L13" s="90"/>
      <c r="M13" s="90"/>
      <c r="N13" s="442"/>
      <c r="O13" s="442"/>
      <c r="P13" s="302"/>
      <c r="Q13" s="302"/>
      <c r="R13" s="302"/>
      <c r="S13" s="90"/>
      <c r="T13" s="90"/>
      <c r="U13" s="90"/>
      <c r="V13" s="90"/>
      <c r="W13" s="90"/>
      <c r="X13" s="90"/>
      <c r="Y13" s="90"/>
      <c r="Z13" s="90"/>
      <c r="AA13" s="90"/>
      <c r="AB13" s="90"/>
      <c r="AC13" s="90"/>
      <c r="AD13" s="90"/>
      <c r="AE13" s="90"/>
      <c r="AF13" s="90"/>
      <c r="AG13" s="90"/>
    </row>
    <row r="14" spans="2:33" ht="15" customHeight="1">
      <c r="C14" s="968" t="str">
        <f>IF(Indice_index!$Z$1=1,"Transferências Correntes","Current transfers")</f>
        <v>Current transfers</v>
      </c>
      <c r="D14" s="969">
        <f>+D15+D22</f>
        <v>5968.04567245</v>
      </c>
      <c r="E14" s="969">
        <f>+E15+E22</f>
        <v>6050.4498000000003</v>
      </c>
      <c r="F14" s="969">
        <f t="shared" ref="F14:G14" si="5">+F15+F22</f>
        <v>5968.04567245</v>
      </c>
      <c r="G14" s="969">
        <f t="shared" si="5"/>
        <v>6044.9386570400011</v>
      </c>
      <c r="H14" s="970">
        <f t="shared" si="2"/>
        <v>99.908913499951694</v>
      </c>
      <c r="I14" s="970">
        <f t="shared" si="0"/>
        <v>1.2884114634872597</v>
      </c>
      <c r="J14" s="970">
        <f t="shared" si="3"/>
        <v>0.74897646670302009</v>
      </c>
      <c r="K14" s="120"/>
      <c r="L14" s="90"/>
      <c r="M14" s="90"/>
      <c r="N14" s="442"/>
      <c r="O14" s="442"/>
      <c r="P14" s="302"/>
      <c r="Q14" s="302"/>
      <c r="R14" s="302"/>
      <c r="S14" s="90"/>
      <c r="T14" s="90"/>
      <c r="U14" s="90"/>
      <c r="V14" s="90"/>
      <c r="W14" s="90"/>
      <c r="X14" s="90"/>
      <c r="Y14" s="90"/>
      <c r="Z14" s="90"/>
      <c r="AA14" s="90"/>
      <c r="AB14" s="90"/>
      <c r="AC14" s="90"/>
      <c r="AD14" s="90"/>
      <c r="AE14" s="90"/>
      <c r="AF14" s="90"/>
      <c r="AG14" s="90"/>
    </row>
    <row r="15" spans="2:33" ht="15" customHeight="1">
      <c r="C15" s="971" t="str">
        <f>IF(Indice_index!$Z$1=1,"Orçamento do Estado","State Budget")</f>
        <v>State Budget</v>
      </c>
      <c r="D15" s="969">
        <f>+D16+D17</f>
        <v>5410.0834530000002</v>
      </c>
      <c r="E15" s="969">
        <f>+E16+E17</f>
        <v>5355.1687000000002</v>
      </c>
      <c r="F15" s="969">
        <f t="shared" ref="F15:G15" si="6">+F16+F17</f>
        <v>5410.0834530000002</v>
      </c>
      <c r="G15" s="969">
        <f t="shared" si="6"/>
        <v>5488.7991009999996</v>
      </c>
      <c r="H15" s="970">
        <f t="shared" si="2"/>
        <v>102.49535371313326</v>
      </c>
      <c r="I15" s="970">
        <f t="shared" si="0"/>
        <v>1.4549802915951326</v>
      </c>
      <c r="J15" s="970">
        <f t="shared" si="3"/>
        <v>0.76673012795168138</v>
      </c>
      <c r="K15" s="120"/>
      <c r="L15" s="90"/>
      <c r="M15" s="90"/>
      <c r="N15" s="442"/>
      <c r="O15" s="442"/>
      <c r="P15" s="302"/>
      <c r="Q15" s="302"/>
      <c r="R15" s="302"/>
      <c r="S15" s="90"/>
      <c r="T15" s="90"/>
      <c r="U15" s="90"/>
      <c r="V15" s="90"/>
      <c r="W15" s="90"/>
      <c r="X15" s="90"/>
      <c r="Y15" s="90"/>
      <c r="Z15" s="90"/>
      <c r="AA15" s="90"/>
      <c r="AB15" s="90"/>
      <c r="AC15" s="90"/>
      <c r="AD15" s="90"/>
      <c r="AE15" s="90"/>
      <c r="AF15" s="90"/>
      <c r="AG15" s="90"/>
    </row>
    <row r="16" spans="2:33" ht="15" customHeight="1">
      <c r="C16" s="974" t="str">
        <f>IF(Indice_index!$Z$1=1,"Comparticipação do Orçamento do Estado","State Budget contributions")</f>
        <v>State Budget contributions</v>
      </c>
      <c r="D16" s="969">
        <v>5016.1520700000001</v>
      </c>
      <c r="E16" s="969">
        <v>5079.9157999999998</v>
      </c>
      <c r="F16" s="969">
        <v>5016.1520700000001</v>
      </c>
      <c r="G16" s="969">
        <v>5076.8823000000002</v>
      </c>
      <c r="H16" s="970">
        <f t="shared" si="2"/>
        <v>99.940284443297273</v>
      </c>
      <c r="I16" s="970">
        <f t="shared" si="0"/>
        <v>1.21069355857866</v>
      </c>
      <c r="J16" s="970">
        <f t="shared" si="3"/>
        <v>0.59154308198587757</v>
      </c>
      <c r="K16" s="120"/>
      <c r="L16" s="90"/>
      <c r="M16" s="90"/>
      <c r="N16" s="442"/>
      <c r="O16" s="442"/>
      <c r="P16" s="302"/>
      <c r="Q16" s="302"/>
      <c r="R16" s="302"/>
      <c r="S16" s="90"/>
      <c r="T16" s="90"/>
      <c r="U16" s="90"/>
      <c r="V16" s="90"/>
      <c r="W16" s="90"/>
      <c r="X16" s="90"/>
      <c r="Y16" s="90"/>
      <c r="Z16" s="90"/>
      <c r="AA16" s="90"/>
      <c r="AB16" s="90"/>
      <c r="AC16" s="90"/>
      <c r="AD16" s="90"/>
      <c r="AE16" s="90"/>
      <c r="AF16" s="90"/>
      <c r="AG16" s="90"/>
    </row>
    <row r="17" spans="3:33" ht="15" customHeight="1">
      <c r="C17" s="974" t="str">
        <f>IF(Indice_index!$Z$1=1,"Compensação por pagamento de pensões","Pension payment compensations")</f>
        <v>Pension payment compensations</v>
      </c>
      <c r="D17" s="969">
        <f>+D18+D19+D20+D21</f>
        <v>393.93138299999998</v>
      </c>
      <c r="E17" s="969">
        <f>+E18+E19+E20+E21</f>
        <v>275.25289999999995</v>
      </c>
      <c r="F17" s="969">
        <f>+F18+F19+F20+F21</f>
        <v>393.93138299999998</v>
      </c>
      <c r="G17" s="969">
        <f>+G18+G19+G20+G21</f>
        <v>411.9168009999994</v>
      </c>
      <c r="H17" s="970">
        <f t="shared" si="2"/>
        <v>149.65030377518255</v>
      </c>
      <c r="I17" s="970">
        <f t="shared" si="0"/>
        <v>4.5656220286463984</v>
      </c>
      <c r="J17" s="970">
        <f t="shared" si="3"/>
        <v>0.17518704596580498</v>
      </c>
      <c r="K17" s="120"/>
      <c r="L17" s="90"/>
      <c r="M17" s="90"/>
      <c r="N17" s="442"/>
      <c r="O17" s="442"/>
      <c r="P17" s="302"/>
      <c r="Q17" s="302"/>
      <c r="R17" s="302"/>
      <c r="S17" s="90"/>
      <c r="T17" s="90"/>
      <c r="U17" s="90"/>
      <c r="V17" s="90"/>
      <c r="W17" s="90"/>
      <c r="X17" s="90"/>
      <c r="Y17" s="90"/>
      <c r="Z17" s="90"/>
      <c r="AA17" s="90"/>
      <c r="AB17" s="90"/>
      <c r="AC17" s="90"/>
      <c r="AD17" s="90"/>
      <c r="AE17" s="90"/>
      <c r="AF17" s="90"/>
      <c r="AG17" s="90"/>
    </row>
    <row r="18" spans="3:33" s="123" customFormat="1" ht="15" customHeight="1">
      <c r="C18" s="975" t="str">
        <f>IF(Indice_index!$Z$1=1,"Deficientes das Forças Armadas / Invalidez","Armed Forces handicapped / disability")</f>
        <v>Armed Forces handicapped / disability</v>
      </c>
      <c r="D18" s="969">
        <v>172.154</v>
      </c>
      <c r="E18" s="969">
        <v>174.58199999999999</v>
      </c>
      <c r="F18" s="969">
        <v>172.154</v>
      </c>
      <c r="G18" s="969">
        <v>169.15</v>
      </c>
      <c r="H18" s="970">
        <f t="shared" si="2"/>
        <v>96.888568122715981</v>
      </c>
      <c r="I18" s="970">
        <f t="shared" si="0"/>
        <v>-1.7449492895895484</v>
      </c>
      <c r="J18" s="970">
        <f t="shared" si="3"/>
        <v>-2.9260475685429926E-2</v>
      </c>
      <c r="K18" s="120"/>
      <c r="L18" s="90"/>
      <c r="M18" s="90"/>
      <c r="N18" s="442"/>
      <c r="O18" s="442"/>
      <c r="P18" s="302"/>
      <c r="Q18" s="302"/>
      <c r="R18" s="302"/>
      <c r="S18" s="90"/>
      <c r="T18" s="90"/>
      <c r="U18" s="90"/>
      <c r="V18" s="90"/>
      <c r="W18" s="90"/>
      <c r="X18" s="90"/>
      <c r="Y18" s="90"/>
      <c r="Z18" s="90"/>
      <c r="AA18" s="90"/>
      <c r="AB18" s="90"/>
      <c r="AC18" s="90"/>
      <c r="AD18" s="90"/>
      <c r="AE18" s="90"/>
      <c r="AF18" s="90"/>
      <c r="AG18" s="90"/>
    </row>
    <row r="19" spans="3:33" s="123" customFormat="1" ht="15" customHeight="1">
      <c r="C19" s="975" t="str">
        <f>IF(Indice_index!$Z$1=1,"Subvenções vitalícias","Lifetime grants")</f>
        <v>Lifetime grants</v>
      </c>
      <c r="D19" s="969">
        <v>7.1405000000000003</v>
      </c>
      <c r="E19" s="969">
        <v>7.26</v>
      </c>
      <c r="F19" s="969">
        <v>7.1405000000000003</v>
      </c>
      <c r="G19" s="969">
        <v>8.1715</v>
      </c>
      <c r="H19" s="970">
        <f t="shared" si="2"/>
        <v>112.55509641873277</v>
      </c>
      <c r="I19" s="970">
        <f t="shared" si="0"/>
        <v>14.43876479238148</v>
      </c>
      <c r="J19" s="970">
        <f t="shared" si="3"/>
        <v>1.0042460196963494E-2</v>
      </c>
      <c r="K19" s="120"/>
      <c r="L19" s="90"/>
      <c r="M19" s="90"/>
      <c r="N19" s="442"/>
      <c r="O19" s="442"/>
      <c r="P19" s="302"/>
      <c r="Q19" s="302"/>
      <c r="R19" s="302"/>
      <c r="S19" s="90"/>
      <c r="T19" s="90"/>
      <c r="U19" s="90"/>
      <c r="V19" s="90"/>
      <c r="W19" s="90"/>
      <c r="X19" s="90"/>
      <c r="Y19" s="90"/>
      <c r="Z19" s="90"/>
      <c r="AA19" s="90"/>
      <c r="AB19" s="90"/>
      <c r="AC19" s="90"/>
      <c r="AD19" s="90"/>
      <c r="AE19" s="90"/>
      <c r="AF19" s="90"/>
      <c r="AG19" s="90"/>
    </row>
    <row r="20" spans="3:33" ht="15" customHeight="1">
      <c r="C20" s="975" t="str">
        <f>IF(Indice_index!$Z$1=1,"Pensões de preço de sangue","Blood price pensions")</f>
        <v>Blood price pensions</v>
      </c>
      <c r="D20" s="969">
        <v>30.571999999999999</v>
      </c>
      <c r="E20" s="969">
        <v>30.396999999999998</v>
      </c>
      <c r="F20" s="969">
        <v>30.571999999999999</v>
      </c>
      <c r="G20" s="969">
        <v>29.667999999999999</v>
      </c>
      <c r="H20" s="970">
        <f t="shared" si="2"/>
        <v>97.601737013521074</v>
      </c>
      <c r="I20" s="970">
        <f t="shared" si="0"/>
        <v>-2.9569540756247545</v>
      </c>
      <c r="J20" s="970">
        <f t="shared" si="3"/>
        <v>-8.8054161183850638E-3</v>
      </c>
      <c r="K20" s="120"/>
      <c r="L20" s="90"/>
      <c r="M20" s="90"/>
      <c r="N20" s="442"/>
      <c r="O20" s="442"/>
      <c r="P20" s="302"/>
      <c r="Q20" s="302"/>
      <c r="R20" s="302"/>
      <c r="S20" s="90"/>
      <c r="T20" s="90"/>
      <c r="U20" s="90"/>
      <c r="V20" s="90"/>
      <c r="W20" s="90"/>
      <c r="X20" s="90"/>
      <c r="Y20" s="90"/>
      <c r="Z20" s="90"/>
      <c r="AA20" s="90"/>
      <c r="AB20" s="90"/>
      <c r="AC20" s="90"/>
      <c r="AD20" s="90"/>
      <c r="AE20" s="90"/>
      <c r="AF20" s="90"/>
      <c r="AG20" s="90"/>
    </row>
    <row r="21" spans="3:33" ht="15" customHeight="1">
      <c r="C21" s="975" t="str">
        <f>IF(Indice_index!$Z$1=1,"Outras","Others")</f>
        <v>Others</v>
      </c>
      <c r="D21" s="969">
        <v>184.06488299999998</v>
      </c>
      <c r="E21" s="969">
        <v>63.0139</v>
      </c>
      <c r="F21" s="969">
        <v>184.06488299999998</v>
      </c>
      <c r="G21" s="969">
        <v>204.92730099999937</v>
      </c>
      <c r="H21" s="970">
        <f t="shared" si="2"/>
        <v>325.2096775473338</v>
      </c>
      <c r="I21" s="970">
        <f t="shared" ref="I21:I25" si="7">IF(IFERROR((G21-F21)/F21*100,"")&gt;500,"-",IFERROR((G21-F21)/F21*100,""))</f>
        <v>11.334273903838243</v>
      </c>
      <c r="J21" s="970">
        <f t="shared" si="3"/>
        <v>0.20321047757265639</v>
      </c>
      <c r="K21" s="120"/>
      <c r="L21" s="90"/>
      <c r="M21" s="90"/>
      <c r="N21" s="442"/>
      <c r="O21" s="442"/>
      <c r="P21" s="302"/>
      <c r="Q21" s="302"/>
      <c r="R21" s="302"/>
      <c r="S21" s="90"/>
      <c r="T21" s="90"/>
      <c r="U21" s="90"/>
      <c r="V21" s="90"/>
      <c r="W21" s="90"/>
      <c r="X21" s="90"/>
      <c r="Y21" s="90"/>
      <c r="Z21" s="90"/>
      <c r="AA21" s="90"/>
      <c r="AB21" s="90"/>
      <c r="AC21" s="90"/>
      <c r="AD21" s="90"/>
      <c r="AE21" s="90"/>
      <c r="AF21" s="90"/>
      <c r="AG21" s="90"/>
    </row>
    <row r="22" spans="3:33" ht="15" customHeight="1">
      <c r="C22" s="971" t="str">
        <f>IF(Indice_index!$Z$1=1,"Outras transferências correntes","Other current transfers")</f>
        <v>Other current transfers</v>
      </c>
      <c r="D22" s="969">
        <v>557.96221944999979</v>
      </c>
      <c r="E22" s="969">
        <v>695.28110000000015</v>
      </c>
      <c r="F22" s="969">
        <v>557.96221944999979</v>
      </c>
      <c r="G22" s="969">
        <v>556.13955604000148</v>
      </c>
      <c r="H22" s="970">
        <f t="shared" si="2"/>
        <v>79.987728134707154</v>
      </c>
      <c r="I22" s="970">
        <f>IF(IFERROR((G22-F22)/F22*100,"")&gt;500,"-",IFERROR((G22-F22)/F22*100,""))</f>
        <v>-0.32666430565764248</v>
      </c>
      <c r="J22" s="970">
        <f t="shared" si="3"/>
        <v>-1.7753661248661318E-2</v>
      </c>
      <c r="K22" s="120"/>
      <c r="L22" s="90"/>
      <c r="M22" s="90"/>
      <c r="N22" s="442"/>
      <c r="O22" s="442"/>
      <c r="P22" s="302"/>
      <c r="Q22" s="334"/>
      <c r="R22" s="302"/>
      <c r="S22" s="90"/>
      <c r="T22" s="90"/>
      <c r="U22" s="90"/>
      <c r="V22" s="90"/>
      <c r="W22" s="90"/>
      <c r="X22" s="90"/>
      <c r="Y22" s="90"/>
      <c r="Z22" s="90"/>
      <c r="AA22" s="90"/>
      <c r="AB22" s="90"/>
      <c r="AC22" s="90"/>
      <c r="AD22" s="90"/>
      <c r="AE22" s="90"/>
      <c r="AF22" s="90"/>
      <c r="AG22" s="90"/>
    </row>
    <row r="23" spans="3:33" ht="15" customHeight="1">
      <c r="C23" s="968" t="str">
        <f>IF(Indice_index!$Z$1=1,"Outras receitas correntes","Other current revenue")</f>
        <v>Other current revenue</v>
      </c>
      <c r="D23" s="969">
        <v>202.20913724000002</v>
      </c>
      <c r="E23" s="969">
        <v>246.9993000000004</v>
      </c>
      <c r="F23" s="969">
        <v>202.20913724000002</v>
      </c>
      <c r="G23" s="969">
        <v>201.12043456999982</v>
      </c>
      <c r="H23" s="970">
        <f t="shared" si="2"/>
        <v>81.425507914394686</v>
      </c>
      <c r="I23" s="970">
        <f>IF(IFERROR((G23-F23)/F23*100,"")&gt;500,"-",IFERROR((G23-F23)/F23*100,""))</f>
        <v>-0.53840429016223545</v>
      </c>
      <c r="J23" s="970">
        <f t="shared" si="3"/>
        <v>-1.0604513316978583E-2</v>
      </c>
      <c r="K23" s="120"/>
      <c r="L23" s="90"/>
      <c r="M23" s="90"/>
      <c r="N23" s="442"/>
      <c r="O23" s="442"/>
      <c r="P23" s="302"/>
      <c r="Q23" s="302"/>
      <c r="R23" s="302"/>
      <c r="S23" s="90"/>
      <c r="T23" s="90"/>
      <c r="U23" s="90"/>
      <c r="V23" s="90"/>
      <c r="W23" s="90"/>
      <c r="X23" s="90"/>
      <c r="Y23" s="90"/>
      <c r="Z23" s="90"/>
      <c r="AA23" s="90"/>
      <c r="AB23" s="90"/>
      <c r="AC23" s="90"/>
      <c r="AD23" s="90"/>
      <c r="AE23" s="90"/>
      <c r="AF23" s="90"/>
      <c r="AG23" s="90"/>
    </row>
    <row r="24" spans="3:33" s="299" customFormat="1" ht="15" customHeight="1">
      <c r="C24" s="966" t="str">
        <f>IF(Indice_index!$Z$1=1,"Receita de capital","Capital revenue")</f>
        <v>Capital revenue</v>
      </c>
      <c r="D24" s="966">
        <f t="shared" ref="D24:E24" si="8">+D25</f>
        <v>1.2530800500000001</v>
      </c>
      <c r="E24" s="966">
        <f t="shared" si="8"/>
        <v>0</v>
      </c>
      <c r="F24" s="966">
        <f t="shared" ref="F24:G24" si="9">+F25</f>
        <v>1.2530800500000001</v>
      </c>
      <c r="G24" s="966">
        <f t="shared" si="9"/>
        <v>0</v>
      </c>
      <c r="H24" s="967" t="str">
        <f t="shared" si="2"/>
        <v>-</v>
      </c>
      <c r="I24" s="967">
        <f>IF(IFERROR((G24-F24)/F24*100,"")&gt;500,"-",IFERROR((G24-F24)/F24*100,""))</f>
        <v>-100</v>
      </c>
      <c r="J24" s="967">
        <f t="shared" si="3"/>
        <v>-1.220563193572651E-2</v>
      </c>
      <c r="L24" s="302"/>
      <c r="M24" s="302"/>
      <c r="N24" s="442"/>
      <c r="O24" s="442"/>
      <c r="P24" s="302"/>
      <c r="Q24" s="302"/>
      <c r="R24" s="302"/>
      <c r="S24" s="302"/>
      <c r="T24" s="302"/>
      <c r="U24" s="302"/>
      <c r="V24" s="302"/>
      <c r="W24" s="302"/>
      <c r="X24" s="302"/>
      <c r="Y24" s="302"/>
      <c r="Z24" s="302"/>
      <c r="AA24" s="302"/>
      <c r="AB24" s="302"/>
      <c r="AC24" s="302"/>
      <c r="AD24" s="302"/>
      <c r="AE24" s="302"/>
      <c r="AF24" s="302"/>
      <c r="AG24" s="302"/>
    </row>
    <row r="25" spans="3:33" ht="15" customHeight="1">
      <c r="C25" s="968" t="str">
        <f>IF(Indice_index!$Z$1=1,"Transferências de Capital","Capital transfers")</f>
        <v>Capital transfers</v>
      </c>
      <c r="D25" s="969">
        <v>1.2530800500000001</v>
      </c>
      <c r="E25" s="969">
        <v>0</v>
      </c>
      <c r="F25" s="969">
        <v>1.2530800500000001</v>
      </c>
      <c r="G25" s="969">
        <v>0</v>
      </c>
      <c r="H25" s="970" t="str">
        <f t="shared" si="2"/>
        <v>-</v>
      </c>
      <c r="I25" s="970">
        <f t="shared" si="7"/>
        <v>-100</v>
      </c>
      <c r="J25" s="970">
        <f t="shared" si="3"/>
        <v>-1.220563193572651E-2</v>
      </c>
      <c r="K25" s="120"/>
      <c r="L25" s="90"/>
      <c r="M25" s="90"/>
      <c r="N25" s="442"/>
      <c r="O25" s="442"/>
      <c r="P25" s="302"/>
      <c r="Q25" s="302"/>
      <c r="R25" s="302"/>
      <c r="S25" s="90"/>
      <c r="T25" s="90"/>
      <c r="U25" s="90"/>
      <c r="V25" s="90"/>
      <c r="W25" s="90"/>
      <c r="X25" s="90"/>
      <c r="Y25" s="90"/>
      <c r="Z25" s="90"/>
      <c r="AA25" s="90"/>
      <c r="AB25" s="90"/>
      <c r="AC25" s="90"/>
      <c r="AD25" s="90"/>
      <c r="AE25" s="90"/>
      <c r="AF25" s="90"/>
      <c r="AG25" s="90"/>
    </row>
    <row r="26" spans="3:33" ht="4.5" customHeight="1">
      <c r="C26" s="969"/>
      <c r="D26" s="969"/>
      <c r="E26" s="969"/>
      <c r="F26" s="969"/>
      <c r="G26" s="969"/>
      <c r="H26" s="970"/>
      <c r="I26" s="970"/>
      <c r="J26" s="970"/>
      <c r="K26" s="120"/>
      <c r="L26" s="90"/>
      <c r="M26" s="90"/>
      <c r="N26" s="442"/>
      <c r="O26" s="442"/>
      <c r="P26" s="302"/>
      <c r="Q26" s="302"/>
      <c r="R26" s="302"/>
      <c r="U26" s="90"/>
      <c r="V26" s="90"/>
      <c r="W26" s="90"/>
      <c r="X26" s="90"/>
      <c r="Y26" s="90"/>
      <c r="Z26" s="90"/>
      <c r="AA26" s="90"/>
      <c r="AB26" s="90"/>
      <c r="AC26" s="90"/>
      <c r="AD26" s="90"/>
      <c r="AE26" s="90"/>
      <c r="AF26" s="90"/>
      <c r="AG26" s="90"/>
    </row>
    <row r="27" spans="3:33" s="299" customFormat="1" ht="15" customHeight="1">
      <c r="C27" s="746" t="str">
        <f>IF(Indice_index!$Z$1=1,"Receita Efectiva","Effective revenue")</f>
        <v>Effective revenue</v>
      </c>
      <c r="D27" s="746">
        <f>+D8+D24</f>
        <v>10266.408626760001</v>
      </c>
      <c r="E27" s="746">
        <f>+E8+E24</f>
        <v>10138.456910000001</v>
      </c>
      <c r="F27" s="746">
        <f>+F8+F24</f>
        <v>10266.408626760001</v>
      </c>
      <c r="G27" s="746">
        <f>+G8+G24</f>
        <v>10365.383969580002</v>
      </c>
      <c r="H27" s="976">
        <f>IFERROR(IF(G27/E27*100&lt;-500,"-",IF(G27/E27*100&gt;500,"-",G27/E27*100)),"-")</f>
        <v>102.23828006169433</v>
      </c>
      <c r="I27" s="976">
        <f t="shared" ref="I27:I45" si="10">IF(F27=0,"-",(G27-F27)/F27*100)</f>
        <v>0.96406977764371338</v>
      </c>
      <c r="J27" s="976"/>
      <c r="L27" s="302"/>
      <c r="M27" s="302"/>
      <c r="N27" s="442"/>
      <c r="O27" s="442"/>
      <c r="P27" s="302"/>
      <c r="Q27" s="302"/>
      <c r="R27" s="302"/>
      <c r="U27" s="302"/>
      <c r="V27" s="302"/>
      <c r="W27" s="302"/>
      <c r="X27" s="302"/>
      <c r="Y27" s="302"/>
      <c r="Z27" s="302"/>
      <c r="AA27" s="302"/>
      <c r="AB27" s="302"/>
      <c r="AC27" s="302"/>
      <c r="AD27" s="302"/>
      <c r="AE27" s="302"/>
      <c r="AF27" s="302"/>
      <c r="AG27" s="302"/>
    </row>
    <row r="28" spans="3:33" ht="4.5" customHeight="1">
      <c r="C28" s="977"/>
      <c r="D28" s="969"/>
      <c r="E28" s="969"/>
      <c r="F28" s="969"/>
      <c r="G28" s="969"/>
      <c r="H28" s="970"/>
      <c r="I28" s="970"/>
      <c r="J28" s="970"/>
      <c r="K28" s="120"/>
      <c r="L28" s="90"/>
      <c r="M28" s="90"/>
      <c r="N28" s="442"/>
      <c r="O28" s="442"/>
      <c r="P28" s="302"/>
      <c r="Q28" s="302"/>
      <c r="R28" s="302"/>
      <c r="U28" s="90"/>
      <c r="V28" s="90"/>
      <c r="W28" s="90"/>
      <c r="X28" s="90"/>
      <c r="Y28" s="90"/>
      <c r="Z28" s="90"/>
      <c r="AA28" s="90"/>
      <c r="AB28" s="90"/>
      <c r="AC28" s="90"/>
      <c r="AD28" s="90"/>
      <c r="AE28" s="90"/>
      <c r="AF28" s="90"/>
      <c r="AG28" s="90"/>
    </row>
    <row r="29" spans="3:33" s="299" customFormat="1" ht="15" customHeight="1">
      <c r="C29" s="966" t="str">
        <f>IF(Indice_index!$Z$1=1,"Despesa Corrente","Current expenditure")</f>
        <v>Current expenditure</v>
      </c>
      <c r="D29" s="966">
        <f>+D30+D34+D35+D36+D42</f>
        <v>10193.960342880004</v>
      </c>
      <c r="E29" s="966">
        <f>+E30+E34+E35+E36+E42</f>
        <v>10219.8467</v>
      </c>
      <c r="F29" s="966">
        <f t="shared" ref="F29:G29" si="11">+F30+F34+F35+F36+F42</f>
        <v>10193.960342880004</v>
      </c>
      <c r="G29" s="966">
        <f t="shared" si="11"/>
        <v>10283.99401027</v>
      </c>
      <c r="H29" s="967">
        <f t="shared" ref="H29:H45" si="12">IFERROR(IF(G29/E29*100&lt;-500,"-",IF(G29/E29*100&gt;500,"-",G29/E29*100)),"-")</f>
        <v>100.62767389915936</v>
      </c>
      <c r="I29" s="967">
        <f t="shared" ref="I29:I43" si="13">IF(IFERROR((G29-F29)/F29*100,"")&gt;500,"-",IFERROR((G29-F29)/F29*100,""))</f>
        <v>0.88320598042036447</v>
      </c>
      <c r="J29" s="967">
        <f>IFERROR((G29-F29)/$F$45*100,"-")</f>
        <v>0.88320598042036447</v>
      </c>
      <c r="L29" s="302"/>
      <c r="M29" s="302"/>
      <c r="N29" s="442"/>
      <c r="O29" s="442"/>
      <c r="P29" s="302"/>
      <c r="Q29" s="302"/>
      <c r="R29" s="302"/>
      <c r="U29" s="302"/>
      <c r="V29" s="302"/>
      <c r="W29" s="302"/>
      <c r="X29" s="302"/>
      <c r="Y29" s="302"/>
      <c r="Z29" s="302"/>
      <c r="AA29" s="302"/>
      <c r="AB29" s="302"/>
      <c r="AC29" s="302"/>
      <c r="AD29" s="302"/>
      <c r="AE29" s="302"/>
      <c r="AF29" s="302"/>
      <c r="AG29" s="302"/>
    </row>
    <row r="30" spans="3:33" ht="15" customHeight="1">
      <c r="C30" s="968" t="str">
        <f>IF(Indice_index!$Z$1=1,"Despesas com o pessoal","Employees")</f>
        <v>Employees</v>
      </c>
      <c r="D30" s="969">
        <f t="shared" ref="D30:E30" si="14">+D31+D32+D33</f>
        <v>8.0096631699999996</v>
      </c>
      <c r="E30" s="969">
        <f t="shared" si="14"/>
        <v>8.0122</v>
      </c>
      <c r="F30" s="969">
        <f t="shared" ref="F30:G30" si="15">+F31+F32+F33</f>
        <v>8.0096631699999996</v>
      </c>
      <c r="G30" s="969">
        <f t="shared" si="15"/>
        <v>6.663953349999999</v>
      </c>
      <c r="H30" s="970">
        <f t="shared" si="12"/>
        <v>83.172578692493943</v>
      </c>
      <c r="I30" s="970">
        <f t="shared" si="13"/>
        <v>-16.801078789933694</v>
      </c>
      <c r="J30" s="970">
        <f t="shared" ref="J30:J43" si="16">IFERROR((G30-F30)/$F$45*100,"-")</f>
        <v>-1.3201050178107814E-2</v>
      </c>
      <c r="K30" s="120"/>
      <c r="L30" s="90"/>
      <c r="M30" s="90"/>
      <c r="N30" s="442"/>
      <c r="O30" s="442"/>
      <c r="P30" s="302"/>
      <c r="Q30" s="302"/>
      <c r="R30" s="302"/>
      <c r="U30" s="90"/>
      <c r="V30" s="90"/>
      <c r="W30" s="90"/>
      <c r="X30" s="90"/>
      <c r="Y30" s="90"/>
      <c r="Z30" s="90"/>
      <c r="AA30" s="90"/>
      <c r="AB30" s="90"/>
      <c r="AC30" s="90"/>
      <c r="AD30" s="90"/>
      <c r="AE30" s="90"/>
      <c r="AF30" s="90"/>
      <c r="AG30" s="90"/>
    </row>
    <row r="31" spans="3:33" ht="15" customHeight="1">
      <c r="C31" s="971" t="str">
        <f>IF(Indice_index!$Z$1=1,"Remunerações Certas e Permanentes","Certain and permanent wages")</f>
        <v>Certain and permanent wages</v>
      </c>
      <c r="D31" s="969">
        <v>7.8590380000000001E-2</v>
      </c>
      <c r="E31" s="969">
        <v>0.11119999999999999</v>
      </c>
      <c r="F31" s="969">
        <v>7.8590380000000001E-2</v>
      </c>
      <c r="G31" s="969">
        <v>7.8590489999999985E-2</v>
      </c>
      <c r="H31" s="970">
        <f t="shared" si="12"/>
        <v>70.674901079136674</v>
      </c>
      <c r="I31" s="970">
        <f t="shared" si="13"/>
        <v>1.3996624012218062E-4</v>
      </c>
      <c r="J31" s="970">
        <f t="shared" si="16"/>
        <v>1.0790703150082781E-9</v>
      </c>
      <c r="K31" s="120"/>
      <c r="L31" s="90"/>
      <c r="M31" s="90"/>
      <c r="N31" s="442"/>
      <c r="O31" s="442"/>
      <c r="P31" s="302"/>
      <c r="Q31" s="302"/>
      <c r="R31" s="302"/>
      <c r="U31" s="90"/>
      <c r="V31" s="90"/>
      <c r="W31" s="90"/>
      <c r="X31" s="90"/>
      <c r="Y31" s="90"/>
      <c r="Z31" s="90"/>
      <c r="AA31" s="90"/>
      <c r="AB31" s="90"/>
      <c r="AC31" s="90"/>
      <c r="AD31" s="90"/>
      <c r="AE31" s="90"/>
      <c r="AF31" s="90"/>
      <c r="AG31" s="90"/>
    </row>
    <row r="32" spans="3:33" ht="15" customHeight="1">
      <c r="C32" s="971" t="str">
        <f>IF(Indice_index!$Z$1=1,"Abonos Variáveis ou Eventuais","Variable or contingent bonuses")</f>
        <v>Variable or contingent bonuses</v>
      </c>
      <c r="D32" s="969">
        <v>0</v>
      </c>
      <c r="E32" s="969">
        <v>0</v>
      </c>
      <c r="F32" s="969">
        <v>0</v>
      </c>
      <c r="G32" s="969">
        <v>0</v>
      </c>
      <c r="H32" s="970" t="str">
        <f t="shared" si="12"/>
        <v>-</v>
      </c>
      <c r="I32" s="970" t="str">
        <f t="shared" si="13"/>
        <v>-</v>
      </c>
      <c r="J32" s="970">
        <f t="shared" si="16"/>
        <v>0</v>
      </c>
      <c r="K32" s="120"/>
      <c r="L32" s="90"/>
      <c r="M32" s="90"/>
      <c r="N32" s="442"/>
      <c r="O32" s="442"/>
      <c r="P32" s="302"/>
      <c r="Q32" s="302"/>
      <c r="R32" s="302"/>
      <c r="U32" s="90"/>
      <c r="V32" s="90"/>
      <c r="W32" s="90"/>
      <c r="X32" s="90"/>
      <c r="Y32" s="90"/>
      <c r="Z32" s="90"/>
      <c r="AA32" s="90"/>
      <c r="AB32" s="90"/>
      <c r="AC32" s="90"/>
      <c r="AD32" s="90"/>
      <c r="AE32" s="90"/>
      <c r="AF32" s="90"/>
      <c r="AG32" s="90"/>
    </row>
    <row r="33" spans="3:33" ht="15" customHeight="1">
      <c r="C33" s="971" t="str">
        <f>IF(Indice_index!$Z$1=1,"Segurança social","Social security")</f>
        <v>Social security</v>
      </c>
      <c r="D33" s="969">
        <v>7.93107279</v>
      </c>
      <c r="E33" s="969">
        <v>7.9009999999999998</v>
      </c>
      <c r="F33" s="969">
        <v>7.93107279</v>
      </c>
      <c r="G33" s="969">
        <v>6.5853628599999992</v>
      </c>
      <c r="H33" s="970">
        <f t="shared" si="12"/>
        <v>83.34847310467029</v>
      </c>
      <c r="I33" s="970">
        <f t="shared" si="13"/>
        <v>-16.967564989401652</v>
      </c>
      <c r="J33" s="970">
        <f t="shared" si="16"/>
        <v>-1.320105125717813E-2</v>
      </c>
      <c r="K33" s="120"/>
      <c r="L33" s="90"/>
      <c r="M33" s="90"/>
      <c r="N33" s="442"/>
      <c r="O33" s="442"/>
      <c r="P33" s="302"/>
      <c r="Q33" s="302"/>
      <c r="R33" s="302"/>
      <c r="U33" s="90"/>
      <c r="V33" s="90"/>
      <c r="W33" s="90"/>
      <c r="X33" s="90"/>
      <c r="Y33" s="90"/>
      <c r="Z33" s="90"/>
      <c r="AA33" s="90"/>
      <c r="AB33" s="90"/>
      <c r="AC33" s="90"/>
      <c r="AD33" s="90"/>
      <c r="AE33" s="90"/>
      <c r="AF33" s="90"/>
      <c r="AG33" s="90"/>
    </row>
    <row r="34" spans="3:33" ht="15" customHeight="1">
      <c r="C34" s="968" t="str">
        <f>IF(Indice_index!$Z$1=1,"Aquisição de bens e serviços","Purchase of goods and services")</f>
        <v>Purchase of goods and services</v>
      </c>
      <c r="D34" s="969">
        <v>21.942460780000001</v>
      </c>
      <c r="E34" s="969">
        <v>30.784300000000002</v>
      </c>
      <c r="F34" s="969">
        <v>21.942460780000001</v>
      </c>
      <c r="G34" s="969">
        <v>21.20756514</v>
      </c>
      <c r="H34" s="970">
        <f t="shared" si="12"/>
        <v>68.890847412479744</v>
      </c>
      <c r="I34" s="970">
        <f t="shared" si="13"/>
        <v>-3.349194273915896</v>
      </c>
      <c r="J34" s="970">
        <f t="shared" si="16"/>
        <v>-7.2091279079115802E-3</v>
      </c>
      <c r="K34" s="120"/>
      <c r="L34" s="90"/>
      <c r="M34" s="90"/>
      <c r="N34" s="442"/>
      <c r="O34" s="442"/>
      <c r="P34" s="302"/>
      <c r="Q34" s="302"/>
      <c r="R34" s="302"/>
      <c r="U34" s="90"/>
      <c r="V34" s="90"/>
      <c r="W34" s="90"/>
      <c r="X34" s="90"/>
      <c r="Y34" s="90"/>
      <c r="Z34" s="90"/>
      <c r="AA34" s="90"/>
      <c r="AB34" s="90"/>
      <c r="AC34" s="90"/>
      <c r="AD34" s="90"/>
      <c r="AE34" s="90"/>
      <c r="AF34" s="90"/>
      <c r="AG34" s="90"/>
    </row>
    <row r="35" spans="3:33" ht="15" customHeight="1">
      <c r="C35" s="968" t="str">
        <f>IF(Indice_index!$Z$1=1,"Juros e outros encargos","Interests and other charges")</f>
        <v>Interests and other charges</v>
      </c>
      <c r="D35" s="969">
        <v>0.61769562</v>
      </c>
      <c r="E35" s="969">
        <v>2.2999999999999998</v>
      </c>
      <c r="F35" s="969">
        <v>0.61769562</v>
      </c>
      <c r="G35" s="969">
        <v>0.47930070000000002</v>
      </c>
      <c r="H35" s="970">
        <f t="shared" si="12"/>
        <v>20.83916086956522</v>
      </c>
      <c r="I35" s="970">
        <f t="shared" si="13"/>
        <v>-22.405035023560629</v>
      </c>
      <c r="J35" s="970">
        <f t="shared" si="16"/>
        <v>-1.3576168176548014E-3</v>
      </c>
      <c r="K35" s="120"/>
      <c r="L35" s="90"/>
      <c r="M35" s="90"/>
      <c r="N35" s="442"/>
      <c r="O35" s="442"/>
      <c r="P35" s="302"/>
      <c r="Q35" s="302"/>
      <c r="R35" s="302"/>
      <c r="U35" s="90"/>
      <c r="V35" s="90"/>
      <c r="W35" s="90"/>
      <c r="X35" s="90"/>
      <c r="Y35" s="90"/>
      <c r="Z35" s="90"/>
      <c r="AA35" s="90"/>
      <c r="AB35" s="90"/>
      <c r="AC35" s="90"/>
      <c r="AD35" s="90"/>
      <c r="AE35" s="90"/>
      <c r="AF35" s="90"/>
      <c r="AG35" s="90"/>
    </row>
    <row r="36" spans="3:33" ht="15" customHeight="1">
      <c r="C36" s="968" t="str">
        <f>IF(Indice_index!$Z$1=1,"Transferências","Transfers")</f>
        <v>Transfers</v>
      </c>
      <c r="D36" s="969">
        <f>+D38+D39+D40+D41</f>
        <v>10161.855559800004</v>
      </c>
      <c r="E36" s="969">
        <f>+E38+E39+E40+E41</f>
        <v>10175.0502</v>
      </c>
      <c r="F36" s="969">
        <f t="shared" ref="F36:G36" si="17">+F38+F39+F40+F41</f>
        <v>10161.855559800004</v>
      </c>
      <c r="G36" s="969">
        <f t="shared" si="17"/>
        <v>10252.880532159999</v>
      </c>
      <c r="H36" s="970">
        <f t="shared" si="12"/>
        <v>100.76491349556191</v>
      </c>
      <c r="I36" s="970">
        <f t="shared" si="13"/>
        <v>0.89575148775079527</v>
      </c>
      <c r="J36" s="970">
        <f t="shared" si="16"/>
        <v>0.89293041466040279</v>
      </c>
      <c r="K36" s="120"/>
      <c r="L36" s="90"/>
      <c r="M36" s="90"/>
      <c r="N36" s="442"/>
      <c r="O36" s="442"/>
      <c r="P36" s="302"/>
      <c r="Q36" s="302"/>
      <c r="R36" s="302"/>
      <c r="U36" s="90"/>
      <c r="V36" s="90"/>
      <c r="W36" s="90"/>
      <c r="X36" s="90"/>
      <c r="Y36" s="90"/>
      <c r="Z36" s="90"/>
      <c r="AA36" s="90"/>
      <c r="AB36" s="90"/>
      <c r="AC36" s="90"/>
      <c r="AD36" s="90"/>
      <c r="AE36" s="90"/>
      <c r="AF36" s="90"/>
      <c r="AG36" s="90"/>
    </row>
    <row r="37" spans="3:33" ht="15" customHeight="1">
      <c r="C37" s="971" t="str">
        <f>IF(Indice_index!$Z$1=1,"Pensões e abonos da responsabilidade de:","Liability for pensions and allowances from:")</f>
        <v>Liability for pensions and allowances from:</v>
      </c>
      <c r="D37" s="969"/>
      <c r="E37" s="969"/>
      <c r="F37" s="969"/>
      <c r="G37" s="969"/>
      <c r="H37" s="970"/>
      <c r="I37" s="970"/>
      <c r="J37" s="970">
        <f t="shared" si="16"/>
        <v>0</v>
      </c>
      <c r="K37" s="120"/>
      <c r="L37" s="90"/>
      <c r="M37" s="90"/>
      <c r="N37" s="442"/>
      <c r="O37" s="442"/>
      <c r="P37" s="302"/>
      <c r="Q37" s="302"/>
      <c r="R37" s="302"/>
      <c r="U37" s="90"/>
      <c r="V37" s="90"/>
      <c r="W37" s="90"/>
      <c r="X37" s="90"/>
      <c r="Y37" s="90"/>
      <c r="Z37" s="90"/>
      <c r="AA37" s="90"/>
      <c r="AB37" s="90"/>
      <c r="AC37" s="90"/>
      <c r="AD37" s="90"/>
      <c r="AE37" s="90"/>
      <c r="AF37" s="90"/>
      <c r="AG37" s="90"/>
    </row>
    <row r="38" spans="3:33" ht="15" customHeight="1">
      <c r="C38" s="974" t="str">
        <f>IF(Indice_index!$Z$1=1,"Caixa Geral de Aposentações","Public Servants Social Scheme")</f>
        <v>Public Servants Social Scheme</v>
      </c>
      <c r="D38" s="969">
        <v>8940.7441897500012</v>
      </c>
      <c r="E38" s="969">
        <v>8927.0033000000003</v>
      </c>
      <c r="F38" s="969">
        <v>8940.7441897500012</v>
      </c>
      <c r="G38" s="969">
        <v>9004.2547971399999</v>
      </c>
      <c r="H38" s="970">
        <f t="shared" si="12"/>
        <v>100.86536875302824</v>
      </c>
      <c r="I38" s="970">
        <f t="shared" si="13"/>
        <v>0.7103503471535364</v>
      </c>
      <c r="J38" s="970">
        <f t="shared" si="16"/>
        <v>0.62302191938933627</v>
      </c>
      <c r="K38" s="120"/>
      <c r="L38" s="90"/>
      <c r="M38" s="90"/>
      <c r="N38" s="442"/>
      <c r="O38" s="442"/>
      <c r="P38" s="302"/>
      <c r="Q38" s="302"/>
      <c r="R38" s="302"/>
      <c r="U38" s="90"/>
      <c r="V38" s="90"/>
      <c r="W38" s="90"/>
      <c r="X38" s="90"/>
      <c r="Y38" s="90"/>
      <c r="Z38" s="90"/>
      <c r="AA38" s="90"/>
      <c r="AB38" s="90"/>
      <c r="AC38" s="90"/>
      <c r="AD38" s="90"/>
      <c r="AE38" s="90"/>
      <c r="AF38" s="90"/>
      <c r="AG38" s="90"/>
    </row>
    <row r="39" spans="3:33" ht="15" customHeight="1">
      <c r="C39" s="974" t="str">
        <f>IF(Indice_index!$Z$1=1,"Orçamento do Estado","State Budget")</f>
        <v>State Budget</v>
      </c>
      <c r="D39" s="969">
        <v>376.36405268999999</v>
      </c>
      <c r="E39" s="969">
        <v>390.37369999999999</v>
      </c>
      <c r="F39" s="969">
        <v>376.36405268999999</v>
      </c>
      <c r="G39" s="969">
        <v>396.60070667000002</v>
      </c>
      <c r="H39" s="970">
        <f t="shared" si="12"/>
        <v>101.59513990568524</v>
      </c>
      <c r="I39" s="970">
        <f t="shared" si="13"/>
        <v>5.3768827908409111</v>
      </c>
      <c r="J39" s="970">
        <f t="shared" si="16"/>
        <v>0.19851611443764708</v>
      </c>
      <c r="K39" s="120"/>
      <c r="L39" s="90"/>
      <c r="M39" s="90"/>
      <c r="N39" s="442"/>
      <c r="O39" s="442"/>
      <c r="P39" s="302"/>
      <c r="Q39" s="302"/>
      <c r="R39" s="302"/>
      <c r="U39" s="90"/>
      <c r="V39" s="90"/>
      <c r="W39" s="90"/>
      <c r="X39" s="90"/>
      <c r="Y39" s="90"/>
      <c r="Z39" s="90"/>
      <c r="AA39" s="90"/>
      <c r="AB39" s="90"/>
      <c r="AC39" s="90"/>
      <c r="AD39" s="90"/>
      <c r="AE39" s="90"/>
      <c r="AF39" s="90"/>
      <c r="AG39" s="90"/>
    </row>
    <row r="40" spans="3:33" ht="15" customHeight="1">
      <c r="C40" s="974" t="str">
        <f>IF(Indice_index!$Z$1=1,"Outras entidades","Other entities")</f>
        <v>Other entities</v>
      </c>
      <c r="D40" s="969">
        <v>657.23934247000011</v>
      </c>
      <c r="E40" s="969">
        <v>663.49749999999995</v>
      </c>
      <c r="F40" s="969">
        <v>657.23934247000011</v>
      </c>
      <c r="G40" s="969">
        <v>660.48834474</v>
      </c>
      <c r="H40" s="970">
        <f t="shared" si="12"/>
        <v>99.546470746310277</v>
      </c>
      <c r="I40" s="970">
        <f t="shared" si="13"/>
        <v>0.49434080707793199</v>
      </c>
      <c r="J40" s="970">
        <f t="shared" si="16"/>
        <v>3.1871835486089226E-2</v>
      </c>
      <c r="K40" s="120"/>
      <c r="L40" s="90"/>
      <c r="M40" s="90"/>
      <c r="N40" s="442"/>
      <c r="O40" s="442"/>
      <c r="P40" s="302"/>
      <c r="Q40" s="302"/>
      <c r="R40" s="302"/>
      <c r="U40" s="90"/>
      <c r="V40" s="90"/>
      <c r="W40" s="90"/>
      <c r="X40" s="90"/>
      <c r="Y40" s="90"/>
      <c r="Z40" s="90"/>
      <c r="AA40" s="90"/>
      <c r="AB40" s="90"/>
      <c r="AC40" s="90"/>
      <c r="AD40" s="90"/>
      <c r="AE40" s="90"/>
      <c r="AF40" s="90"/>
      <c r="AG40" s="90"/>
    </row>
    <row r="41" spans="3:33" ht="15" customHeight="1">
      <c r="C41" s="971" t="str">
        <f>IF(Indice_index!$Z$1=1,"Outras transferências correntes","Other current transfers")</f>
        <v>Other current transfers</v>
      </c>
      <c r="D41" s="969">
        <v>187.50797489000263</v>
      </c>
      <c r="E41" s="969">
        <v>194.17569999999944</v>
      </c>
      <c r="F41" s="978">
        <v>187.50797489000263</v>
      </c>
      <c r="G41" s="978">
        <v>191.53668360999757</v>
      </c>
      <c r="H41" s="970">
        <f t="shared" si="12"/>
        <v>98.640913157515655</v>
      </c>
      <c r="I41" s="970">
        <f t="shared" si="13"/>
        <v>2.1485532667921405</v>
      </c>
      <c r="J41" s="970">
        <f t="shared" si="16"/>
        <v>3.952054534731244E-2</v>
      </c>
      <c r="K41" s="120"/>
      <c r="L41" s="90"/>
      <c r="M41" s="90"/>
      <c r="N41" s="442"/>
      <c r="O41" s="442"/>
      <c r="P41" s="302"/>
      <c r="Q41" s="302"/>
      <c r="R41" s="302"/>
      <c r="U41" s="90"/>
      <c r="V41" s="90"/>
      <c r="W41" s="90"/>
      <c r="X41" s="90"/>
      <c r="Y41" s="90"/>
      <c r="Z41" s="90"/>
      <c r="AA41" s="90"/>
      <c r="AB41" s="90"/>
      <c r="AC41" s="90"/>
      <c r="AD41" s="90"/>
      <c r="AE41" s="90"/>
      <c r="AF41" s="90"/>
      <c r="AG41" s="90"/>
    </row>
    <row r="42" spans="3:33" ht="15" customHeight="1">
      <c r="C42" s="968" t="str">
        <f>IF(Indice_index!$Z$1=1,"Outras despesas correntes","Other current expenditure")</f>
        <v>Other current expenditure</v>
      </c>
      <c r="D42" s="969">
        <v>1.5349635100000001</v>
      </c>
      <c r="E42" s="969">
        <v>3.7</v>
      </c>
      <c r="F42" s="969">
        <v>1.5349635100000001</v>
      </c>
      <c r="G42" s="969">
        <v>2.7626589199999998</v>
      </c>
      <c r="H42" s="970">
        <f t="shared" si="12"/>
        <v>74.666457297297285</v>
      </c>
      <c r="I42" s="970">
        <f t="shared" si="13"/>
        <v>79.982058335705958</v>
      </c>
      <c r="J42" s="970">
        <f t="shared" si="16"/>
        <v>1.204336066362556E-2</v>
      </c>
      <c r="K42" s="120"/>
      <c r="L42" s="90"/>
      <c r="M42" s="90"/>
      <c r="N42" s="442"/>
      <c r="O42" s="442"/>
      <c r="P42" s="302"/>
      <c r="Q42" s="302"/>
      <c r="R42" s="302"/>
      <c r="U42" s="90"/>
      <c r="V42" s="90"/>
      <c r="W42" s="90"/>
      <c r="X42" s="90"/>
      <c r="Y42" s="90"/>
      <c r="Z42" s="90"/>
      <c r="AA42" s="90"/>
      <c r="AB42" s="90"/>
      <c r="AC42" s="90"/>
      <c r="AD42" s="90"/>
      <c r="AE42" s="90"/>
      <c r="AF42" s="90"/>
      <c r="AG42" s="90"/>
    </row>
    <row r="43" spans="3:33" s="299" customFormat="1" ht="15" customHeight="1">
      <c r="C43" s="966" t="str">
        <f>IF(Indice_index!$Z$1=1,"Despesa de Capital","Capital expenditure")</f>
        <v>Capital expenditure</v>
      </c>
      <c r="D43" s="966">
        <v>0</v>
      </c>
      <c r="E43" s="966">
        <v>0</v>
      </c>
      <c r="F43" s="966">
        <v>0</v>
      </c>
      <c r="G43" s="966">
        <v>0</v>
      </c>
      <c r="H43" s="967" t="str">
        <f t="shared" si="12"/>
        <v>-</v>
      </c>
      <c r="I43" s="967" t="str">
        <f t="shared" si="13"/>
        <v>-</v>
      </c>
      <c r="J43" s="967">
        <f t="shared" si="16"/>
        <v>0</v>
      </c>
      <c r="L43" s="302"/>
      <c r="M43" s="302"/>
      <c r="N43" s="442"/>
      <c r="O43" s="442"/>
      <c r="P43" s="302"/>
      <c r="Q43" s="302"/>
      <c r="R43" s="302"/>
      <c r="S43" s="302"/>
      <c r="T43" s="302"/>
      <c r="U43" s="302"/>
      <c r="V43" s="302"/>
      <c r="W43" s="302"/>
      <c r="X43" s="302"/>
      <c r="Y43" s="302"/>
      <c r="Z43" s="302"/>
      <c r="AA43" s="302"/>
      <c r="AB43" s="302"/>
      <c r="AC43" s="302"/>
      <c r="AD43" s="302"/>
      <c r="AE43" s="302"/>
      <c r="AF43" s="302"/>
      <c r="AG43" s="302"/>
    </row>
    <row r="44" spans="3:33" ht="4.5" customHeight="1">
      <c r="C44" s="977"/>
      <c r="D44" s="977"/>
      <c r="E44" s="977"/>
      <c r="F44" s="977"/>
      <c r="G44" s="977"/>
      <c r="H44" s="979"/>
      <c r="I44" s="979"/>
      <c r="J44" s="979"/>
      <c r="K44" s="120"/>
      <c r="L44" s="90"/>
      <c r="M44" s="90"/>
      <c r="N44" s="442"/>
      <c r="O44" s="442"/>
      <c r="P44" s="302"/>
      <c r="Q44" s="302"/>
      <c r="R44" s="302"/>
      <c r="U44" s="90"/>
      <c r="V44" s="90"/>
      <c r="W44" s="90"/>
      <c r="X44" s="90"/>
      <c r="Y44" s="90"/>
      <c r="Z44" s="90"/>
      <c r="AA44" s="90"/>
      <c r="AB44" s="90"/>
      <c r="AC44" s="90"/>
      <c r="AD44" s="90"/>
      <c r="AE44" s="90"/>
      <c r="AF44" s="90"/>
      <c r="AG44" s="90"/>
    </row>
    <row r="45" spans="3:33" s="299" customFormat="1" ht="15" customHeight="1">
      <c r="C45" s="746" t="str">
        <f>IF(Indice_index!$Z$1=1,"Despesa efectiva","Effective expenditure")</f>
        <v>Effective expenditure</v>
      </c>
      <c r="D45" s="746">
        <f>+D29+D43</f>
        <v>10193.960342880004</v>
      </c>
      <c r="E45" s="746">
        <f>+E29+E43</f>
        <v>10219.8467</v>
      </c>
      <c r="F45" s="746">
        <f t="shared" ref="F45:G45" si="18">+F29+F43</f>
        <v>10193.960342880004</v>
      </c>
      <c r="G45" s="746">
        <f t="shared" si="18"/>
        <v>10283.99401027</v>
      </c>
      <c r="H45" s="976">
        <f t="shared" si="12"/>
        <v>100.62767389915936</v>
      </c>
      <c r="I45" s="976">
        <f t="shared" si="10"/>
        <v>0.88320598042036447</v>
      </c>
      <c r="J45" s="976"/>
      <c r="L45" s="302"/>
      <c r="M45" s="302"/>
      <c r="N45" s="442"/>
      <c r="O45" s="442"/>
      <c r="P45" s="302"/>
      <c r="Q45" s="302"/>
      <c r="R45" s="302"/>
      <c r="U45" s="302"/>
      <c r="V45" s="302"/>
      <c r="W45" s="302"/>
      <c r="X45" s="302"/>
      <c r="Y45" s="302"/>
      <c r="Z45" s="302"/>
      <c r="AA45" s="302"/>
      <c r="AB45" s="302"/>
      <c r="AC45" s="302"/>
      <c r="AD45" s="302"/>
      <c r="AE45" s="302"/>
      <c r="AF45" s="302"/>
      <c r="AG45" s="302"/>
    </row>
    <row r="46" spans="3:33" ht="4.5" customHeight="1">
      <c r="C46" s="969"/>
      <c r="D46" s="969"/>
      <c r="E46" s="969"/>
      <c r="F46" s="969"/>
      <c r="G46" s="969"/>
      <c r="H46" s="969"/>
      <c r="I46" s="969"/>
      <c r="J46" s="969"/>
      <c r="K46" s="120"/>
      <c r="L46" s="90"/>
      <c r="M46" s="90"/>
      <c r="N46" s="442"/>
      <c r="O46" s="442"/>
      <c r="P46" s="302"/>
      <c r="Q46" s="302"/>
      <c r="R46" s="302"/>
      <c r="U46" s="90"/>
      <c r="V46" s="90"/>
      <c r="W46" s="90"/>
      <c r="X46" s="90"/>
      <c r="Y46" s="90"/>
      <c r="Z46" s="90"/>
      <c r="AA46" s="90"/>
      <c r="AB46" s="90"/>
      <c r="AC46" s="90"/>
      <c r="AD46" s="90"/>
      <c r="AE46" s="90"/>
      <c r="AF46" s="90"/>
      <c r="AG46" s="90"/>
    </row>
    <row r="47" spans="3:33" s="299" customFormat="1" ht="15" customHeight="1">
      <c r="C47" s="746" t="str">
        <f>IF(Indice_index!$Z$1=1,"Saldo global","Overall balance")</f>
        <v>Overall balance</v>
      </c>
      <c r="D47" s="746">
        <f>+D27-D45</f>
        <v>72.448283879997689</v>
      </c>
      <c r="E47" s="746">
        <f>+E27-E45</f>
        <v>-81.389789999999266</v>
      </c>
      <c r="F47" s="746">
        <f t="shared" ref="F47:G47" si="19">+F27-F45</f>
        <v>72.448283879997689</v>
      </c>
      <c r="G47" s="746">
        <f t="shared" si="19"/>
        <v>81.389959310001359</v>
      </c>
      <c r="H47" s="746"/>
      <c r="I47" s="746"/>
      <c r="J47" s="980"/>
      <c r="L47" s="302"/>
      <c r="M47" s="302"/>
      <c r="N47" s="442"/>
      <c r="O47" s="442"/>
      <c r="P47" s="302"/>
      <c r="Q47" s="302"/>
      <c r="R47" s="302"/>
      <c r="U47" s="302"/>
      <c r="V47" s="302"/>
      <c r="W47" s="302"/>
      <c r="X47" s="302"/>
      <c r="Y47" s="302"/>
      <c r="Z47" s="302"/>
      <c r="AA47" s="302"/>
      <c r="AB47" s="302"/>
      <c r="AC47" s="302"/>
      <c r="AD47" s="302"/>
      <c r="AE47" s="302"/>
      <c r="AF47" s="302"/>
      <c r="AG47" s="302"/>
    </row>
    <row r="48" spans="3:33" ht="4.5" customHeight="1">
      <c r="C48" s="981"/>
      <c r="D48" s="963"/>
      <c r="E48" s="963"/>
      <c r="F48" s="963"/>
      <c r="G48" s="963"/>
      <c r="H48" s="982"/>
      <c r="I48" s="982"/>
      <c r="J48" s="982"/>
      <c r="K48" s="120"/>
      <c r="L48" s="90"/>
      <c r="M48" s="90"/>
      <c r="N48" s="442"/>
      <c r="O48" s="442"/>
      <c r="P48" s="302"/>
      <c r="Q48" s="302"/>
      <c r="R48" s="302"/>
      <c r="U48" s="90"/>
      <c r="V48" s="90"/>
      <c r="W48" s="90"/>
      <c r="X48" s="90"/>
      <c r="Y48" s="90"/>
      <c r="Z48" s="90"/>
      <c r="AA48" s="90"/>
      <c r="AB48" s="90"/>
      <c r="AC48" s="90"/>
      <c r="AD48" s="90"/>
      <c r="AE48" s="90"/>
      <c r="AF48" s="90"/>
      <c r="AG48" s="90"/>
    </row>
    <row r="49" spans="3:33" ht="15" customHeight="1">
      <c r="C49" s="969" t="str">
        <f>IF(Indice_index!$Z$1=1,"Ativos financeiros líquidos de reembolsos","Financial assets net of reimbursements")</f>
        <v>Financial assets net of reimbursements</v>
      </c>
      <c r="D49" s="969">
        <v>-135.00737053</v>
      </c>
      <c r="E49" s="969">
        <v>-81.389790000000005</v>
      </c>
      <c r="F49" s="969">
        <v>-135.00737053</v>
      </c>
      <c r="G49" s="969">
        <v>217.94571745000007</v>
      </c>
      <c r="H49" s="970"/>
      <c r="I49" s="970"/>
      <c r="J49" s="983"/>
      <c r="K49" s="120"/>
      <c r="L49" s="90"/>
      <c r="M49" s="90"/>
      <c r="N49" s="442"/>
      <c r="O49" s="442"/>
      <c r="P49" s="302"/>
      <c r="Q49" s="302"/>
      <c r="R49" s="302"/>
      <c r="U49" s="90"/>
      <c r="V49" s="90"/>
      <c r="W49" s="90"/>
      <c r="X49" s="90"/>
      <c r="Y49" s="90"/>
      <c r="Z49" s="90"/>
      <c r="AA49" s="90"/>
      <c r="AB49" s="90"/>
      <c r="AC49" s="90"/>
      <c r="AD49" s="90"/>
      <c r="AE49" s="90"/>
      <c r="AF49" s="90"/>
      <c r="AG49" s="90"/>
    </row>
    <row r="50" spans="3:33" ht="15" customHeight="1">
      <c r="C50" s="969" t="str">
        <f>IF(Indice_index!$Z$1=1,"Passivos financeiros líquidos de amortizações","Financial liabilities net of amortizations")</f>
        <v>Financial liabilities net of amortizations</v>
      </c>
      <c r="D50" s="969">
        <v>0</v>
      </c>
      <c r="E50" s="969">
        <v>0</v>
      </c>
      <c r="F50" s="969">
        <v>0</v>
      </c>
      <c r="G50" s="969">
        <v>0</v>
      </c>
      <c r="H50" s="970"/>
      <c r="I50" s="970"/>
      <c r="J50" s="983"/>
      <c r="K50" s="120"/>
      <c r="L50" s="90"/>
      <c r="M50" s="90"/>
      <c r="N50" s="442"/>
      <c r="O50" s="442"/>
      <c r="P50" s="302"/>
      <c r="Q50" s="302"/>
      <c r="R50" s="302"/>
      <c r="U50" s="90"/>
      <c r="V50" s="90"/>
      <c r="W50" s="90"/>
      <c r="X50" s="90"/>
      <c r="Y50" s="90"/>
      <c r="Z50" s="90"/>
      <c r="AA50" s="90"/>
      <c r="AB50" s="90"/>
      <c r="AC50" s="90"/>
      <c r="AD50" s="90"/>
      <c r="AE50" s="90"/>
      <c r="AF50" s="90"/>
      <c r="AG50" s="90"/>
    </row>
    <row r="51" spans="3:33" ht="15" customHeight="1">
      <c r="C51" s="964" t="str">
        <f>IF(Indice_index!$Z$1=1,"Poupança (+) / Utilização (-) de saldo da gerência anterior","Saving (+) / Usage (-) of balance from previous management")</f>
        <v>Saving (+) / Usage (-) of balance from previous management</v>
      </c>
      <c r="D51" s="964">
        <f>D47-D49+D50</f>
        <v>207.45565440999769</v>
      </c>
      <c r="E51" s="964">
        <f>E47-E49+E50</f>
        <v>7.3896444519050419E-13</v>
      </c>
      <c r="F51" s="964">
        <f t="shared" ref="F51:G51" si="20">F47-F49+F50</f>
        <v>207.45565440999769</v>
      </c>
      <c r="G51" s="964">
        <f t="shared" si="20"/>
        <v>-136.55575813999872</v>
      </c>
      <c r="H51" s="984"/>
      <c r="I51" s="984"/>
      <c r="J51" s="964"/>
      <c r="K51" s="120"/>
      <c r="L51" s="90"/>
      <c r="M51" s="90"/>
      <c r="N51" s="442"/>
      <c r="O51" s="442"/>
      <c r="P51" s="302"/>
      <c r="Q51" s="302"/>
      <c r="R51" s="302"/>
      <c r="U51" s="90"/>
      <c r="V51" s="90"/>
      <c r="W51" s="90"/>
      <c r="X51" s="90"/>
      <c r="Y51" s="90"/>
      <c r="Z51" s="90"/>
      <c r="AA51" s="90"/>
      <c r="AB51" s="90"/>
      <c r="AC51" s="90"/>
      <c r="AD51" s="90"/>
      <c r="AE51" s="90"/>
      <c r="AF51" s="90"/>
      <c r="AG51" s="90"/>
    </row>
    <row r="52" spans="3:33" ht="4.5" customHeight="1">
      <c r="C52" s="969"/>
      <c r="D52" s="969"/>
      <c r="E52" s="969"/>
      <c r="F52" s="969"/>
      <c r="G52" s="969"/>
      <c r="H52" s="983"/>
      <c r="I52" s="983"/>
      <c r="J52" s="983"/>
      <c r="K52" s="112"/>
      <c r="L52" s="90"/>
      <c r="M52" s="90"/>
      <c r="N52" s="90"/>
      <c r="O52" s="90"/>
      <c r="U52" s="90"/>
      <c r="V52" s="90"/>
      <c r="W52" s="90"/>
      <c r="X52" s="90"/>
      <c r="Y52" s="90"/>
      <c r="Z52" s="90"/>
      <c r="AA52" s="90"/>
      <c r="AB52" s="90"/>
      <c r="AC52" s="90"/>
      <c r="AD52" s="90"/>
      <c r="AE52" s="90"/>
      <c r="AF52" s="90"/>
      <c r="AG52" s="90"/>
    </row>
    <row r="53" spans="3:33" ht="15" customHeight="1">
      <c r="C53" s="732" t="str">
        <f>IF(Indice_index!$Z$1=1,"Notas:","Notes:")</f>
        <v>Notes:</v>
      </c>
      <c r="D53" s="732"/>
      <c r="E53" s="732"/>
      <c r="F53" s="969"/>
      <c r="G53" s="969"/>
      <c r="H53" s="983"/>
      <c r="I53" s="983"/>
      <c r="J53" s="983"/>
      <c r="K53" s="112"/>
      <c r="L53" s="90"/>
      <c r="M53" s="90"/>
      <c r="N53" s="90"/>
      <c r="O53" s="90"/>
      <c r="U53" s="90"/>
      <c r="V53" s="90"/>
      <c r="W53" s="90"/>
      <c r="X53" s="90"/>
      <c r="Y53" s="90"/>
      <c r="Z53" s="90"/>
      <c r="AA53" s="90"/>
      <c r="AB53" s="90"/>
      <c r="AC53" s="90"/>
      <c r="AD53" s="90"/>
      <c r="AE53" s="90"/>
      <c r="AF53" s="90"/>
      <c r="AG53" s="90"/>
    </row>
    <row r="54" spans="3:33" s="23" customFormat="1" ht="15" customHeight="1">
      <c r="C54" s="1582" t="str">
        <f>+'4 - Conta AC + SS'!$C$65</f>
        <v>2020 accumulated execution was updated with the final execution.</v>
      </c>
      <c r="D54" s="1582"/>
      <c r="E54" s="1582"/>
      <c r="F54" s="1582"/>
      <c r="G54" s="1582"/>
      <c r="H54" s="1582"/>
      <c r="I54" s="1582"/>
      <c r="J54" s="1582"/>
      <c r="K54" s="65"/>
      <c r="R54" s="25"/>
      <c r="S54" s="25"/>
    </row>
    <row r="55" spans="3:33" ht="4.5" customHeight="1">
      <c r="C55" s="969"/>
      <c r="D55" s="969"/>
      <c r="E55" s="969"/>
      <c r="F55" s="969"/>
      <c r="G55" s="969"/>
      <c r="H55" s="983"/>
      <c r="I55" s="983"/>
      <c r="J55" s="983"/>
      <c r="K55" s="112"/>
      <c r="L55" s="90"/>
      <c r="M55" s="90"/>
      <c r="N55" s="90"/>
      <c r="O55" s="90"/>
      <c r="U55" s="90"/>
      <c r="V55" s="90"/>
      <c r="W55" s="90"/>
      <c r="X55" s="90"/>
      <c r="Y55" s="90"/>
      <c r="Z55" s="90"/>
      <c r="AA55" s="90"/>
      <c r="AB55" s="90"/>
      <c r="AC55" s="90"/>
      <c r="AD55" s="90"/>
      <c r="AE55" s="90"/>
      <c r="AF55" s="90"/>
      <c r="AG55" s="90"/>
    </row>
    <row r="56" spans="3:33" ht="15" customHeight="1">
      <c r="C56" s="718" t="str">
        <f>IF(Indice_index!$Z$1=1,"Fonte: Direção-Geral do Orçamento","Source: Budget General Directorate")</f>
        <v>Source: Budget General Directorate</v>
      </c>
      <c r="D56" s="718"/>
      <c r="E56" s="718"/>
      <c r="G56" s="985"/>
    </row>
    <row r="59" spans="3:33">
      <c r="F59" s="90"/>
      <c r="G59" s="124"/>
    </row>
    <row r="60" spans="3:33">
      <c r="F60" s="90"/>
      <c r="G60" s="124"/>
    </row>
    <row r="61" spans="3:33">
      <c r="F61" s="90"/>
      <c r="G61" s="124"/>
    </row>
    <row r="97" spans="3:11" ht="12" customHeight="1">
      <c r="C97" s="119"/>
      <c r="D97" s="478"/>
      <c r="E97" s="447"/>
      <c r="F97" s="119"/>
      <c r="G97" s="119"/>
      <c r="H97" s="391"/>
      <c r="I97" s="119"/>
      <c r="J97" s="391"/>
      <c r="K97" s="119"/>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6:E6 J5 I6:J6" unlockedFormula="1"/>
    <ignoredError sqref="D7:E7 I7:J7" numberStoredAsText="1" unlockedFormula="1"/>
    <ignoredError sqref="F7:H7" numberStoredAsText="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6"/>
  <dimension ref="B1:S112"/>
  <sheetViews>
    <sheetView showGridLines="0" zoomScaleNormal="100" zoomScaleSheetLayoutView="100" workbookViewId="0">
      <selection activeCell="B2" sqref="B2"/>
    </sheetView>
  </sheetViews>
  <sheetFormatPr defaultColWidth="9.140625" defaultRowHeight="11.25"/>
  <cols>
    <col min="1" max="1" width="2.140625" style="126" customWidth="1"/>
    <col min="2" max="2" width="4.42578125" style="126" customWidth="1"/>
    <col min="3" max="3" width="63.42578125" style="126" customWidth="1"/>
    <col min="4" max="4" width="11.5703125" style="126" hidden="1" customWidth="1"/>
    <col min="5" max="5" width="9.42578125" style="126" customWidth="1"/>
    <col min="6" max="7" width="9.42578125" style="127" customWidth="1"/>
    <col min="8" max="10" width="9.42578125" style="126" customWidth="1"/>
    <col min="11" max="11" width="8.5703125" style="126" customWidth="1"/>
    <col min="12" max="13" width="11.5703125" style="126" customWidth="1"/>
    <col min="14" max="16" width="8.5703125" style="126" customWidth="1"/>
    <col min="17" max="16384" width="9.140625" style="126"/>
  </cols>
  <sheetData>
    <row r="1" spans="2:16" s="52" customFormat="1" ht="15" customHeight="1">
      <c r="B1" s="51"/>
      <c r="C1" s="51"/>
      <c r="D1" s="51"/>
      <c r="E1" s="51"/>
      <c r="F1" s="125"/>
    </row>
    <row r="2" spans="2:16" ht="24" customHeight="1">
      <c r="B2" s="8"/>
      <c r="C2" s="53" t="str">
        <f>IF(Indice_index!$Z$1=1,"11 - Execução Orçamental da Segurança Social","11 - Social Security Budget Execution")</f>
        <v>11 - Social Security Budget Execution</v>
      </c>
      <c r="D2" s="53"/>
      <c r="E2" s="53"/>
      <c r="F2" s="53"/>
      <c r="G2" s="53"/>
      <c r="H2" s="53"/>
      <c r="I2" s="53"/>
      <c r="J2" s="53"/>
    </row>
    <row r="3" spans="2:16" ht="15" customHeight="1">
      <c r="H3" s="128"/>
      <c r="I3" s="128"/>
      <c r="J3" s="128"/>
    </row>
    <row r="4" spans="2:16" ht="15" customHeight="1">
      <c r="H4" s="128"/>
      <c r="I4" s="128"/>
      <c r="J4" s="128"/>
      <c r="K4" s="129"/>
    </row>
    <row r="5" spans="2:16" s="303" customFormat="1" ht="15" customHeight="1">
      <c r="C5" s="699" t="str">
        <f>+'4 - Conta AC + SS'!C5</f>
        <v>Period: January to December</v>
      </c>
      <c r="D5" s="699"/>
      <c r="E5" s="699"/>
      <c r="F5" s="986"/>
      <c r="G5" s="986"/>
      <c r="J5" s="987" t="str">
        <f>IF(Indice_index!$Z$1=1,"€ Milhões","€ Millions")</f>
        <v>€ Millions</v>
      </c>
    </row>
    <row r="6" spans="2:16" s="130" customFormat="1" ht="26.25" customHeight="1">
      <c r="C6" s="988"/>
      <c r="D6" s="703" t="str">
        <f>IF(Indice_index!$Z$1=1,"CGE","Final execution")</f>
        <v>Final execution</v>
      </c>
      <c r="E6" s="703" t="str">
        <f>IF(Indice_index!$Z$1=1,"Orçamento Inicial","Budget")</f>
        <v>Budget</v>
      </c>
      <c r="F6" s="1609" t="str">
        <f>IF(Indice_index!$Z$1=1,"Execução Acumulada","Accumulated Execution")</f>
        <v>Accumulated Execution</v>
      </c>
      <c r="G6" s="1609"/>
      <c r="H6" s="989" t="str">
        <f>IF(Indice_index!$Z$1=1,"Grau de Execução (%)","Execution Degree (%)")</f>
        <v>Execution Degree (%)</v>
      </c>
      <c r="I6" s="1587" t="str">
        <f>IF(Indice_index!$Z$1=1,"Variação Homóloga Acumulada","YOY Change Rate")</f>
        <v>YOY Change Rate</v>
      </c>
      <c r="J6" s="1588"/>
    </row>
    <row r="7" spans="2:16" ht="33" customHeight="1">
      <c r="C7" s="990"/>
      <c r="D7" s="705" t="s">
        <v>66</v>
      </c>
      <c r="E7" s="705" t="s">
        <v>83</v>
      </c>
      <c r="F7" s="965" t="s">
        <v>66</v>
      </c>
      <c r="G7" s="965" t="s">
        <v>83</v>
      </c>
      <c r="H7" s="709" t="s">
        <v>83</v>
      </c>
      <c r="I7" s="709" t="str">
        <f>IF(Indice_index!$Z$1=1,"Relativa (%)","Relative change (%)")</f>
        <v>Relative change (%)</v>
      </c>
      <c r="J7" s="710" t="str">
        <f>IF(Indice_index!$Z$1=1,"Contributo VHA (p.p.)","YOY Change Rate Contrib. (p.p.)")</f>
        <v>YOY Change Rate Contrib. (p.p.)</v>
      </c>
    </row>
    <row r="8" spans="2:16" ht="4.5" customHeight="1">
      <c r="C8" s="511"/>
      <c r="D8" s="511"/>
      <c r="E8" s="511"/>
      <c r="F8" s="58"/>
      <c r="G8" s="58"/>
      <c r="H8" s="511"/>
      <c r="I8" s="511"/>
      <c r="J8" s="58"/>
      <c r="L8" s="99"/>
    </row>
    <row r="9" spans="2:16" s="304" customFormat="1" ht="15" customHeight="1">
      <c r="C9" s="935" t="str">
        <f>IF(Indice_index!$Z$1=1,"Receita corrente","Current revenue")</f>
        <v>Current revenue</v>
      </c>
      <c r="D9" s="991">
        <f>+SUM(D10:D12)+SUM(D23:D27)</f>
        <v>32144.811100200004</v>
      </c>
      <c r="E9" s="991">
        <f>+SUM(E10:E12)+SUM(E23:E27)</f>
        <v>31668.112096000001</v>
      </c>
      <c r="F9" s="991">
        <f t="shared" ref="F9:G9" si="0">+SUM(F10:F12)+SUM(F23:F27)</f>
        <v>32144.811100200004</v>
      </c>
      <c r="G9" s="991">
        <f t="shared" si="0"/>
        <v>33479.182356110003</v>
      </c>
      <c r="H9" s="992">
        <f>IFERROR(IF(G9/E9*100&lt;-500,"-",IF(G9/E9*100&gt;500,"-",G9/E9*100)),"-")</f>
        <v>105.71890820210517</v>
      </c>
      <c r="I9" s="992">
        <f>IF(IFERROR((G9-F9)/F9*100,"")&gt;500,"-",IFERROR((G9-F9)/F9*100,""))</f>
        <v>4.1511248946231829</v>
      </c>
      <c r="J9" s="992">
        <f>IFERROR((G9-F9)/$F$32*100,"-")</f>
        <v>4.1509948932555565</v>
      </c>
      <c r="K9" s="305"/>
      <c r="L9" s="305"/>
      <c r="M9" s="305"/>
      <c r="O9" s="495"/>
      <c r="P9" s="495"/>
    </row>
    <row r="10" spans="2:16" s="130" customFormat="1" ht="15" customHeight="1">
      <c r="C10" s="713" t="str">
        <f>IF(Indice_index!$Z$1=1,"Impostos Indiretos","Indirect taxes")</f>
        <v>Indirect taxes</v>
      </c>
      <c r="D10" s="993">
        <v>203.94357764000003</v>
      </c>
      <c r="E10" s="993">
        <v>226.59508600000001</v>
      </c>
      <c r="F10" s="993">
        <v>203.94357764000003</v>
      </c>
      <c r="G10" s="993">
        <v>212.25092951000002</v>
      </c>
      <c r="H10" s="994">
        <f t="shared" ref="H10:H30" si="1">IFERROR(IF(G10/E10*100&lt;-500,"-",IF(G10/E10*100&gt;500,"-",G10/E10*100)),"-")</f>
        <v>93.669696574973386</v>
      </c>
      <c r="I10" s="994">
        <f>IF(IFERROR((G10-F10)/F10*100,"")&gt;500,"-",IFERROR((G10-F10)/F10*100,""))</f>
        <v>4.0733579189554465</v>
      </c>
      <c r="J10" s="994">
        <f>IFERROR((G10-F10)/$F$32*100,"-")</f>
        <v>2.5842714339144042E-2</v>
      </c>
      <c r="K10" s="223"/>
      <c r="L10" s="223"/>
      <c r="M10" s="223"/>
      <c r="O10" s="495"/>
      <c r="P10" s="495"/>
    </row>
    <row r="11" spans="2:16" ht="15" customHeight="1">
      <c r="C11" s="995" t="str">
        <f>IF(Indice_index!$Z$1=1,"Contribuições e quotizações","Contributions and membership fees")</f>
        <v>Contributions and membership fees</v>
      </c>
      <c r="D11" s="993">
        <v>18229.902709180005</v>
      </c>
      <c r="E11" s="993">
        <v>18928.074057000002</v>
      </c>
      <c r="F11" s="993">
        <v>18229.902709180005</v>
      </c>
      <c r="G11" s="993">
        <v>19943.29537132</v>
      </c>
      <c r="H11" s="994">
        <f t="shared" si="1"/>
        <v>105.36357429320469</v>
      </c>
      <c r="I11" s="994">
        <f>IF(IFERROR((G11-F11)/F11*100,"")&gt;500,"-",IFERROR((G11-F11)/F11*100,""))</f>
        <v>9.3988031064871489</v>
      </c>
      <c r="J11" s="994">
        <f>IFERROR((G11-F11)/$F$32*100,"-")</f>
        <v>5.330063997694789</v>
      </c>
      <c r="K11" s="223"/>
      <c r="L11" s="223"/>
      <c r="M11" s="223"/>
      <c r="O11" s="495"/>
      <c r="P11" s="495"/>
    </row>
    <row r="12" spans="2:16" ht="15" customHeight="1">
      <c r="C12" s="995" t="str">
        <f>IF(Indice_index!$Z$1=1,"Transferências correntes da Administração Central","Central Government current transfers")</f>
        <v>Central Government current transfers</v>
      </c>
      <c r="D12" s="993">
        <v>11903.637022019999</v>
      </c>
      <c r="E12" s="993">
        <v>10043.470407999999</v>
      </c>
      <c r="F12" s="993">
        <v>11903.637022019999</v>
      </c>
      <c r="G12" s="993">
        <v>10871.419801169997</v>
      </c>
      <c r="H12" s="994">
        <f>IFERROR(IF(G12/E12*100&lt;-500,"-",IF(G12/E12*100&gt;500,"-",G12/E12*100)),"-")</f>
        <v>108.24365841224071</v>
      </c>
      <c r="I12" s="994">
        <f t="shared" ref="I12:I30" si="2">IF(IFERROR((G12-F12)/F12*100,"")&gt;500,"-",IFERROR((G12-F12)/F12*100,""))</f>
        <v>-8.6714440211890658</v>
      </c>
      <c r="J12" s="994">
        <f>IFERROR((G12-F12)/$F$32*100,"-")</f>
        <v>-3.2110466959637494</v>
      </c>
      <c r="K12" s="223"/>
      <c r="L12" s="223"/>
      <c r="M12" s="223"/>
      <c r="O12" s="495"/>
      <c r="P12" s="495"/>
    </row>
    <row r="13" spans="2:16" ht="15" customHeight="1">
      <c r="C13" s="996" t="str">
        <f>IF(Indice_index!$Z$1=1,"dos quais:","of which:")</f>
        <v>of which:</v>
      </c>
      <c r="D13" s="993"/>
      <c r="E13" s="993"/>
      <c r="F13" s="993"/>
      <c r="G13" s="993"/>
      <c r="H13" s="994"/>
      <c r="I13" s="994"/>
      <c r="J13" s="994"/>
      <c r="K13" s="223"/>
      <c r="L13" s="223"/>
      <c r="M13" s="223"/>
      <c r="O13" s="495"/>
      <c r="P13" s="495"/>
    </row>
    <row r="14" spans="2:16" ht="15" customHeight="1">
      <c r="C14" s="997" t="str">
        <f>IF(Indice_index!$Z$1=1,"Transferências do OE","State Budget transfers")</f>
        <v>State Budget transfers</v>
      </c>
      <c r="D14" s="993">
        <f>SUM(D15:D22)</f>
        <v>11553.245489090001</v>
      </c>
      <c r="E14" s="993">
        <f>SUM(E15:E22)</f>
        <v>9674.9723420000009</v>
      </c>
      <c r="F14" s="993">
        <f>SUM(F15:F22)</f>
        <v>11553.245489090001</v>
      </c>
      <c r="G14" s="993">
        <f t="shared" ref="G14" si="3">SUM(G15:G22)</f>
        <v>10519.713074420002</v>
      </c>
      <c r="H14" s="994">
        <f t="shared" si="1"/>
        <v>108.73119532086825</v>
      </c>
      <c r="I14" s="994">
        <f t="shared" si="2"/>
        <v>-8.9458188666205292</v>
      </c>
      <c r="J14" s="994">
        <f t="shared" ref="J14:J30" si="4">IFERROR((G14-F14)/$F$32*100,"-")</f>
        <v>-3.2151380332181074</v>
      </c>
      <c r="K14" s="223"/>
      <c r="L14" s="223"/>
      <c r="M14" s="223"/>
      <c r="O14" s="495"/>
      <c r="P14" s="495"/>
    </row>
    <row r="15" spans="2:16" ht="15" customHeight="1">
      <c r="C15" s="998" t="str">
        <f>IF(Indice_index!$Z$1=1,"Financiamento da Lei de Bases da Segurança Social","Social Security Framework Law financing")</f>
        <v>Social Security Framework Law financing</v>
      </c>
      <c r="D15" s="993">
        <v>7106.9465719999998</v>
      </c>
      <c r="E15" s="993">
        <v>7034.235584</v>
      </c>
      <c r="F15" s="993">
        <v>7106.9465719999998</v>
      </c>
      <c r="G15" s="993">
        <v>7034.2355838800004</v>
      </c>
      <c r="H15" s="994">
        <f t="shared" si="1"/>
        <v>99.999999998294058</v>
      </c>
      <c r="I15" s="994">
        <f t="shared" si="2"/>
        <v>-1.0230974354931377</v>
      </c>
      <c r="J15" s="994">
        <f t="shared" si="4"/>
        <v>-0.2261911286179869</v>
      </c>
      <c r="K15" s="223"/>
      <c r="L15" s="223"/>
      <c r="M15" s="223"/>
      <c r="O15" s="495"/>
      <c r="P15" s="495"/>
    </row>
    <row r="16" spans="2:16" ht="15" customHeight="1">
      <c r="C16" s="999" t="str">
        <f>IF(Indice_index!$Z$1=1,"Medidas excecionais e temporárias (COVID-19)","Exceptional and temporary measures (COVID-19)")</f>
        <v>Exceptional and temporary measures (COVID-19)</v>
      </c>
      <c r="D16" s="993">
        <v>2492.4</v>
      </c>
      <c r="E16" s="993">
        <v>647</v>
      </c>
      <c r="F16" s="993">
        <v>2492.4</v>
      </c>
      <c r="G16" s="993">
        <v>1545.4616489699999</v>
      </c>
      <c r="H16" s="994">
        <f t="shared" si="1"/>
        <v>238.86578809428127</v>
      </c>
      <c r="I16" s="994">
        <f t="shared" si="2"/>
        <v>-37.993032861097745</v>
      </c>
      <c r="J16" s="994">
        <f t="shared" si="4"/>
        <v>-2.9457590921146841</v>
      </c>
      <c r="K16" s="223"/>
      <c r="L16" s="223"/>
      <c r="M16" s="223"/>
      <c r="O16" s="495"/>
      <c r="P16" s="495"/>
    </row>
    <row r="17" spans="2:16" ht="15" customHeight="1">
      <c r="C17" s="998" t="str">
        <f>IF(Indice_index!$Z$1=1,"Restantes transferências ao abrigo da LBSS","Other transfers of Social Security Framework Law financing")</f>
        <v>Other transfers of Social Security Framework Law financing</v>
      </c>
      <c r="D17" s="993">
        <v>116.330714</v>
      </c>
      <c r="E17" s="993">
        <v>103.678364</v>
      </c>
      <c r="F17" s="993">
        <v>116.330714</v>
      </c>
      <c r="G17" s="993">
        <v>103.67836415000001</v>
      </c>
      <c r="H17" s="994">
        <f t="shared" si="1"/>
        <v>100.00000014467822</v>
      </c>
      <c r="I17" s="994">
        <f t="shared" si="2"/>
        <v>-10.876190315482798</v>
      </c>
      <c r="J17" s="994">
        <f t="shared" si="4"/>
        <v>-3.9359240827782846E-2</v>
      </c>
      <c r="K17" s="223"/>
      <c r="L17" s="223"/>
      <c r="M17" s="223"/>
      <c r="O17" s="495"/>
      <c r="P17" s="495"/>
    </row>
    <row r="18" spans="2:16" ht="15" customHeight="1">
      <c r="C18" s="998" t="str">
        <f>IF(Indice_index!$Z$1=1,"IVA Social","Social tax")</f>
        <v>Social tax</v>
      </c>
      <c r="D18" s="993">
        <v>883.41742799999997</v>
      </c>
      <c r="E18" s="993">
        <v>915.22045500000002</v>
      </c>
      <c r="F18" s="993">
        <v>883.41742799999997</v>
      </c>
      <c r="G18" s="993">
        <v>915.22045500000002</v>
      </c>
      <c r="H18" s="994">
        <f t="shared" si="1"/>
        <v>100</v>
      </c>
      <c r="I18" s="994">
        <f t="shared" si="2"/>
        <v>3.5999999538157224</v>
      </c>
      <c r="J18" s="994">
        <f t="shared" si="4"/>
        <v>9.8933637908019317E-2</v>
      </c>
      <c r="K18" s="223"/>
      <c r="L18" s="223"/>
      <c r="M18" s="223"/>
      <c r="O18" s="495"/>
      <c r="P18" s="495"/>
    </row>
    <row r="19" spans="2:16" ht="15" customHeight="1">
      <c r="C19" s="998" t="str">
        <f>IF(Indice_index!$Z$1=1,"Adicional ao IMI","Additional to the real estate municipal tax")</f>
        <v>Additional to the real estate municipal tax</v>
      </c>
      <c r="D19" s="993">
        <v>303.80828100000002</v>
      </c>
      <c r="E19" s="993">
        <v>140</v>
      </c>
      <c r="F19" s="993">
        <v>303.80828100000002</v>
      </c>
      <c r="G19" s="993">
        <v>128.194097</v>
      </c>
      <c r="H19" s="994">
        <f t="shared" si="1"/>
        <v>91.567212142857144</v>
      </c>
      <c r="I19" s="994">
        <f t="shared" si="2"/>
        <v>-57.804278218472923</v>
      </c>
      <c r="J19" s="994">
        <f t="shared" si="4"/>
        <v>-0.54630491906849799</v>
      </c>
      <c r="K19" s="223"/>
      <c r="L19" s="223"/>
      <c r="M19" s="223"/>
      <c r="O19" s="495"/>
      <c r="P19" s="495"/>
    </row>
    <row r="20" spans="2:16" ht="15" customHeight="1">
      <c r="C20" s="998" t="str">
        <f>IF(Indice_index!$Z$1=1,"Consignação do IRC","Assignment of Corporate Income Tax")</f>
        <v>Assignment of Corporate Income Tax</v>
      </c>
      <c r="D20" s="993">
        <v>182.221915</v>
      </c>
      <c r="E20" s="993">
        <v>377</v>
      </c>
      <c r="F20" s="993">
        <v>182.221915</v>
      </c>
      <c r="G20" s="993">
        <v>337.30786999999998</v>
      </c>
      <c r="H20" s="994">
        <f t="shared" si="1"/>
        <v>89.47158355437665</v>
      </c>
      <c r="I20" s="994">
        <f t="shared" si="2"/>
        <v>85.108289527085688</v>
      </c>
      <c r="J20" s="994">
        <f t="shared" si="4"/>
        <v>0.48244519984180606</v>
      </c>
      <c r="K20" s="223"/>
      <c r="L20" s="223"/>
      <c r="M20" s="223"/>
      <c r="O20" s="495"/>
      <c r="P20" s="495"/>
    </row>
    <row r="21" spans="2:16" ht="15" customHeight="1">
      <c r="C21" s="998" t="str">
        <f>IF(Indice_index!$Z$1=1,"Adicional à Contribuição do Setor Bancário","Additional contribution on the Banking sector")</f>
        <v>Additional contribution on the Banking sector</v>
      </c>
      <c r="D21" s="993">
        <v>33</v>
      </c>
      <c r="E21" s="993">
        <v>33</v>
      </c>
      <c r="F21" s="993">
        <v>33</v>
      </c>
      <c r="G21" s="993">
        <v>33.939816999999998</v>
      </c>
      <c r="H21" s="994">
        <f t="shared" si="1"/>
        <v>102.8479303030303</v>
      </c>
      <c r="I21" s="994">
        <f t="shared" si="2"/>
        <v>2.8479303030302967</v>
      </c>
      <c r="J21" s="994">
        <f t="shared" si="4"/>
        <v>2.9236058183329736E-3</v>
      </c>
      <c r="K21" s="223"/>
      <c r="L21" s="223"/>
      <c r="M21" s="223"/>
      <c r="O21" s="495"/>
      <c r="P21" s="495"/>
    </row>
    <row r="22" spans="2:16" ht="15" customHeight="1">
      <c r="C22" s="998" t="str">
        <f>IF(Indice_index!$Z$1=1,"Pensões Bancários","Old age pension scheme from Banking regime")</f>
        <v>Old age pension scheme from Banking regime</v>
      </c>
      <c r="D22" s="993">
        <v>435.12057909000004</v>
      </c>
      <c r="E22" s="993">
        <v>424.83793900000001</v>
      </c>
      <c r="F22" s="993">
        <v>435.12057909000004</v>
      </c>
      <c r="G22" s="993">
        <v>421.67523842000008</v>
      </c>
      <c r="H22" s="994">
        <f t="shared" si="1"/>
        <v>99.255551284462868</v>
      </c>
      <c r="I22" s="994">
        <f t="shared" si="2"/>
        <v>-3.0900263780028951</v>
      </c>
      <c r="J22" s="994">
        <f t="shared" si="4"/>
        <v>-4.1826096157316695E-2</v>
      </c>
      <c r="K22" s="223"/>
      <c r="L22" s="223"/>
      <c r="M22" s="223"/>
      <c r="O22" s="495"/>
      <c r="P22" s="495"/>
    </row>
    <row r="23" spans="2:16" ht="15" customHeight="1">
      <c r="C23" s="1000" t="str">
        <f>IF(Indice_index!$Z$1=1,"Transferências do Fundo Social Europeu","European Social Fund")</f>
        <v>European Social Fund</v>
      </c>
      <c r="D23" s="993">
        <v>967.72615346000009</v>
      </c>
      <c r="E23" s="993">
        <v>1589.4614979999999</v>
      </c>
      <c r="F23" s="993">
        <v>967.72615346000009</v>
      </c>
      <c r="G23" s="993">
        <v>1322.4853037600003</v>
      </c>
      <c r="H23" s="994">
        <f t="shared" si="1"/>
        <v>83.203355691475849</v>
      </c>
      <c r="I23" s="994">
        <f t="shared" si="2"/>
        <v>36.65904337002749</v>
      </c>
      <c r="J23" s="994">
        <f t="shared" si="4"/>
        <v>1.1035934824800411</v>
      </c>
      <c r="K23" s="223"/>
      <c r="L23" s="223"/>
      <c r="M23" s="223"/>
      <c r="O23" s="495"/>
      <c r="P23" s="495"/>
    </row>
    <row r="24" spans="2:16" ht="15" customHeight="1">
      <c r="C24" s="1000" t="str">
        <f>IF(Indice_index!$Z$1=1,"Transferências do Fundo Europeu de Auxílio às Pessoas Mais Carenciadas - FEAC","Fund for European Aid to the Most Deprived")</f>
        <v>Fund for European Aid to the Most Deprived</v>
      </c>
      <c r="D24" s="993">
        <v>28.5</v>
      </c>
      <c r="E24" s="993">
        <v>98.019366000000005</v>
      </c>
      <c r="F24" s="993">
        <v>28.5</v>
      </c>
      <c r="G24" s="993">
        <v>27</v>
      </c>
      <c r="H24" s="994">
        <f t="shared" si="1"/>
        <v>27.545577064842469</v>
      </c>
      <c r="I24" s="994">
        <f t="shared" si="2"/>
        <v>-5.2631578947368416</v>
      </c>
      <c r="J24" s="994">
        <f t="shared" si="4"/>
        <v>-4.6662368604733365E-3</v>
      </c>
      <c r="K24" s="223"/>
      <c r="L24" s="223"/>
      <c r="M24" s="223"/>
      <c r="O24" s="495"/>
      <c r="P24" s="495"/>
    </row>
    <row r="25" spans="2:16" ht="15" customHeight="1">
      <c r="C25" s="1000" t="str">
        <f>IF(Indice_index!$Z$1=1,"Transferências da União Europeia - Plano de Recuperação e Resiliência","Recovery and Resilience Plan")</f>
        <v>Recovery and Resilience Plan</v>
      </c>
      <c r="D25" s="993">
        <v>0</v>
      </c>
      <c r="E25" s="993">
        <v>0</v>
      </c>
      <c r="F25" s="993">
        <v>0</v>
      </c>
      <c r="G25" s="993">
        <v>23.520710100000002</v>
      </c>
      <c r="H25" s="994" t="str">
        <f t="shared" ref="H25" si="5">IFERROR(IF(G25/E25*100&lt;-500,"-",IF(G25/E25*100&gt;500,"-",G25/E25*100)),"-")</f>
        <v>-</v>
      </c>
      <c r="I25" s="994" t="str">
        <f t="shared" ref="I25" si="6">IF(IFERROR((G25-F25)/F25*100,"")&gt;500,"-",IFERROR((G25-F25)/F25*100,""))</f>
        <v>-</v>
      </c>
      <c r="J25" s="994">
        <f t="shared" si="4"/>
        <v>7.3168802968751681E-2</v>
      </c>
      <c r="K25" s="223"/>
      <c r="L25" s="223"/>
      <c r="M25" s="223"/>
      <c r="O25" s="495"/>
      <c r="P25" s="495"/>
    </row>
    <row r="26" spans="2:16" ht="15" customHeight="1">
      <c r="C26" s="1000" t="str">
        <f>IF(Indice_index!$Z$1=1,"Outras transferências","Other transfers")</f>
        <v>Other transfers</v>
      </c>
      <c r="D26" s="993">
        <v>1.9535120999999995</v>
      </c>
      <c r="E26" s="993">
        <v>1.72</v>
      </c>
      <c r="F26" s="993">
        <v>1.9535120999999995</v>
      </c>
      <c r="G26" s="993">
        <v>2.1323529399999996</v>
      </c>
      <c r="H26" s="994">
        <f t="shared" si="1"/>
        <v>123.97400813953487</v>
      </c>
      <c r="I26" s="994">
        <f t="shared" si="2"/>
        <v>9.1548365633363709</v>
      </c>
      <c r="J26" s="994">
        <f t="shared" si="4"/>
        <v>5.5634247984400994E-4</v>
      </c>
      <c r="K26" s="223"/>
      <c r="L26" s="223"/>
      <c r="M26" s="223"/>
      <c r="O26" s="495"/>
      <c r="P26" s="495"/>
    </row>
    <row r="27" spans="2:16" ht="15" customHeight="1">
      <c r="B27" s="131"/>
      <c r="C27" s="995" t="str">
        <f>IF(Indice_index!$Z$1=1,"Restantes receitas correntes","Other current revenue")</f>
        <v>Other current revenue</v>
      </c>
      <c r="D27" s="993">
        <v>809.1481258</v>
      </c>
      <c r="E27" s="993">
        <v>780.77168099999994</v>
      </c>
      <c r="F27" s="993">
        <v>809.1481258</v>
      </c>
      <c r="G27" s="993">
        <v>1077.0778873100001</v>
      </c>
      <c r="H27" s="994">
        <f t="shared" si="1"/>
        <v>137.95042949438124</v>
      </c>
      <c r="I27" s="994">
        <f t="shared" si="2"/>
        <v>33.112572712826768</v>
      </c>
      <c r="J27" s="994">
        <f t="shared" si="4"/>
        <v>0.83348248611719511</v>
      </c>
      <c r="K27" s="223"/>
      <c r="L27" s="223"/>
      <c r="M27" s="223"/>
      <c r="O27" s="495"/>
      <c r="P27" s="495"/>
    </row>
    <row r="28" spans="2:16" s="304" customFormat="1" ht="15" customHeight="1">
      <c r="C28" s="935" t="str">
        <f>IF(Indice_index!$Z$1=1,"Receita de capital","Capital revenue")</f>
        <v>Capital revenue</v>
      </c>
      <c r="D28" s="991">
        <f>+D29+D30</f>
        <v>1.0067151400000001</v>
      </c>
      <c r="E28" s="991">
        <f>+E29+E30</f>
        <v>7.0625129999999992</v>
      </c>
      <c r="F28" s="991">
        <f t="shared" ref="F28:G28" si="7">+F29+F30</f>
        <v>1.0067151400000001</v>
      </c>
      <c r="G28" s="991">
        <f t="shared" si="7"/>
        <v>0.91545308999999986</v>
      </c>
      <c r="H28" s="992">
        <f t="shared" si="1"/>
        <v>12.962143786496391</v>
      </c>
      <c r="I28" s="992">
        <f t="shared" si="2"/>
        <v>-9.0653300396376473</v>
      </c>
      <c r="J28" s="992">
        <f t="shared" si="4"/>
        <v>-2.8390022778157443E-4</v>
      </c>
      <c r="K28" s="305"/>
      <c r="L28" s="305"/>
      <c r="M28" s="305"/>
      <c r="O28" s="495"/>
      <c r="P28" s="495"/>
    </row>
    <row r="29" spans="2:16" ht="15" customHeight="1">
      <c r="C29" s="995" t="str">
        <f>IF(Indice_index!$Z$1=1,"Transferências do Orçamento do Estado","State Budget transfers")</f>
        <v>State Budget transfers</v>
      </c>
      <c r="D29" s="993">
        <v>0.4355</v>
      </c>
      <c r="E29" s="993">
        <v>1.8776079999999999</v>
      </c>
      <c r="F29" s="993">
        <v>0.4355</v>
      </c>
      <c r="G29" s="993">
        <v>0.29749999999999999</v>
      </c>
      <c r="H29" s="994">
        <f t="shared" si="1"/>
        <v>15.844627845641901</v>
      </c>
      <c r="I29" s="994">
        <f t="shared" si="2"/>
        <v>-31.687715269804823</v>
      </c>
      <c r="J29" s="994">
        <f t="shared" si="4"/>
        <v>-4.2929379116354703E-4</v>
      </c>
      <c r="K29" s="223"/>
      <c r="L29" s="223"/>
      <c r="M29" s="223"/>
      <c r="O29" s="495"/>
      <c r="P29" s="495"/>
    </row>
    <row r="30" spans="2:16" ht="15" customHeight="1">
      <c r="C30" s="995" t="str">
        <f>IF(Indice_index!$Z$1=1,"Restantes receitas de capital","Other capital revenue")</f>
        <v>Other capital revenue</v>
      </c>
      <c r="D30" s="993">
        <v>0.57121514000000007</v>
      </c>
      <c r="E30" s="993">
        <v>5.1849049999999997</v>
      </c>
      <c r="F30" s="993">
        <v>0.57121514000000007</v>
      </c>
      <c r="G30" s="993">
        <v>0.61795308999999987</v>
      </c>
      <c r="H30" s="994">
        <f t="shared" si="1"/>
        <v>11.918310750148747</v>
      </c>
      <c r="I30" s="994">
        <f t="shared" si="2"/>
        <v>8.1821973416180462</v>
      </c>
      <c r="J30" s="994">
        <f t="shared" si="4"/>
        <v>1.4539356338197259E-4</v>
      </c>
      <c r="K30" s="223"/>
      <c r="L30" s="223"/>
      <c r="M30" s="223"/>
      <c r="O30" s="495"/>
      <c r="P30" s="495"/>
    </row>
    <row r="31" spans="2:16" ht="4.5" customHeight="1">
      <c r="C31" s="511"/>
      <c r="D31" s="993"/>
      <c r="E31" s="993"/>
      <c r="F31" s="993"/>
      <c r="G31" s="993"/>
      <c r="H31" s="994"/>
      <c r="I31" s="994"/>
      <c r="J31" s="511"/>
      <c r="K31" s="223"/>
      <c r="L31" s="223"/>
      <c r="M31" s="223"/>
      <c r="O31" s="495"/>
      <c r="P31" s="495"/>
    </row>
    <row r="32" spans="2:16" s="304" customFormat="1" ht="15" customHeight="1">
      <c r="C32" s="939" t="str">
        <f>IF(Indice_index!$Z$1=1,"Receita Efetiva","Effective revenue")</f>
        <v>Effective revenue</v>
      </c>
      <c r="D32" s="1001">
        <f>+D9+D28</f>
        <v>32145.817815340004</v>
      </c>
      <c r="E32" s="1001">
        <f>+E9+E28</f>
        <v>31675.174609000002</v>
      </c>
      <c r="F32" s="1001">
        <f t="shared" ref="F32:G32" si="8">+F9+F28</f>
        <v>32145.817815340004</v>
      </c>
      <c r="G32" s="1001">
        <f t="shared" si="8"/>
        <v>33480.0978092</v>
      </c>
      <c r="H32" s="1002">
        <f t="shared" ref="H32" si="9">IFERROR(IF(G32/E32*100&lt;-500,"-",IF(G32/E32*100&gt;500,"-",G32/E32*100)),"-")</f>
        <v>105.69822652117963</v>
      </c>
      <c r="I32" s="1002">
        <f t="shared" ref="I32" si="10">IF(IFERROR((G32-F32)/F32*100,"")&gt;500,"-",IFERROR((G32-F32)/F32*100,""))</f>
        <v>4.1507109930277686</v>
      </c>
      <c r="J32" s="1002"/>
      <c r="K32" s="305"/>
      <c r="L32" s="305"/>
      <c r="M32" s="305"/>
      <c r="O32" s="495"/>
      <c r="P32" s="495"/>
    </row>
    <row r="33" spans="3:16" ht="4.5" customHeight="1">
      <c r="C33" s="511"/>
      <c r="D33" s="993"/>
      <c r="E33" s="993"/>
      <c r="F33" s="993"/>
      <c r="G33" s="993"/>
      <c r="H33" s="994"/>
      <c r="I33" s="994"/>
      <c r="J33" s="994"/>
      <c r="K33" s="223"/>
      <c r="L33" s="223"/>
      <c r="M33" s="223"/>
      <c r="O33" s="495"/>
      <c r="P33" s="495"/>
    </row>
    <row r="34" spans="3:16" s="304" customFormat="1" ht="15" customHeight="1">
      <c r="C34" s="935" t="str">
        <f>IF(Indice_index!$Z$1=1,"Despesa Corrente","Current expenditure")</f>
        <v>Current expenditure</v>
      </c>
      <c r="D34" s="991">
        <f>+D35+D54+D55+D56+D57+D60+D61</f>
        <v>29980.910571410004</v>
      </c>
      <c r="E34" s="991">
        <f>+E35+E54+E55+E56+E57+E60+E61</f>
        <v>30681.279501000005</v>
      </c>
      <c r="F34" s="991">
        <f t="shared" ref="F34:G34" si="11">+F35+F54+F55+F56+F57+F60+F61</f>
        <v>29980.910571410004</v>
      </c>
      <c r="G34" s="991">
        <f t="shared" si="11"/>
        <v>31184.842428229989</v>
      </c>
      <c r="H34" s="992">
        <f t="shared" ref="H34" si="12">IFERROR(IF(G34/E34*100&lt;-500,"-",IF(G34/E34*100&gt;500,"-",G34/E34*100)),"-")</f>
        <v>101.64127094899538</v>
      </c>
      <c r="I34" s="992">
        <f t="shared" ref="I34" si="13">IF(IFERROR((G34-F34)/F34*100,"")&gt;500,"-",IFERROR((G34-F34)/F34*100,""))</f>
        <v>4.0156614121255627</v>
      </c>
      <c r="J34" s="992">
        <f>IFERROR((G34-F34)/$F$66*100,"-")</f>
        <v>4.0111948317402017</v>
      </c>
      <c r="K34" s="305"/>
      <c r="L34" s="305"/>
      <c r="M34" s="305"/>
      <c r="O34" s="495"/>
      <c r="P34" s="495"/>
    </row>
    <row r="35" spans="3:16" s="130" customFormat="1" ht="15" customHeight="1">
      <c r="C35" s="1003" t="str">
        <f>IF(Indice_index!$Z$1=1,"Prestações Sociais","Social Benefits")</f>
        <v>Social Benefits</v>
      </c>
      <c r="D35" s="1004">
        <f t="shared" ref="D35:G35" si="14">+D36+SUM(D42:D53)</f>
        <v>26918.763441519994</v>
      </c>
      <c r="E35" s="1004">
        <f t="shared" si="14"/>
        <v>26958.599260999999</v>
      </c>
      <c r="F35" s="1005">
        <f t="shared" si="14"/>
        <v>26918.763441519994</v>
      </c>
      <c r="G35" s="1005">
        <f t="shared" si="14"/>
        <v>27665.399541439998</v>
      </c>
      <c r="H35" s="1006">
        <f t="shared" ref="H35:H57" si="15">IFERROR(IF(G35/E35*100&lt;-500,"-",IF(G35/E35*100&gt;500,"-",G35/E35*100)),"-")</f>
        <v>102.62179897997335</v>
      </c>
      <c r="I35" s="1006">
        <f t="shared" ref="I35:I57" si="16">IF(IFERROR((G35-F35)/F35*100,"")&gt;500,"-",IFERROR((G35-F35)/F35*100,""))</f>
        <v>2.7736641823910047</v>
      </c>
      <c r="J35" s="1006">
        <f t="shared" ref="J35:J57" si="17">IFERROR((G35-F35)/$F$66*100,"-")</f>
        <v>2.4876016430866712</v>
      </c>
      <c r="K35" s="223"/>
      <c r="L35" s="223"/>
      <c r="M35" s="223"/>
      <c r="O35" s="495"/>
      <c r="P35" s="495"/>
    </row>
    <row r="36" spans="3:16" s="132" customFormat="1" ht="15" customHeight="1">
      <c r="C36" s="1003" t="str">
        <f>IF(Indice_index!$Z$1=1,"      Pensões","      Pensions")</f>
        <v xml:space="preserve">      Pensions</v>
      </c>
      <c r="D36" s="563">
        <f t="shared" ref="D36:G36" si="18">(SUM(D37:D41))</f>
        <v>17971.342795649995</v>
      </c>
      <c r="E36" s="563">
        <f t="shared" si="18"/>
        <v>18642.185348999999</v>
      </c>
      <c r="F36" s="563">
        <f t="shared" si="18"/>
        <v>17971.342795649995</v>
      </c>
      <c r="G36" s="563">
        <f t="shared" si="18"/>
        <v>18459.231703679998</v>
      </c>
      <c r="H36" s="994">
        <f t="shared" si="15"/>
        <v>99.018604085867992</v>
      </c>
      <c r="I36" s="994">
        <f t="shared" si="16"/>
        <v>2.7148161023788266</v>
      </c>
      <c r="J36" s="994">
        <f t="shared" si="17"/>
        <v>1.6255217895159806</v>
      </c>
      <c r="K36" s="223"/>
      <c r="L36" s="223"/>
      <c r="M36" s="223"/>
      <c r="O36" s="495"/>
      <c r="P36" s="495"/>
    </row>
    <row r="37" spans="3:16" s="132" customFormat="1" ht="15" customHeight="1">
      <c r="C37" s="1003" t="str">
        <f>IF(Indice_index!$Z$1=1,"            Sobrevivência","            Survival")</f>
        <v xml:space="preserve">            Survival</v>
      </c>
      <c r="D37" s="993">
        <v>2516.2578456200004</v>
      </c>
      <c r="E37" s="993">
        <v>2584.3443670000001</v>
      </c>
      <c r="F37" s="993">
        <v>2516.2578456200004</v>
      </c>
      <c r="G37" s="993">
        <v>2590.48869397</v>
      </c>
      <c r="H37" s="994">
        <f t="shared" si="15"/>
        <v>100.2377518665259</v>
      </c>
      <c r="I37" s="994">
        <f t="shared" si="16"/>
        <v>2.9500493552046656</v>
      </c>
      <c r="J37" s="994">
        <f t="shared" si="17"/>
        <v>0.24731831255274289</v>
      </c>
      <c r="K37" s="223"/>
      <c r="L37" s="223"/>
      <c r="M37" s="223"/>
      <c r="O37" s="495"/>
      <c r="P37" s="495"/>
    </row>
    <row r="38" spans="3:16" s="132" customFormat="1" ht="15" customHeight="1">
      <c r="C38" s="1003" t="str">
        <f>IF(Indice_index!$Z$1=1,"            Invalidez","            Disability")</f>
        <v xml:space="preserve">            Disability</v>
      </c>
      <c r="D38" s="993">
        <v>1174.8731545299997</v>
      </c>
      <c r="E38" s="993">
        <v>1159.140339</v>
      </c>
      <c r="F38" s="993">
        <v>1174.8731545299997</v>
      </c>
      <c r="G38" s="993">
        <v>1166.5821012600002</v>
      </c>
      <c r="H38" s="994">
        <f t="shared" si="15"/>
        <v>100.64200701240544</v>
      </c>
      <c r="I38" s="994">
        <f t="shared" si="16"/>
        <v>-0.70569773749884912</v>
      </c>
      <c r="J38" s="994">
        <f t="shared" si="17"/>
        <v>-2.7623681388536953E-2</v>
      </c>
      <c r="K38" s="223"/>
      <c r="L38" s="223"/>
      <c r="M38" s="223"/>
      <c r="O38" s="495"/>
      <c r="P38" s="495"/>
    </row>
    <row r="39" spans="3:16" s="132" customFormat="1" ht="15" customHeight="1">
      <c r="C39" s="1003" t="str">
        <f>IF(Indice_index!$Z$1=1,"            Velhice","            Old-age")</f>
        <v xml:space="preserve">            Old-age</v>
      </c>
      <c r="D39" s="993">
        <v>13788.410615789997</v>
      </c>
      <c r="E39" s="993">
        <v>14305.661757</v>
      </c>
      <c r="F39" s="993">
        <v>13788.410615789997</v>
      </c>
      <c r="G39" s="993">
        <v>13911.791015999999</v>
      </c>
      <c r="H39" s="994">
        <f t="shared" si="15"/>
        <v>97.246749240332946</v>
      </c>
      <c r="I39" s="994">
        <f t="shared" si="16"/>
        <v>0.894812343844123</v>
      </c>
      <c r="J39" s="994">
        <f t="shared" si="17"/>
        <v>0.41107212244355307</v>
      </c>
      <c r="K39" s="223"/>
      <c r="L39" s="223"/>
      <c r="M39" s="223"/>
      <c r="O39" s="495"/>
      <c r="P39" s="495"/>
    </row>
    <row r="40" spans="3:16" s="132" customFormat="1" ht="15" customHeight="1">
      <c r="C40" s="1003" t="str">
        <f>IF(Indice_index!$Z$1=1,"            Beneficiários dos antigos combatentes","            War veteran beneficiaries")</f>
        <v xml:space="preserve">            War veteran beneficiaries</v>
      </c>
      <c r="D40" s="993">
        <v>42.886449819999996</v>
      </c>
      <c r="E40" s="993">
        <v>45.606116</v>
      </c>
      <c r="F40" s="993">
        <v>42.886449819999996</v>
      </c>
      <c r="G40" s="993">
        <v>43.599297429999993</v>
      </c>
      <c r="H40" s="1007">
        <f t="shared" si="15"/>
        <v>95.599672267640585</v>
      </c>
      <c r="I40" s="1007">
        <f t="shared" si="16"/>
        <v>1.6621744466886654</v>
      </c>
      <c r="J40" s="1007">
        <f t="shared" si="17"/>
        <v>2.3750269858320429E-3</v>
      </c>
      <c r="K40" s="223"/>
      <c r="L40" s="223"/>
      <c r="M40" s="223"/>
      <c r="O40" s="495"/>
      <c r="P40" s="495"/>
    </row>
    <row r="41" spans="3:16" s="132" customFormat="1" ht="15" customHeight="1">
      <c r="C41" s="1003" t="str">
        <f>IF(Indice_index!$Z$1=1,"            Parcela de atualização extraordinária de pensões","            Portion of extraordinary pensions update")</f>
        <v xml:space="preserve">            Portion of extraordinary pensions update</v>
      </c>
      <c r="D41" s="993">
        <v>448.91472988999999</v>
      </c>
      <c r="E41" s="993">
        <v>547.43277</v>
      </c>
      <c r="F41" s="993">
        <v>448.91472988999999</v>
      </c>
      <c r="G41" s="993">
        <v>746.77059501999997</v>
      </c>
      <c r="H41" s="1007">
        <f t="shared" si="15"/>
        <v>136.41320650570478</v>
      </c>
      <c r="I41" s="1007">
        <f t="shared" si="16"/>
        <v>66.350209805542619</v>
      </c>
      <c r="J41" s="1007">
        <f t="shared" si="17"/>
        <v>0.99238000892238676</v>
      </c>
      <c r="K41" s="223"/>
      <c r="L41" s="223"/>
      <c r="M41" s="223"/>
      <c r="O41" s="495"/>
      <c r="P41" s="495"/>
    </row>
    <row r="42" spans="3:16" s="132" customFormat="1" ht="15" customHeight="1">
      <c r="C42" s="1000" t="str">
        <f>IF(Indice_index!$Z$1=1,"Subsídio familiar a crianças e jovens","Family benefit")</f>
        <v>Family benefit</v>
      </c>
      <c r="D42" s="993">
        <v>821.61687530999995</v>
      </c>
      <c r="E42" s="993">
        <v>822.880267</v>
      </c>
      <c r="F42" s="993">
        <v>821.61687530999995</v>
      </c>
      <c r="G42" s="993">
        <v>784.87998835000008</v>
      </c>
      <c r="H42" s="1007">
        <f t="shared" si="15"/>
        <v>95.382040355817651</v>
      </c>
      <c r="I42" s="1007">
        <f t="shared" si="16"/>
        <v>-4.4712916766879784</v>
      </c>
      <c r="J42" s="994">
        <f t="shared" si="17"/>
        <v>-0.12239796652395502</v>
      </c>
      <c r="K42" s="223"/>
      <c r="L42" s="223"/>
      <c r="M42" s="223"/>
      <c r="O42" s="495"/>
      <c r="P42" s="495"/>
    </row>
    <row r="43" spans="3:16" s="132" customFormat="1" ht="15" customHeight="1">
      <c r="C43" s="995" t="str">
        <f>IF(Indice_index!$Z$1=1,"Subsídio por doença","Illness benefit")</f>
        <v>Illness benefit</v>
      </c>
      <c r="D43" s="993">
        <v>746.35880497000005</v>
      </c>
      <c r="E43" s="993">
        <v>763.42509900000005</v>
      </c>
      <c r="F43" s="993">
        <v>746.35880497000005</v>
      </c>
      <c r="G43" s="993">
        <v>752.51892211000006</v>
      </c>
      <c r="H43" s="994">
        <f t="shared" si="15"/>
        <v>98.571414942436945</v>
      </c>
      <c r="I43" s="994">
        <f t="shared" si="16"/>
        <v>0.8253559948619642</v>
      </c>
      <c r="J43" s="994">
        <f t="shared" si="17"/>
        <v>2.0523944021340813E-2</v>
      </c>
      <c r="K43" s="223"/>
      <c r="L43" s="223"/>
      <c r="M43" s="223"/>
      <c r="O43" s="495"/>
      <c r="P43" s="495"/>
    </row>
    <row r="44" spans="3:16" s="132" customFormat="1" ht="15" customHeight="1">
      <c r="C44" s="995" t="str">
        <f>IF(Indice_index!$Z$1=1,"Prestações de desemprego","Unemployment benefits")</f>
        <v>Unemployment benefits</v>
      </c>
      <c r="D44" s="993">
        <v>1515.0832469100001</v>
      </c>
      <c r="E44" s="993">
        <v>1642.8831849999999</v>
      </c>
      <c r="F44" s="993">
        <v>1515.0832469100001</v>
      </c>
      <c r="G44" s="993">
        <v>1589.1909681900001</v>
      </c>
      <c r="H44" s="994">
        <f t="shared" si="15"/>
        <v>96.73182991339705</v>
      </c>
      <c r="I44" s="994">
        <f t="shared" si="16"/>
        <v>4.8913299933282328</v>
      </c>
      <c r="J44" s="994">
        <f t="shared" si="17"/>
        <v>0.2469080844621481</v>
      </c>
      <c r="K44" s="223"/>
      <c r="L44" s="223"/>
      <c r="M44" s="223"/>
      <c r="O44" s="495"/>
      <c r="P44" s="495"/>
    </row>
    <row r="45" spans="3:16" s="132" customFormat="1" ht="15" customHeight="1">
      <c r="C45" s="995" t="str">
        <f>IF(Indice_index!$Z$1=1,"Complemento Solidário para Idosos","Elderly pension supplement")</f>
        <v>Elderly pension supplement</v>
      </c>
      <c r="D45" s="993">
        <v>211.57947795000001</v>
      </c>
      <c r="E45" s="993">
        <v>258.56716899999998</v>
      </c>
      <c r="F45" s="993">
        <v>211.57947795000001</v>
      </c>
      <c r="G45" s="993">
        <v>204.30974691</v>
      </c>
      <c r="H45" s="994">
        <f t="shared" si="15"/>
        <v>79.016120917501325</v>
      </c>
      <c r="I45" s="994">
        <f t="shared" si="16"/>
        <v>-3.4359339149697576</v>
      </c>
      <c r="J45" s="994">
        <f t="shared" si="17"/>
        <v>-2.4220895402512377E-2</v>
      </c>
      <c r="K45" s="223"/>
      <c r="L45" s="223"/>
      <c r="M45" s="223"/>
      <c r="O45" s="495"/>
      <c r="P45" s="495"/>
    </row>
    <row r="46" spans="3:16" s="132" customFormat="1" ht="15" customHeight="1">
      <c r="C46" s="995" t="str">
        <f>IF(Indice_index!$Z$1=1,"Prestação Social para a Inclusão","Social benefits for inclusion")</f>
        <v>Social benefits for inclusion</v>
      </c>
      <c r="D46" s="993">
        <v>409.85229747</v>
      </c>
      <c r="E46" s="993">
        <v>433.00311699999997</v>
      </c>
      <c r="F46" s="993">
        <v>409.85229747</v>
      </c>
      <c r="G46" s="993">
        <v>523.8644266199999</v>
      </c>
      <c r="H46" s="994">
        <f t="shared" si="15"/>
        <v>120.98398511528497</v>
      </c>
      <c r="I46" s="994">
        <f t="shared" si="16"/>
        <v>27.817857763343458</v>
      </c>
      <c r="J46" s="994">
        <f t="shared" si="17"/>
        <v>0.3798594252752267</v>
      </c>
      <c r="K46" s="223"/>
      <c r="L46" s="223"/>
      <c r="M46" s="223"/>
      <c r="O46" s="495"/>
      <c r="P46" s="495"/>
    </row>
    <row r="47" spans="3:16" s="132" customFormat="1" ht="15" customHeight="1">
      <c r="C47" s="995" t="str">
        <f>IF(Indice_index!$Z$1=1,"Prestações de parentalidade","Parenthood benefits")</f>
        <v>Parenthood benefits</v>
      </c>
      <c r="D47" s="993">
        <v>657.40172001999997</v>
      </c>
      <c r="E47" s="993">
        <v>710.74754199999995</v>
      </c>
      <c r="F47" s="993">
        <v>657.40172001999997</v>
      </c>
      <c r="G47" s="993">
        <v>637.3972821399999</v>
      </c>
      <c r="H47" s="994">
        <f t="shared" si="15"/>
        <v>89.679843330362147</v>
      </c>
      <c r="I47" s="994">
        <f t="shared" si="16"/>
        <v>-3.0429549042542021</v>
      </c>
      <c r="J47" s="994">
        <f t="shared" si="17"/>
        <v>-6.6649700630126388E-2</v>
      </c>
      <c r="K47" s="223"/>
      <c r="L47" s="223"/>
      <c r="M47" s="223"/>
      <c r="O47" s="495"/>
      <c r="P47" s="495"/>
    </row>
    <row r="48" spans="3:16" s="132" customFormat="1" ht="15" customHeight="1">
      <c r="C48" s="995" t="str">
        <f>IF(Indice_index!$Z$1=1,"Medidas excecionais e temporárias (COVID-19)","Exceptional and temporary measures (COVID-19)")</f>
        <v>Exceptional and temporary measures (COVID-19)</v>
      </c>
      <c r="D48" s="993">
        <v>1897.3684152200001</v>
      </c>
      <c r="E48" s="993">
        <v>776</v>
      </c>
      <c r="F48" s="993">
        <v>1897.3684152200001</v>
      </c>
      <c r="G48" s="993">
        <v>1919.4528952899998</v>
      </c>
      <c r="H48" s="994">
        <f t="shared" si="15"/>
        <v>247.35217722809276</v>
      </c>
      <c r="I48" s="994">
        <f t="shared" si="16"/>
        <v>1.163953183411615</v>
      </c>
      <c r="J48" s="994">
        <f t="shared" si="17"/>
        <v>7.3579872329682661E-2</v>
      </c>
      <c r="K48" s="223"/>
      <c r="L48" s="223"/>
      <c r="M48" s="223"/>
      <c r="O48" s="495"/>
      <c r="P48" s="495"/>
    </row>
    <row r="49" spans="3:16" s="132" customFormat="1" ht="15" customHeight="1">
      <c r="C49" s="995" t="str">
        <f>IF(Indice_index!$Z$1=1,"Complemento-creche","Child daycare supplement")</f>
        <v>Child daycare supplement</v>
      </c>
      <c r="D49" s="993">
        <v>0</v>
      </c>
      <c r="E49" s="993">
        <v>0</v>
      </c>
      <c r="F49" s="993">
        <v>0</v>
      </c>
      <c r="G49" s="993">
        <v>0</v>
      </c>
      <c r="H49" s="994" t="str">
        <f t="shared" si="15"/>
        <v>-</v>
      </c>
      <c r="I49" s="994" t="str">
        <f t="shared" si="16"/>
        <v>-</v>
      </c>
      <c r="J49" s="994">
        <f t="shared" si="17"/>
        <v>0</v>
      </c>
      <c r="K49" s="223"/>
      <c r="L49" s="223"/>
      <c r="M49" s="223"/>
      <c r="O49" s="495"/>
      <c r="P49" s="495"/>
    </row>
    <row r="50" spans="3:16" s="132" customFormat="1" ht="15" customHeight="1">
      <c r="C50" s="995" t="str">
        <f>IF(Indice_index!$Z$1=1,"Outras prestações","Other benefits")</f>
        <v>Other benefits</v>
      </c>
      <c r="D50" s="993">
        <v>409.32354076999997</v>
      </c>
      <c r="E50" s="993">
        <v>427.30429500000002</v>
      </c>
      <c r="F50" s="993">
        <v>409.32354076999997</v>
      </c>
      <c r="G50" s="993">
        <v>392.39874052000005</v>
      </c>
      <c r="H50" s="994">
        <f t="shared" si="15"/>
        <v>91.831218434160604</v>
      </c>
      <c r="I50" s="994">
        <f t="shared" si="16"/>
        <v>-4.1348221062882899</v>
      </c>
      <c r="J50" s="994">
        <f t="shared" si="17"/>
        <v>-5.6389131084506078E-2</v>
      </c>
      <c r="K50" s="223"/>
      <c r="L50" s="223"/>
      <c r="M50" s="223"/>
      <c r="O50" s="495"/>
      <c r="P50" s="495"/>
    </row>
    <row r="51" spans="3:16" s="132" customFormat="1" ht="15" customHeight="1">
      <c r="C51" s="995" t="str">
        <f>IF(Indice_index!$Z$1=1,"Ação social","Social assistance")</f>
        <v>Social assistance</v>
      </c>
      <c r="D51" s="993">
        <v>1938.8515769499998</v>
      </c>
      <c r="E51" s="993">
        <v>2112.0148909999998</v>
      </c>
      <c r="F51" s="993">
        <v>1938.8515769499998</v>
      </c>
      <c r="G51" s="993">
        <v>2044.3118824700002</v>
      </c>
      <c r="H51" s="994">
        <f t="shared" si="15"/>
        <v>96.794387728111914</v>
      </c>
      <c r="I51" s="994">
        <f t="shared" si="16"/>
        <v>5.4393181393440999</v>
      </c>
      <c r="J51" s="994">
        <f t="shared" si="17"/>
        <v>0.35136692335139352</v>
      </c>
      <c r="K51" s="223"/>
      <c r="L51" s="223"/>
      <c r="M51" s="223"/>
      <c r="O51" s="495"/>
      <c r="P51" s="495"/>
    </row>
    <row r="52" spans="3:16" s="132" customFormat="1" ht="15" customHeight="1">
      <c r="C52" s="995" t="str">
        <f>IF(Indice_index!$Z$1=1,"Rendimento Social de Inserção","Social Integration Income")</f>
        <v>Social Integration Income</v>
      </c>
      <c r="D52" s="993">
        <v>339.69792217000003</v>
      </c>
      <c r="E52" s="993">
        <v>339.588347</v>
      </c>
      <c r="F52" s="993">
        <v>339.69792217000003</v>
      </c>
      <c r="G52" s="993">
        <v>356.24901212000003</v>
      </c>
      <c r="H52" s="994">
        <f t="shared" si="15"/>
        <v>104.90613569846671</v>
      </c>
      <c r="I52" s="994">
        <f t="shared" si="16"/>
        <v>4.8722964933877639</v>
      </c>
      <c r="J52" s="994">
        <f t="shared" si="17"/>
        <v>5.5144023385564386E-2</v>
      </c>
      <c r="K52" s="223"/>
      <c r="L52" s="223"/>
      <c r="M52" s="223"/>
      <c r="O52" s="495"/>
      <c r="P52" s="495"/>
    </row>
    <row r="53" spans="3:16" s="132" customFormat="1" ht="15" customHeight="1">
      <c r="C53" s="995" t="str">
        <f>IF(Indice_index!$Z$1=1,"Subsídio de Apoio ao Cuidador Informal","Social Benefit for Informal Caregivers")</f>
        <v>Social Benefit for Informal Caregivers</v>
      </c>
      <c r="D53" s="993">
        <v>0.28676813000000001</v>
      </c>
      <c r="E53" s="993">
        <v>30</v>
      </c>
      <c r="F53" s="993">
        <v>0.28676813000000001</v>
      </c>
      <c r="G53" s="993">
        <v>1.5939730399999998</v>
      </c>
      <c r="H53" s="994">
        <f t="shared" si="15"/>
        <v>5.3132434666666661</v>
      </c>
      <c r="I53" s="994">
        <f t="shared" si="16"/>
        <v>455.84037180142712</v>
      </c>
      <c r="J53" s="994">
        <f t="shared" si="17"/>
        <v>4.3552743864318467E-3</v>
      </c>
      <c r="K53" s="223"/>
      <c r="L53" s="223"/>
      <c r="M53" s="223"/>
      <c r="O53" s="495"/>
      <c r="P53" s="495"/>
    </row>
    <row r="54" spans="3:16" s="132" customFormat="1" ht="15" customHeight="1">
      <c r="C54" s="1008" t="str">
        <f>IF(Indice_index!$Z$1=1,"Pensão velhice do regime substitutivo dos bancários","Old age pension scheme from Banking regime")</f>
        <v>Old age pension scheme from Banking regime</v>
      </c>
      <c r="D54" s="993">
        <v>443.58089682000008</v>
      </c>
      <c r="E54" s="993">
        <v>433.97059899999999</v>
      </c>
      <c r="F54" s="993">
        <v>443.58089682000008</v>
      </c>
      <c r="G54" s="993">
        <v>429.57635345999995</v>
      </c>
      <c r="H54" s="1007">
        <f t="shared" si="15"/>
        <v>98.987432432029792</v>
      </c>
      <c r="I54" s="1007">
        <f t="shared" si="16"/>
        <v>-3.1571565548466367</v>
      </c>
      <c r="J54" s="994">
        <f t="shared" si="17"/>
        <v>-4.6659577639960641E-2</v>
      </c>
      <c r="K54" s="223"/>
      <c r="L54" s="223"/>
      <c r="M54" s="223"/>
      <c r="N54" s="130"/>
      <c r="O54" s="495"/>
      <c r="P54" s="495"/>
    </row>
    <row r="55" spans="3:16" ht="15" customHeight="1">
      <c r="C55" s="1003" t="str">
        <f>IF(Indice_index!$Z$1=1,"Administração","Administration")</f>
        <v>Administration</v>
      </c>
      <c r="D55" s="993">
        <v>318.54330171999999</v>
      </c>
      <c r="E55" s="993">
        <v>388.54565500000001</v>
      </c>
      <c r="F55" s="993">
        <v>318.54330172000004</v>
      </c>
      <c r="G55" s="993">
        <v>327.80805012000008</v>
      </c>
      <c r="H55" s="994">
        <f t="shared" si="15"/>
        <v>84.367961885971951</v>
      </c>
      <c r="I55" s="994">
        <f t="shared" si="16"/>
        <v>2.9084737773402489</v>
      </c>
      <c r="J55" s="1007">
        <f t="shared" si="17"/>
        <v>3.0867785987168279E-2</v>
      </c>
      <c r="K55" s="223"/>
      <c r="L55" s="223"/>
      <c r="M55" s="223"/>
      <c r="O55" s="495"/>
      <c r="P55" s="495"/>
    </row>
    <row r="56" spans="3:16" ht="15" customHeight="1">
      <c r="C56" s="1003" t="str">
        <f>IF(Indice_index!$Z$1=1,"Transferências correntes","Current transfers")</f>
        <v>Current transfers</v>
      </c>
      <c r="D56" s="993">
        <v>1298.1539544400114</v>
      </c>
      <c r="E56" s="993">
        <v>1400.722595</v>
      </c>
      <c r="F56" s="993">
        <v>1298.1539544400114</v>
      </c>
      <c r="G56" s="993">
        <v>1313.6678272599945</v>
      </c>
      <c r="H56" s="994">
        <f t="shared" si="15"/>
        <v>93.785010104730588</v>
      </c>
      <c r="I56" s="994">
        <f t="shared" si="16"/>
        <v>1.195071876253337</v>
      </c>
      <c r="J56" s="1007">
        <f t="shared" si="17"/>
        <v>5.168827963416521E-2</v>
      </c>
      <c r="K56" s="223"/>
      <c r="L56" s="223"/>
      <c r="M56" s="223"/>
      <c r="O56" s="495"/>
      <c r="P56" s="495"/>
    </row>
    <row r="57" spans="3:16" ht="15" customHeight="1">
      <c r="C57" s="1008" t="str">
        <f>IF(Indice_index!$Z$1=1,"Ações de Formação Profissional","Vocational Training Programs")</f>
        <v>Vocational Training Programs</v>
      </c>
      <c r="D57" s="993">
        <v>870.78203805999999</v>
      </c>
      <c r="E57" s="993">
        <v>1315.6055100000001</v>
      </c>
      <c r="F57" s="993">
        <v>870.78203805999999</v>
      </c>
      <c r="G57" s="993">
        <v>1279.2804758</v>
      </c>
      <c r="H57" s="994">
        <f t="shared" si="15"/>
        <v>97.238911366371511</v>
      </c>
      <c r="I57" s="994">
        <f t="shared" si="16"/>
        <v>46.911674780302825</v>
      </c>
      <c r="J57" s="994">
        <f t="shared" si="17"/>
        <v>1.3610129285594916</v>
      </c>
      <c r="K57" s="223"/>
      <c r="L57" s="223"/>
      <c r="M57" s="223"/>
      <c r="O57" s="495"/>
      <c r="P57" s="495"/>
    </row>
    <row r="58" spans="3:16" ht="15" customHeight="1">
      <c r="C58" s="996" t="str">
        <f>IF(Indice_index!$Z$1=1,"dos quais:","of which:")</f>
        <v>of which:</v>
      </c>
      <c r="D58" s="993"/>
      <c r="E58" s="993"/>
      <c r="F58" s="993">
        <v>0</v>
      </c>
      <c r="G58" s="993">
        <v>0</v>
      </c>
      <c r="H58" s="994"/>
      <c r="I58" s="994"/>
      <c r="J58" s="994"/>
      <c r="K58" s="223"/>
      <c r="L58" s="223"/>
      <c r="M58" s="223"/>
      <c r="O58" s="495"/>
      <c r="P58" s="495"/>
    </row>
    <row r="59" spans="3:16" s="133" customFormat="1" ht="15" customHeight="1">
      <c r="C59" s="1009" t="str">
        <f>IF(Indice_index!$Z$1=1,"Com suporte no Fundo Social Europeu","Supported by the European Social Fund")</f>
        <v>Supported by the European Social Fund</v>
      </c>
      <c r="D59" s="993">
        <v>812.63684203000003</v>
      </c>
      <c r="E59" s="993">
        <v>1230.813643</v>
      </c>
      <c r="F59" s="993">
        <v>812.63684203000003</v>
      </c>
      <c r="G59" s="993">
        <v>1210.2826756499999</v>
      </c>
      <c r="H59" s="994">
        <f t="shared" ref="H59:H64" si="19">IFERROR(IF(G59/E59*100&lt;-500,"-",IF(G59/E59*100&gt;500,"-",G59/E59*100)),"-")</f>
        <v>98.331919095407684</v>
      </c>
      <c r="I59" s="994">
        <f t="shared" ref="I59:I64" si="20">IF(IFERROR((G59-F59)/F59*100,"")&gt;500,"-",IFERROR((G59-F59)/F59*100,""))</f>
        <v>48.932784369788642</v>
      </c>
      <c r="J59" s="994">
        <f t="shared" ref="J59:J64" si="21">IFERROR((G59-F59)/$F$66*100,"-")</f>
        <v>1.3248548110460552</v>
      </c>
      <c r="K59" s="223"/>
      <c r="L59" s="223"/>
      <c r="M59" s="223"/>
      <c r="O59" s="495"/>
      <c r="P59" s="495"/>
    </row>
    <row r="60" spans="3:16" s="133" customFormat="1" ht="15" customHeight="1">
      <c r="C60" s="1008" t="str">
        <f>IF(Indice_index!$Z$1=1,"Subsídios Correntes - Outros PO PT2020","Current subsidies – Others PO PT2020")</f>
        <v>Current subsidies – Others PO PT2020</v>
      </c>
      <c r="D60" s="993">
        <v>127.39972902</v>
      </c>
      <c r="E60" s="993">
        <v>172.72563099999999</v>
      </c>
      <c r="F60" s="993">
        <v>127.39972902</v>
      </c>
      <c r="G60" s="993">
        <v>165.51368667000003</v>
      </c>
      <c r="H60" s="994">
        <f t="shared" si="19"/>
        <v>95.824624123098459</v>
      </c>
      <c r="I60" s="994">
        <f t="shared" si="20"/>
        <v>29.916827879607709</v>
      </c>
      <c r="J60" s="994">
        <f>IFERROR((G60-F60)/$F$66*100,"-")</f>
        <v>0.12698601592507278</v>
      </c>
      <c r="K60" s="223"/>
      <c r="L60" s="223"/>
      <c r="M60" s="223"/>
      <c r="O60" s="495"/>
      <c r="P60" s="495"/>
    </row>
    <row r="61" spans="3:16" s="133" customFormat="1" ht="15" customHeight="1">
      <c r="C61" s="1008" t="str">
        <f>IF(Indice_index!$Z$1=1,"Subsídios Correntes - Programa Operacional de Apoio às Pessoas Mais Carenciadas - POAPMC","Current subsidies – Operational Program for Aid to the Most Deprived - POAPMC")</f>
        <v>Current subsidies – Operational Program for Aid to the Most Deprived - POAPMC</v>
      </c>
      <c r="D61" s="993">
        <v>3.68720983</v>
      </c>
      <c r="E61" s="993">
        <v>11.110250000000001</v>
      </c>
      <c r="F61" s="993">
        <v>3.68720983</v>
      </c>
      <c r="G61" s="993">
        <v>3.5964934800000012</v>
      </c>
      <c r="H61" s="994">
        <f t="shared" si="19"/>
        <v>32.370950068630329</v>
      </c>
      <c r="I61" s="994">
        <f t="shared" si="20"/>
        <v>-2.4602980080468808</v>
      </c>
      <c r="J61" s="994">
        <f t="shared" si="21"/>
        <v>-3.0224381239937466E-4</v>
      </c>
      <c r="K61" s="223"/>
      <c r="L61" s="223"/>
      <c r="M61" s="223"/>
      <c r="O61" s="495"/>
      <c r="P61" s="495"/>
    </row>
    <row r="62" spans="3:16" s="304" customFormat="1" ht="15" customHeight="1">
      <c r="C62" s="935" t="str">
        <f>IF(Indice_index!$Z$1=1,"Despesa de Capital","Capital expenditure")</f>
        <v>Capital expenditure</v>
      </c>
      <c r="D62" s="991">
        <f t="shared" ref="D62:G62" si="22">+D63+D64</f>
        <v>33.384603019999993</v>
      </c>
      <c r="E62" s="991">
        <f t="shared" si="22"/>
        <v>61.732807000000001</v>
      </c>
      <c r="F62" s="991">
        <f t="shared" si="22"/>
        <v>33.384603019999993</v>
      </c>
      <c r="G62" s="991">
        <f t="shared" si="22"/>
        <v>41.475350599999999</v>
      </c>
      <c r="H62" s="992">
        <f t="shared" si="19"/>
        <v>67.185266012608167</v>
      </c>
      <c r="I62" s="992">
        <f t="shared" si="20"/>
        <v>24.234967164812517</v>
      </c>
      <c r="J62" s="992">
        <f>IFERROR((G62-F62)/$F$66*100,"-")</f>
        <v>2.6956313759760497E-2</v>
      </c>
      <c r="K62" s="305"/>
      <c r="L62" s="305"/>
      <c r="M62" s="305"/>
      <c r="O62" s="495"/>
      <c r="P62" s="495"/>
    </row>
    <row r="63" spans="3:16" ht="15" customHeight="1">
      <c r="C63" s="1000" t="str">
        <f>IF(Indice_index!$Z$1=1,"PIDDAC","PIDDAC - Central Admin. Invest. and Expend. Develop. Program")</f>
        <v>PIDDAC - Central Admin. Invest. and Expend. Develop. Program</v>
      </c>
      <c r="D63" s="993">
        <v>0.8686021599999999</v>
      </c>
      <c r="E63" s="993">
        <v>2.8776079999999999</v>
      </c>
      <c r="F63" s="993">
        <v>0.8686021599999999</v>
      </c>
      <c r="G63" s="993">
        <v>0.35642126000000002</v>
      </c>
      <c r="H63" s="1006">
        <f t="shared" si="19"/>
        <v>12.386025476715384</v>
      </c>
      <c r="I63" s="1006">
        <f t="shared" si="20"/>
        <v>-58.96610940962892</v>
      </c>
      <c r="J63" s="994">
        <f t="shared" si="21"/>
        <v>-1.7064565302081149E-3</v>
      </c>
      <c r="K63" s="223"/>
      <c r="L63" s="223"/>
      <c r="M63" s="223"/>
      <c r="N63" s="130"/>
      <c r="O63" s="495"/>
      <c r="P63" s="495"/>
    </row>
    <row r="64" spans="3:16" ht="15" customHeight="1">
      <c r="C64" s="1000" t="str">
        <f>IF(Indice_index!$Z$1=1,"Outras","Others")</f>
        <v>Others</v>
      </c>
      <c r="D64" s="993">
        <v>32.516000859999991</v>
      </c>
      <c r="E64" s="993">
        <v>58.855198999999999</v>
      </c>
      <c r="F64" s="993">
        <v>32.516000859999991</v>
      </c>
      <c r="G64" s="993">
        <v>41.118929340000001</v>
      </c>
      <c r="H64" s="1006">
        <f t="shared" si="19"/>
        <v>69.864565983372174</v>
      </c>
      <c r="I64" s="1006">
        <f t="shared" si="20"/>
        <v>26.457523226920017</v>
      </c>
      <c r="J64" s="994">
        <f t="shared" si="21"/>
        <v>2.8662770289968623E-2</v>
      </c>
      <c r="K64" s="223"/>
      <c r="L64" s="223"/>
      <c r="M64" s="223"/>
      <c r="O64" s="495"/>
      <c r="P64" s="495"/>
    </row>
    <row r="65" spans="3:19" ht="4.5" customHeight="1">
      <c r="C65" s="511"/>
      <c r="D65" s="993"/>
      <c r="E65" s="993"/>
      <c r="F65" s="993"/>
      <c r="G65" s="993"/>
      <c r="H65" s="994"/>
      <c r="I65" s="994"/>
      <c r="J65" s="511"/>
      <c r="K65" s="223"/>
      <c r="L65" s="223"/>
      <c r="M65" s="223"/>
      <c r="O65" s="495"/>
      <c r="P65" s="495"/>
    </row>
    <row r="66" spans="3:19" s="304" customFormat="1" ht="15" customHeight="1">
      <c r="C66" s="939" t="str">
        <f>IF(Indice_index!$Z$1=1,"Despesa efetiva","Effective expenditure")</f>
        <v>Effective expenditure</v>
      </c>
      <c r="D66" s="1001">
        <f t="shared" ref="D66:E66" si="23">+D34+D62</f>
        <v>30014.295174430004</v>
      </c>
      <c r="E66" s="1001">
        <f t="shared" si="23"/>
        <v>30743.012308000005</v>
      </c>
      <c r="F66" s="1001">
        <f t="shared" ref="F66:G66" si="24">+F34+F62</f>
        <v>30014.295174430004</v>
      </c>
      <c r="G66" s="1001">
        <f t="shared" si="24"/>
        <v>31226.317778829991</v>
      </c>
      <c r="H66" s="1002">
        <f>IFERROR(IF(G66/E66*100&lt;-500,"-",IF(G66/E66*100&gt;500,"-",G66/E66*100)),"-")</f>
        <v>101.57208235155349</v>
      </c>
      <c r="I66" s="1002">
        <f>IF(IFERROR((G66-F66)/F66*100,"")&gt;500,"-",IFERROR((G66-F66)/F66*100,""))</f>
        <v>4.0381511454999668</v>
      </c>
      <c r="J66" s="1002"/>
      <c r="K66" s="305"/>
      <c r="L66" s="305"/>
      <c r="M66" s="305"/>
      <c r="O66" s="495"/>
      <c r="P66" s="495"/>
    </row>
    <row r="67" spans="3:19" ht="4.5" customHeight="1">
      <c r="C67" s="942"/>
      <c r="D67" s="993"/>
      <c r="E67" s="993"/>
      <c r="F67" s="993"/>
      <c r="G67" s="993"/>
      <c r="H67" s="511"/>
      <c r="I67" s="511"/>
      <c r="J67" s="511"/>
      <c r="K67" s="223"/>
      <c r="L67" s="223"/>
      <c r="M67" s="223"/>
      <c r="N67" s="130"/>
      <c r="O67" s="495"/>
      <c r="P67" s="495"/>
    </row>
    <row r="68" spans="3:19" s="306" customFormat="1" ht="15" customHeight="1">
      <c r="C68" s="746" t="str">
        <f>IF(Indice_index!$Z$1=1,"Saldo global","Overall balance")</f>
        <v>Overall balance</v>
      </c>
      <c r="D68" s="1010">
        <f t="shared" ref="D68:E68" si="25">+D32-D66</f>
        <v>2131.5226409099996</v>
      </c>
      <c r="E68" s="1010">
        <f t="shared" si="25"/>
        <v>932.16230099999666</v>
      </c>
      <c r="F68" s="1010">
        <f t="shared" ref="F68:G68" si="26">+F32-F66</f>
        <v>2131.5226409099996</v>
      </c>
      <c r="G68" s="1010">
        <f t="shared" si="26"/>
        <v>2253.7800303700096</v>
      </c>
      <c r="H68" s="1010"/>
      <c r="I68" s="1010"/>
      <c r="J68" s="1010"/>
      <c r="K68" s="305"/>
      <c r="L68" s="305"/>
      <c r="M68" s="305"/>
      <c r="N68" s="304"/>
      <c r="O68" s="495"/>
      <c r="P68" s="495"/>
    </row>
    <row r="69" spans="3:19" ht="4.5" customHeight="1">
      <c r="C69" s="1011"/>
      <c r="D69" s="993"/>
      <c r="E69" s="993"/>
      <c r="F69" s="993"/>
      <c r="G69" s="993"/>
      <c r="H69" s="511"/>
      <c r="I69" s="511"/>
      <c r="J69" s="511"/>
      <c r="K69" s="223"/>
      <c r="L69" s="223"/>
      <c r="M69" s="223"/>
      <c r="O69" s="495"/>
      <c r="P69" s="495"/>
    </row>
    <row r="70" spans="3:19" ht="15" customHeight="1">
      <c r="C70" s="995" t="str">
        <f>IF(Indice_index!$Z$1=1,"Ativos financeiros líquidos de reembolsos","Financial assets net of reimbursements")</f>
        <v>Financial assets net of reimbursements</v>
      </c>
      <c r="D70" s="993">
        <v>-354.47699321999931</v>
      </c>
      <c r="E70" s="993">
        <v>441.97924899999998</v>
      </c>
      <c r="F70" s="993">
        <v>-354.47699321999931</v>
      </c>
      <c r="G70" s="993">
        <v>4376.8330583499992</v>
      </c>
      <c r="H70" s="511"/>
      <c r="I70" s="511"/>
      <c r="J70" s="994"/>
      <c r="K70" s="223"/>
      <c r="L70" s="223"/>
      <c r="M70" s="223"/>
      <c r="O70" s="495"/>
      <c r="P70" s="495"/>
    </row>
    <row r="71" spans="3:19" ht="15" customHeight="1">
      <c r="C71" s="1012" t="str">
        <f>IF(Indice_index!$Z$1=1,"Alienação de partes de Capital","Disposal of Capital Shares")</f>
        <v>Disposal of Capital Shares</v>
      </c>
      <c r="D71" s="993">
        <v>0</v>
      </c>
      <c r="E71" s="993">
        <v>0</v>
      </c>
      <c r="F71" s="993">
        <v>0</v>
      </c>
      <c r="G71" s="993">
        <v>0</v>
      </c>
      <c r="H71" s="511"/>
      <c r="I71" s="511"/>
      <c r="J71" s="511"/>
      <c r="K71" s="223"/>
      <c r="L71" s="223"/>
      <c r="M71" s="223"/>
      <c r="O71" s="495"/>
      <c r="P71" s="495"/>
    </row>
    <row r="72" spans="3:19" ht="15" customHeight="1">
      <c r="C72" s="995" t="str">
        <f>IF(Indice_index!$Z$1=1,"Passivos financeiros líquidos de amortizações","Financial liabilities net of amortizations")</f>
        <v>Financial liabilities net of amortizations</v>
      </c>
      <c r="D72" s="993">
        <v>-0.36919472999999997</v>
      </c>
      <c r="E72" s="993">
        <v>-21.5</v>
      </c>
      <c r="F72" s="993">
        <v>-0.36919472999999997</v>
      </c>
      <c r="G72" s="993">
        <v>0</v>
      </c>
      <c r="H72" s="511"/>
      <c r="I72" s="511"/>
      <c r="J72" s="511"/>
      <c r="K72" s="223"/>
      <c r="L72" s="223"/>
      <c r="M72" s="223"/>
      <c r="O72" s="495"/>
      <c r="P72" s="495"/>
    </row>
    <row r="73" spans="3:19" ht="15" customHeight="1">
      <c r="C73" s="1013" t="str">
        <f>IF(Indice_index!$Z$1=1,"Poupança (+) / Utilização (-) de saldo da gerência anterior","Saving (+) / Usage (-) of balance from previous management")</f>
        <v>Saving (+) / Usage (-) of balance from previous management</v>
      </c>
      <c r="D73" s="1014">
        <f t="shared" ref="D73" si="27">+D68-D70+D72</f>
        <v>2485.630439399999</v>
      </c>
      <c r="E73" s="1014">
        <f t="shared" ref="E73:G73" si="28">+E68-E70+E72</f>
        <v>468.68305199999668</v>
      </c>
      <c r="F73" s="1014">
        <f t="shared" si="28"/>
        <v>2485.630439399999</v>
      </c>
      <c r="G73" s="1014">
        <f t="shared" si="28"/>
        <v>-2123.0530279799896</v>
      </c>
      <c r="H73" s="1015"/>
      <c r="I73" s="1015"/>
      <c r="J73" s="1015"/>
      <c r="K73" s="223"/>
      <c r="L73" s="223"/>
      <c r="M73" s="223"/>
      <c r="O73" s="495"/>
      <c r="P73" s="495"/>
    </row>
    <row r="74" spans="3:19" ht="4.5" customHeight="1">
      <c r="C74" s="511"/>
      <c r="D74" s="511"/>
      <c r="E74" s="511"/>
      <c r="F74" s="993"/>
      <c r="G74" s="993"/>
      <c r="H74" s="511"/>
      <c r="I74" s="511"/>
      <c r="J74" s="511"/>
      <c r="K74" s="402"/>
      <c r="L74" s="134"/>
    </row>
    <row r="75" spans="3:19" ht="15" customHeight="1">
      <c r="C75" s="1016" t="str">
        <f>IF(Indice_index!$Z$1=1,"Notas:","Notes:")</f>
        <v>Notes:</v>
      </c>
      <c r="D75" s="1016"/>
      <c r="E75" s="1016"/>
      <c r="F75" s="985"/>
      <c r="G75" s="99"/>
      <c r="L75" s="134"/>
    </row>
    <row r="76" spans="3:19" s="99" customFormat="1" ht="15" customHeight="1">
      <c r="C76" s="1610" t="str">
        <f>IF(Indice_index!$Z$1=1,"Valores consolidados - são excluídas transferências intra-setoriais.","Consolidated data - transfers within the subsector are excluded.")</f>
        <v>Consolidated data - transfers within the subsector are excluded.</v>
      </c>
      <c r="D76" s="1610"/>
      <c r="E76" s="1610"/>
      <c r="F76" s="1610"/>
      <c r="G76" s="1610"/>
      <c r="H76" s="1610"/>
      <c r="I76" s="1610"/>
      <c r="J76" s="1610"/>
    </row>
    <row r="77" spans="3:19" ht="15" customHeight="1">
      <c r="C77" s="1610"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7" s="1610"/>
      <c r="E77" s="1610"/>
      <c r="F77" s="1610"/>
      <c r="G77" s="1610"/>
      <c r="H77" s="1610"/>
      <c r="I77" s="1610"/>
      <c r="J77" s="1610"/>
      <c r="K77" s="55"/>
      <c r="L77" s="65"/>
    </row>
    <row r="78" spans="3:19" s="23" customFormat="1" ht="15" customHeight="1">
      <c r="C78" s="1582" t="str">
        <f>+'4 - Conta AC + SS'!$C$65</f>
        <v>2020 accumulated execution was updated with the final execution.</v>
      </c>
      <c r="D78" s="1582"/>
      <c r="E78" s="1582"/>
      <c r="F78" s="1582"/>
      <c r="G78" s="1582"/>
      <c r="H78" s="1582"/>
      <c r="I78" s="1582"/>
      <c r="J78" s="1582"/>
      <c r="K78" s="65"/>
      <c r="R78" s="25"/>
      <c r="S78" s="25"/>
    </row>
    <row r="79" spans="3:19" ht="62.25" customHeight="1">
      <c r="C79" s="1608" t="str">
        <f>IF(Indice_index!$Z$1=1,C111,C112)</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79" s="1608"/>
      <c r="E79" s="1608"/>
      <c r="F79" s="1608"/>
      <c r="G79" s="1608"/>
      <c r="H79" s="1608"/>
      <c r="I79" s="1608"/>
      <c r="J79" s="1608"/>
      <c r="K79" s="55"/>
      <c r="L79" s="65"/>
    </row>
    <row r="80" spans="3:19" ht="4.5" customHeight="1">
      <c r="G80" s="1017"/>
    </row>
    <row r="81" spans="3:12" ht="15" customHeight="1">
      <c r="C81" s="511" t="str">
        <f>IF(Indice_index!$Z$1=1,"Fonte: Instituto de Gestão Financeira da Segurança Social, IP","Souce: Social Security Finance Management Institute")</f>
        <v>Souce: Social Security Finance Management Institute</v>
      </c>
      <c r="D81" s="511"/>
      <c r="E81" s="511"/>
      <c r="F81" s="99"/>
      <c r="G81" s="99"/>
    </row>
    <row r="82" spans="3:12">
      <c r="F82" s="65"/>
      <c r="G82" s="65"/>
      <c r="H82" s="65"/>
      <c r="I82" s="65"/>
      <c r="J82" s="65"/>
      <c r="K82" s="65"/>
      <c r="L82" s="59"/>
    </row>
    <row r="84" spans="3:12" ht="12.75">
      <c r="F84" s="99"/>
      <c r="G84" s="99"/>
    </row>
    <row r="108" spans="3:10">
      <c r="C108" s="217"/>
      <c r="D108" s="217"/>
      <c r="E108" s="217"/>
    </row>
    <row r="109" spans="3:10" s="137" customFormat="1">
      <c r="C109" s="135" t="s">
        <v>12</v>
      </c>
      <c r="D109" s="135"/>
      <c r="E109" s="135"/>
      <c r="F109" s="136"/>
      <c r="G109" s="136"/>
    </row>
    <row r="110" spans="3:10">
      <c r="C110" s="135" t="s">
        <v>13</v>
      </c>
      <c r="D110" s="135"/>
      <c r="E110" s="135"/>
    </row>
    <row r="111" spans="3:10">
      <c r="C111" s="376" t="s">
        <v>67</v>
      </c>
      <c r="D111" s="373"/>
      <c r="E111" s="373"/>
      <c r="F111" s="374"/>
      <c r="G111" s="374"/>
      <c r="H111" s="375"/>
      <c r="I111" s="375"/>
      <c r="J111" s="375"/>
    </row>
    <row r="112" spans="3:10">
      <c r="C112" s="376" t="s">
        <v>68</v>
      </c>
      <c r="D112" s="373"/>
      <c r="E112" s="373"/>
      <c r="F112" s="374"/>
      <c r="G112" s="374"/>
      <c r="H112" s="375"/>
      <c r="I112" s="375"/>
      <c r="J112" s="375"/>
    </row>
  </sheetData>
  <mergeCells count="6">
    <mergeCell ref="C79:J79"/>
    <mergeCell ref="F6:G6"/>
    <mergeCell ref="I6:J6"/>
    <mergeCell ref="C76:J76"/>
    <mergeCell ref="C77:J77"/>
    <mergeCell ref="C78:J7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9 F76:G76 I76:J76 C76:C77 D6:E6 I6" unlockedFormula="1"/>
    <ignoredError sqref="F31:G31 D9:E9 E28 E36 E35 E31:E34 E62 E65:E69 E73 E14:F14 E23:E24 D14 D35:D36 F33:G33 F9:G9 F35:G36 E15:E22 G14" formulaRange="1"/>
    <ignoredError sqref="D7:E7 I7:J7" numberStoredAsText="1" unlockedFormula="1"/>
    <ignoredError sqref="F7: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7"/>
  <dimension ref="B1:AC149"/>
  <sheetViews>
    <sheetView showGridLines="0" zoomScaleNormal="100" zoomScaleSheetLayoutView="100" workbookViewId="0">
      <selection activeCell="B2" sqref="B2"/>
    </sheetView>
  </sheetViews>
  <sheetFormatPr defaultColWidth="9.140625" defaultRowHeight="15"/>
  <cols>
    <col min="1" max="1" width="3.5703125" style="512" customWidth="1"/>
    <col min="2" max="2" width="4.42578125" style="512" customWidth="1"/>
    <col min="3" max="3" width="39.42578125" style="512" customWidth="1"/>
    <col min="4" max="4" width="9.42578125" style="512" hidden="1" customWidth="1"/>
    <col min="5" max="5" width="9.42578125" style="512" customWidth="1"/>
    <col min="6" max="6" width="9.42578125" style="513" customWidth="1"/>
    <col min="7" max="7" width="10.5703125" style="513" customWidth="1"/>
    <col min="8" max="9" width="9.42578125" style="524" customWidth="1"/>
    <col min="10" max="10" width="9.42578125" style="513" customWidth="1"/>
    <col min="11" max="16" width="8.5703125" style="512" customWidth="1"/>
    <col min="17" max="16384" width="9.140625" style="512"/>
  </cols>
  <sheetData>
    <row r="1" spans="2:20" ht="15" customHeight="1">
      <c r="G1" s="514"/>
      <c r="H1" s="515"/>
      <c r="I1" s="515"/>
      <c r="J1" s="516"/>
    </row>
    <row r="2" spans="2:20" ht="24" customHeight="1">
      <c r="B2" s="8"/>
      <c r="C2" s="53" t="str">
        <f>IF(Indice_index!$Z$1=1,"12 - Execução Orçamental da Segurança Social por Classificação Económica","12 - Social Security Budget Execution by Economic Categories")</f>
        <v>12 - Social Security Budget Execution by Economic Categories</v>
      </c>
      <c r="D2" s="53"/>
      <c r="E2" s="53"/>
      <c r="F2" s="53"/>
      <c r="G2" s="53"/>
      <c r="H2" s="53"/>
      <c r="I2" s="53"/>
      <c r="J2" s="53"/>
      <c r="K2" s="517"/>
      <c r="L2" s="517"/>
      <c r="M2" s="517"/>
      <c r="N2" s="517"/>
      <c r="O2" s="517"/>
      <c r="P2" s="517"/>
      <c r="Q2" s="517"/>
      <c r="R2" s="517"/>
      <c r="S2" s="517"/>
      <c r="T2" s="517"/>
    </row>
    <row r="3" spans="2:20" ht="15" customHeight="1">
      <c r="B3" s="517"/>
      <c r="C3" s="518"/>
      <c r="D3" s="518"/>
      <c r="E3" s="518"/>
      <c r="F3" s="519"/>
      <c r="G3" s="519"/>
      <c r="H3" s="515"/>
      <c r="I3" s="515"/>
      <c r="J3" s="516"/>
      <c r="K3" s="520"/>
      <c r="L3" s="517"/>
      <c r="M3" s="517"/>
      <c r="N3" s="517"/>
      <c r="O3" s="517"/>
      <c r="P3" s="517"/>
      <c r="Q3" s="517"/>
      <c r="R3" s="517"/>
      <c r="S3" s="517"/>
      <c r="T3" s="517"/>
    </row>
    <row r="4" spans="2:20" ht="15" customHeight="1">
      <c r="B4" s="517"/>
      <c r="C4" s="521"/>
      <c r="D4" s="521"/>
      <c r="E4" s="521"/>
      <c r="F4" s="522"/>
      <c r="G4" s="522"/>
      <c r="H4" s="523"/>
      <c r="J4" s="512"/>
      <c r="K4" s="520"/>
      <c r="L4" s="517"/>
      <c r="N4" s="517"/>
      <c r="O4" s="517"/>
      <c r="P4" s="517"/>
      <c r="Q4" s="517"/>
      <c r="R4" s="517"/>
      <c r="S4" s="517"/>
      <c r="T4" s="517"/>
    </row>
    <row r="5" spans="2:20" s="526" customFormat="1" ht="15" customHeight="1">
      <c r="B5" s="525"/>
      <c r="C5" s="699" t="str">
        <f>+'4 - Conta AC + SS'!C5</f>
        <v>Period: January to December</v>
      </c>
      <c r="D5" s="699"/>
      <c r="E5" s="699"/>
      <c r="F5" s="1018"/>
      <c r="G5" s="1018"/>
      <c r="H5" s="1019"/>
      <c r="I5" s="1019"/>
      <c r="J5" s="1020" t="str">
        <f>IF(Indice_index!$Z$1=1,"€ Milhões","€ Millions")</f>
        <v>€ Millions</v>
      </c>
      <c r="K5" s="525"/>
      <c r="L5" s="525"/>
      <c r="M5" s="525"/>
      <c r="N5" s="525"/>
      <c r="O5" s="525"/>
      <c r="P5" s="525"/>
      <c r="Q5" s="525"/>
      <c r="R5" s="525"/>
      <c r="S5" s="525"/>
      <c r="T5" s="525"/>
    </row>
    <row r="6" spans="2:20" ht="27" customHeight="1">
      <c r="B6" s="517"/>
      <c r="C6" s="1021"/>
      <c r="D6" s="703" t="str">
        <f>IF(Indice_index!$Z$1=1,"CGE","Final execution")</f>
        <v>Final execution</v>
      </c>
      <c r="E6" s="703" t="str">
        <f>IF(Indice_index!$Z$1=1,"Orçamento Inicial","Budget")</f>
        <v>Budget</v>
      </c>
      <c r="F6" s="1609" t="str">
        <f>IF(Indice_index!$Z$1=1,"Execução Acumulada","Accumulated Execution")</f>
        <v>Accumulated Execution</v>
      </c>
      <c r="G6" s="1609"/>
      <c r="H6" s="989" t="str">
        <f>IF(Indice_index!$Z$1=1,"Grau de Execução (%)","Execution Degree (%)")</f>
        <v>Execution Degree (%)</v>
      </c>
      <c r="I6" s="1587" t="str">
        <f>IF(Indice_index!$Z$1=1,"Variação Homóloga Acumulada","YOY Change Rate")</f>
        <v>YOY Change Rate</v>
      </c>
      <c r="J6" s="1588"/>
      <c r="K6" s="527"/>
      <c r="L6" s="87"/>
      <c r="M6" s="517"/>
      <c r="N6" s="528"/>
      <c r="O6" s="528"/>
      <c r="P6" s="87"/>
      <c r="Q6" s="88"/>
      <c r="R6" s="517"/>
      <c r="S6" s="517"/>
      <c r="T6" s="517"/>
    </row>
    <row r="7" spans="2:20" ht="33" customHeight="1">
      <c r="B7" s="517"/>
      <c r="C7" s="1022"/>
      <c r="D7" s="705" t="s">
        <v>66</v>
      </c>
      <c r="E7" s="705" t="s">
        <v>83</v>
      </c>
      <c r="F7" s="965" t="s">
        <v>66</v>
      </c>
      <c r="G7" s="965" t="s">
        <v>83</v>
      </c>
      <c r="H7" s="709" t="s">
        <v>83</v>
      </c>
      <c r="I7" s="709" t="str">
        <f>IF(Indice_index!$Z$1=1,"Relativa (%)","Relative change (%)")</f>
        <v>Relative change (%)</v>
      </c>
      <c r="J7" s="710" t="str">
        <f>IF(Indice_index!$Z$1=1,"Contributo VHA (p.p.)","YOY Change Rate Contrib. (p.p.)")</f>
        <v>YOY Change Rate Contrib. (p.p.)</v>
      </c>
      <c r="K7" s="529"/>
      <c r="L7" s="527"/>
      <c r="M7" s="517"/>
      <c r="N7" s="517"/>
      <c r="O7" s="517"/>
      <c r="P7" s="517"/>
      <c r="Q7" s="517"/>
      <c r="R7" s="517"/>
      <c r="S7" s="517"/>
      <c r="T7" s="517"/>
    </row>
    <row r="8" spans="2:20" s="526" customFormat="1" ht="15" customHeight="1">
      <c r="B8" s="525"/>
      <c r="C8" s="1023" t="str">
        <f>IF(Indice_index!$Z$1=1,"Receita corrente","Current revenue")</f>
        <v>Current revenue</v>
      </c>
      <c r="D8" s="1024">
        <f>+D9+D12+D13+D14+D19</f>
        <v>32144.816537420007</v>
      </c>
      <c r="E8" s="1024">
        <f>+E9+E12+E13+E14+E19</f>
        <v>31667.688802000004</v>
      </c>
      <c r="F8" s="1024">
        <f t="shared" ref="F8:G8" si="0">+F9+F12+F13+F14+F19</f>
        <v>32144.816537420007</v>
      </c>
      <c r="G8" s="1024">
        <f t="shared" si="0"/>
        <v>33479.182356110003</v>
      </c>
      <c r="H8" s="1024">
        <f>IFERROR(IF(G8/E8*100&lt;-500,"-",IF(G8/E8*100&gt;500,"-",G8/E8*100)),"-")</f>
        <v>105.72032132005664</v>
      </c>
      <c r="I8" s="1024">
        <f>IF(IFERROR((G8-F8)/F8*100,"")&gt;500,"-",IFERROR((G8-F8)/F8*100,""))</f>
        <v>4.1511072777057265</v>
      </c>
      <c r="J8" s="1024">
        <f>IFERROR((G8-F8)/$F$29*100,"-")</f>
        <v>4.1509779790179593</v>
      </c>
      <c r="K8" s="530"/>
      <c r="L8" s="530"/>
      <c r="M8" s="530"/>
      <c r="N8" s="531"/>
      <c r="O8" s="532"/>
      <c r="P8" s="532"/>
      <c r="Q8" s="531"/>
      <c r="R8" s="525"/>
      <c r="S8" s="525"/>
      <c r="T8" s="525"/>
    </row>
    <row r="9" spans="2:20" ht="15" customHeight="1">
      <c r="B9" s="517"/>
      <c r="C9" s="1025" t="str">
        <f>IF(Indice_index!$Z$1=1,"Receitas fiscais","Tax revenue")</f>
        <v>Tax revenue</v>
      </c>
      <c r="D9" s="1026">
        <f t="shared" ref="D9:G9" si="1">+D10+D11</f>
        <v>203.94357764000003</v>
      </c>
      <c r="E9" s="1026">
        <f t="shared" si="1"/>
        <v>226.59508600000001</v>
      </c>
      <c r="F9" s="1026">
        <f t="shared" si="1"/>
        <v>203.94357764000003</v>
      </c>
      <c r="G9" s="1026">
        <f t="shared" si="1"/>
        <v>212.25092951000002</v>
      </c>
      <c r="H9" s="1027">
        <f t="shared" ref="H9:H27" si="2">IFERROR(IF(G9/E9*100&lt;-500,"-",IF(G9/E9*100&gt;500,"-",G9/E9*100)),"-")</f>
        <v>93.669696574973386</v>
      </c>
      <c r="I9" s="1027">
        <f t="shared" ref="I9:I27" si="3">IF(IFERROR((G9-F9)/F9*100,"")&gt;500,"-",IFERROR((G9-F9)/F9*100,""))</f>
        <v>4.0733579189554465</v>
      </c>
      <c r="J9" s="1027">
        <f t="shared" ref="J9:J26" si="4">IFERROR((G9-F9)/$F$29*100,"-")</f>
        <v>2.5842714339144035E-2</v>
      </c>
      <c r="K9" s="533"/>
      <c r="L9" s="533"/>
      <c r="M9" s="533"/>
      <c r="N9" s="534"/>
      <c r="O9" s="532"/>
      <c r="P9" s="532"/>
      <c r="Q9" s="534"/>
      <c r="R9" s="517"/>
      <c r="S9" s="517"/>
      <c r="T9" s="517"/>
    </row>
    <row r="10" spans="2:20" ht="15" customHeight="1">
      <c r="B10" s="517"/>
      <c r="C10" s="937" t="str">
        <f>IF(Indice_index!$Z$1=1,"Impostos diretos","Direct taxes")</f>
        <v>Direct taxes</v>
      </c>
      <c r="D10" s="1026">
        <v>0</v>
      </c>
      <c r="E10" s="1026">
        <v>0</v>
      </c>
      <c r="F10" s="1026">
        <v>0</v>
      </c>
      <c r="G10" s="1026">
        <v>0</v>
      </c>
      <c r="H10" s="1028" t="str">
        <f t="shared" si="2"/>
        <v>-</v>
      </c>
      <c r="I10" s="1028" t="str">
        <f t="shared" si="3"/>
        <v>-</v>
      </c>
      <c r="J10" s="1028">
        <f t="shared" si="4"/>
        <v>0</v>
      </c>
      <c r="K10" s="533"/>
      <c r="L10" s="533"/>
      <c r="M10" s="533"/>
      <c r="N10" s="517"/>
      <c r="O10" s="532"/>
      <c r="P10" s="532"/>
      <c r="Q10" s="517"/>
      <c r="R10" s="517"/>
      <c r="S10" s="517"/>
      <c r="T10" s="517"/>
    </row>
    <row r="11" spans="2:20" ht="15" customHeight="1">
      <c r="B11" s="517"/>
      <c r="C11" s="937" t="str">
        <f>IF(Indice_index!$Z$1=1,"Impostos indiretos","Indirect taxes")</f>
        <v>Indirect taxes</v>
      </c>
      <c r="D11" s="1026">
        <v>203.94357764000003</v>
      </c>
      <c r="E11" s="1026">
        <v>226.59508600000001</v>
      </c>
      <c r="F11" s="1026">
        <v>203.94357764000003</v>
      </c>
      <c r="G11" s="1026">
        <v>212.25092951000002</v>
      </c>
      <c r="H11" s="1028">
        <f t="shared" si="2"/>
        <v>93.669696574973386</v>
      </c>
      <c r="I11" s="1028">
        <f t="shared" si="3"/>
        <v>4.0733579189554465</v>
      </c>
      <c r="J11" s="1028">
        <f t="shared" si="4"/>
        <v>2.5842714339144035E-2</v>
      </c>
      <c r="K11" s="533"/>
      <c r="L11" s="533"/>
      <c r="M11" s="533"/>
      <c r="N11" s="517"/>
      <c r="O11" s="532"/>
      <c r="P11" s="532"/>
      <c r="Q11" s="517"/>
      <c r="R11" s="517"/>
      <c r="S11" s="517"/>
      <c r="T11" s="517"/>
    </row>
    <row r="12" spans="2:20" ht="15" customHeight="1">
      <c r="B12" s="517"/>
      <c r="C12" s="1025" t="str">
        <f>IF(Indice_index!$Z$1=1,"Contribuições para Segurança Social, CGA e ADSE","Contributions to the Social Security, Public Servants Social and ADSE")</f>
        <v>Contributions to the Social Security, Public Servants Social and ADSE</v>
      </c>
      <c r="D12" s="1026">
        <v>18229.902709180005</v>
      </c>
      <c r="E12" s="1026">
        <v>18928.074057000002</v>
      </c>
      <c r="F12" s="1026">
        <v>18229.902709180005</v>
      </c>
      <c r="G12" s="1026">
        <v>19943.29537132</v>
      </c>
      <c r="H12" s="1028">
        <f t="shared" si="2"/>
        <v>105.36357429320469</v>
      </c>
      <c r="I12" s="1028">
        <f t="shared" si="3"/>
        <v>9.3988031064871489</v>
      </c>
      <c r="J12" s="1028">
        <f t="shared" si="4"/>
        <v>5.3300639976947881</v>
      </c>
      <c r="K12" s="533"/>
      <c r="L12" s="533"/>
      <c r="M12" s="533"/>
      <c r="N12" s="517"/>
      <c r="O12" s="532"/>
      <c r="P12" s="532"/>
      <c r="Q12" s="517"/>
      <c r="R12" s="517"/>
      <c r="S12" s="517"/>
      <c r="T12" s="517"/>
    </row>
    <row r="13" spans="2:20" ht="15" customHeight="1">
      <c r="B13" s="517"/>
      <c r="C13" s="1025" t="str">
        <f>IF(Indice_index!$Z$1=1,"Taxas, Multas e Outras Penalidades","Taxes, fines and other penalties")</f>
        <v>Taxes, fines and other penalties</v>
      </c>
      <c r="D13" s="1026">
        <v>74.460031929999985</v>
      </c>
      <c r="E13" s="1026">
        <v>88.574914000000007</v>
      </c>
      <c r="F13" s="1026">
        <v>74.460031929999985</v>
      </c>
      <c r="G13" s="1026">
        <v>76.725850069999993</v>
      </c>
      <c r="H13" s="1028">
        <f t="shared" si="2"/>
        <v>86.6225510193552</v>
      </c>
      <c r="I13" s="1028">
        <f t="shared" si="3"/>
        <v>3.0429991517195525</v>
      </c>
      <c r="J13" s="1028">
        <f t="shared" si="4"/>
        <v>7.0485627493314454E-3</v>
      </c>
      <c r="K13" s="533"/>
      <c r="L13" s="533"/>
      <c r="M13" s="533"/>
      <c r="N13" s="517"/>
      <c r="O13" s="532"/>
      <c r="P13" s="532"/>
      <c r="Q13" s="517"/>
      <c r="R13" s="517"/>
      <c r="S13" s="517"/>
      <c r="T13" s="517"/>
    </row>
    <row r="14" spans="2:20" ht="15" customHeight="1">
      <c r="B14" s="517"/>
      <c r="C14" s="1025" t="str">
        <f>IF(Indice_index!$Z$1=1,"Transferências Correntes","Current transfers")</f>
        <v>Current transfers</v>
      </c>
      <c r="D14" s="1029">
        <f t="shared" ref="D14:G14" si="5">SUM(D15:D18)</f>
        <v>12901.81942247</v>
      </c>
      <c r="E14" s="1029">
        <f t="shared" si="5"/>
        <v>11732.671271999998</v>
      </c>
      <c r="F14" s="1029">
        <f t="shared" si="5"/>
        <v>12901.81942247</v>
      </c>
      <c r="G14" s="1029">
        <f t="shared" si="5"/>
        <v>12246.558167970003</v>
      </c>
      <c r="H14" s="1028">
        <f t="shared" si="2"/>
        <v>104.37996500589253</v>
      </c>
      <c r="I14" s="1028">
        <f t="shared" si="3"/>
        <v>-5.0788282880380784</v>
      </c>
      <c r="J14" s="1028">
        <f t="shared" si="4"/>
        <v>-2.038402812658592</v>
      </c>
      <c r="K14" s="533"/>
      <c r="L14" s="533"/>
      <c r="M14" s="533"/>
      <c r="N14" s="517"/>
      <c r="O14" s="532"/>
      <c r="P14" s="532"/>
      <c r="Q14" s="517"/>
      <c r="R14" s="517"/>
      <c r="S14" s="517"/>
      <c r="T14" s="517"/>
    </row>
    <row r="15" spans="2:20" ht="15" customHeight="1">
      <c r="B15" s="517"/>
      <c r="C15" s="751" t="str">
        <f>IF(Indice_index!$Z$1=1,"Administração Central","Central Administration")</f>
        <v>Central Administration</v>
      </c>
      <c r="D15" s="1026">
        <v>11903.639756909999</v>
      </c>
      <c r="E15" s="1026">
        <v>10043.470407999999</v>
      </c>
      <c r="F15" s="1026">
        <v>11903.639756909999</v>
      </c>
      <c r="G15" s="1026">
        <v>10871.419801170003</v>
      </c>
      <c r="H15" s="1028">
        <f t="shared" si="2"/>
        <v>108.24365841224078</v>
      </c>
      <c r="I15" s="1028">
        <f t="shared" si="3"/>
        <v>-8.6714650041454604</v>
      </c>
      <c r="J15" s="1028">
        <f t="shared" si="4"/>
        <v>-3.211055203726751</v>
      </c>
      <c r="K15" s="533"/>
      <c r="L15" s="533"/>
      <c r="M15" s="533"/>
      <c r="N15" s="517"/>
      <c r="O15" s="532"/>
      <c r="P15" s="532"/>
      <c r="Q15" s="517"/>
      <c r="R15" s="517"/>
      <c r="S15" s="517"/>
      <c r="T15" s="517"/>
    </row>
    <row r="16" spans="2:20" ht="15" customHeight="1">
      <c r="B16" s="517"/>
      <c r="C16" s="937" t="str">
        <f>IF(Indice_index!$Z$1=1,"Outros subsectores das AP","Other General Government subsectors")</f>
        <v>Other General Government subsectors</v>
      </c>
      <c r="D16" s="1026">
        <v>0</v>
      </c>
      <c r="E16" s="1026">
        <v>0</v>
      </c>
      <c r="F16" s="1026">
        <v>0</v>
      </c>
      <c r="G16" s="1026">
        <v>0</v>
      </c>
      <c r="H16" s="1028" t="str">
        <f t="shared" si="2"/>
        <v>-</v>
      </c>
      <c r="I16" s="1028" t="str">
        <f t="shared" si="3"/>
        <v>-</v>
      </c>
      <c r="J16" s="1028">
        <f t="shared" si="4"/>
        <v>0</v>
      </c>
      <c r="K16" s="533"/>
      <c r="L16" s="533"/>
      <c r="M16" s="533"/>
      <c r="N16" s="517"/>
      <c r="O16" s="532"/>
      <c r="P16" s="532"/>
      <c r="Q16" s="517"/>
      <c r="R16" s="517"/>
      <c r="S16" s="517"/>
      <c r="T16" s="517"/>
    </row>
    <row r="17" spans="2:29" ht="15" customHeight="1">
      <c r="B17" s="517"/>
      <c r="C17" s="937" t="str">
        <f>IF(Indice_index!$Z$1=1,"União Europeia","European Union")</f>
        <v>European Union</v>
      </c>
      <c r="D17" s="1026">
        <v>996.22615346000009</v>
      </c>
      <c r="E17" s="1026">
        <v>1687.4808640000001</v>
      </c>
      <c r="F17" s="1026">
        <v>996.22615346000009</v>
      </c>
      <c r="G17" s="1026">
        <v>1373.0060138600002</v>
      </c>
      <c r="H17" s="1028">
        <f t="shared" si="2"/>
        <v>81.364241998302163</v>
      </c>
      <c r="I17" s="1028">
        <f t="shared" si="3"/>
        <v>37.820715616770677</v>
      </c>
      <c r="J17" s="1028">
        <f t="shared" si="4"/>
        <v>1.172096048588319</v>
      </c>
      <c r="K17" s="533"/>
      <c r="L17" s="533"/>
      <c r="M17" s="533"/>
      <c r="N17" s="517"/>
      <c r="O17" s="532"/>
      <c r="P17" s="532"/>
      <c r="Q17" s="517"/>
      <c r="R17" s="517"/>
      <c r="S17" s="517"/>
      <c r="T17" s="517"/>
      <c r="U17" s="517"/>
      <c r="V17" s="517"/>
      <c r="W17" s="517"/>
      <c r="X17" s="517"/>
      <c r="Y17" s="517"/>
      <c r="Z17" s="517"/>
      <c r="AA17" s="517"/>
      <c r="AB17" s="517"/>
      <c r="AC17" s="517"/>
    </row>
    <row r="18" spans="2:29" ht="15" customHeight="1">
      <c r="B18" s="517"/>
      <c r="C18" s="937" t="str">
        <f>IF(Indice_index!$Z$1=1,"Outras transferências","Other transfers")</f>
        <v>Other transfers</v>
      </c>
      <c r="D18" s="1026">
        <v>1.9535120999999995</v>
      </c>
      <c r="E18" s="1026">
        <v>1.72</v>
      </c>
      <c r="F18" s="1026">
        <v>1.9535120999999995</v>
      </c>
      <c r="G18" s="1026">
        <v>2.1323529399999996</v>
      </c>
      <c r="H18" s="1028">
        <f t="shared" si="2"/>
        <v>123.97400813953487</v>
      </c>
      <c r="I18" s="1028">
        <f t="shared" si="3"/>
        <v>9.1548365633363709</v>
      </c>
      <c r="J18" s="1028">
        <f t="shared" si="4"/>
        <v>5.5634247984400983E-4</v>
      </c>
      <c r="K18" s="533"/>
      <c r="L18" s="533"/>
      <c r="M18" s="533"/>
      <c r="N18" s="517"/>
      <c r="O18" s="532"/>
      <c r="P18" s="532"/>
      <c r="Q18" s="517"/>
      <c r="R18" s="517"/>
      <c r="S18" s="517"/>
      <c r="T18" s="517"/>
      <c r="U18" s="517"/>
      <c r="V18" s="517"/>
      <c r="W18" s="517"/>
      <c r="X18" s="517"/>
      <c r="Y18" s="517"/>
      <c r="Z18" s="517"/>
      <c r="AA18" s="517"/>
      <c r="AB18" s="517"/>
      <c r="AC18" s="517"/>
    </row>
    <row r="19" spans="2:29" ht="15" customHeight="1">
      <c r="B19" s="535"/>
      <c r="C19" s="1025" t="str">
        <f>IF(Indice_index!$Z$1=1,"Outras receitas correntes","Other current revenue")</f>
        <v>Other current revenue</v>
      </c>
      <c r="D19" s="1026">
        <v>734.69079620000002</v>
      </c>
      <c r="E19" s="1026">
        <v>691.77347299999997</v>
      </c>
      <c r="F19" s="1026">
        <v>734.69079620000002</v>
      </c>
      <c r="G19" s="1026">
        <v>1000.3520372399998</v>
      </c>
      <c r="H19" s="1028">
        <f t="shared" si="2"/>
        <v>144.60688018316074</v>
      </c>
      <c r="I19" s="1028">
        <f t="shared" si="3"/>
        <v>36.159598352676333</v>
      </c>
      <c r="J19" s="1028">
        <f t="shared" si="4"/>
        <v>0.82642551689329269</v>
      </c>
      <c r="K19" s="533"/>
      <c r="L19" s="533"/>
      <c r="M19" s="533"/>
      <c r="N19" s="517"/>
      <c r="O19" s="532"/>
      <c r="P19" s="532"/>
      <c r="Q19" s="517"/>
      <c r="R19" s="517"/>
      <c r="S19" s="517"/>
      <c r="T19" s="517"/>
      <c r="U19" s="517"/>
      <c r="V19" s="517"/>
      <c r="W19" s="517"/>
      <c r="X19" s="517"/>
      <c r="Y19" s="517"/>
      <c r="Z19" s="517"/>
      <c r="AA19" s="517"/>
      <c r="AB19" s="517"/>
      <c r="AC19" s="517"/>
    </row>
    <row r="20" spans="2:29" s="526" customFormat="1" ht="15" customHeight="1">
      <c r="B20" s="536"/>
      <c r="C20" s="1023" t="str">
        <f>IF(Indice_index!$Z$1=1,"Receita de capital","Capital revenue")</f>
        <v>Capital revenue</v>
      </c>
      <c r="D20" s="1024">
        <f t="shared" ref="D20:G20" si="6">+D21+D22+D27</f>
        <v>1.0012779200000002</v>
      </c>
      <c r="E20" s="1024">
        <f t="shared" si="6"/>
        <v>7.4858069999999994</v>
      </c>
      <c r="F20" s="1024">
        <f t="shared" si="6"/>
        <v>1.0012779200000002</v>
      </c>
      <c r="G20" s="1024">
        <f t="shared" si="6"/>
        <v>0.91545309000000008</v>
      </c>
      <c r="H20" s="1024">
        <f t="shared" si="2"/>
        <v>12.229183707247596</v>
      </c>
      <c r="I20" s="1024">
        <f t="shared" si="3"/>
        <v>-8.5715292713136098</v>
      </c>
      <c r="J20" s="1024">
        <f t="shared" si="4"/>
        <v>-2.6698599019323878E-4</v>
      </c>
      <c r="K20" s="530"/>
      <c r="L20" s="530"/>
      <c r="M20" s="530"/>
      <c r="N20" s="525"/>
      <c r="O20" s="532"/>
      <c r="P20" s="532"/>
      <c r="Q20" s="525"/>
      <c r="R20" s="525"/>
      <c r="S20" s="525"/>
      <c r="T20" s="525"/>
      <c r="U20" s="525"/>
      <c r="V20" s="525"/>
      <c r="W20" s="525"/>
      <c r="X20" s="525"/>
      <c r="Y20" s="525"/>
      <c r="Z20" s="525"/>
      <c r="AA20" s="525"/>
      <c r="AB20" s="525"/>
      <c r="AC20" s="525"/>
    </row>
    <row r="21" spans="2:29" ht="15" customHeight="1">
      <c r="B21" s="535"/>
      <c r="C21" s="1025" t="str">
        <f>IF(Indice_index!$Z$1=1,"Venda de bens de investimento","Sale of investment goods")</f>
        <v>Sale of investment goods</v>
      </c>
      <c r="D21" s="1026">
        <v>0.56332407000000007</v>
      </c>
      <c r="E21" s="1026">
        <v>5.1741950000000001</v>
      </c>
      <c r="F21" s="1026">
        <v>0.56332407000000007</v>
      </c>
      <c r="G21" s="1026">
        <v>0.61795309000000009</v>
      </c>
      <c r="H21" s="1028">
        <f t="shared" si="2"/>
        <v>11.942980309014255</v>
      </c>
      <c r="I21" s="1028">
        <f t="shared" si="3"/>
        <v>9.6976186371727415</v>
      </c>
      <c r="J21" s="1028">
        <f t="shared" si="4"/>
        <v>1.6994129785035682E-4</v>
      </c>
      <c r="K21" s="533"/>
      <c r="L21" s="533"/>
      <c r="M21" s="533"/>
      <c r="N21" s="517"/>
      <c r="O21" s="532"/>
      <c r="P21" s="532"/>
      <c r="Q21" s="517"/>
      <c r="R21" s="517"/>
      <c r="S21" s="517"/>
      <c r="T21" s="517"/>
      <c r="U21" s="517"/>
      <c r="V21" s="517"/>
      <c r="W21" s="517"/>
      <c r="X21" s="517"/>
      <c r="Y21" s="517"/>
      <c r="Z21" s="517"/>
      <c r="AA21" s="517"/>
      <c r="AB21" s="517"/>
      <c r="AC21" s="517"/>
    </row>
    <row r="22" spans="2:29" ht="15" customHeight="1">
      <c r="B22" s="537"/>
      <c r="C22" s="1025" t="str">
        <f>IF(Indice_index!$Z$1=1,"Transferências de capital","Capital transfers")</f>
        <v>Capital transfers</v>
      </c>
      <c r="D22" s="1029">
        <f t="shared" ref="D22:G22" si="7">+SUM(D23:D26)</f>
        <v>0.4355</v>
      </c>
      <c r="E22" s="1029">
        <f t="shared" si="7"/>
        <v>1.8776079999999999</v>
      </c>
      <c r="F22" s="1029">
        <f t="shared" si="7"/>
        <v>0.4355</v>
      </c>
      <c r="G22" s="1029">
        <f t="shared" si="7"/>
        <v>0.29749999999999999</v>
      </c>
      <c r="H22" s="1028">
        <f t="shared" si="2"/>
        <v>15.844627845641901</v>
      </c>
      <c r="I22" s="1028">
        <f t="shared" si="3"/>
        <v>-31.687715269804823</v>
      </c>
      <c r="J22" s="1028">
        <f t="shared" si="4"/>
        <v>-4.2929379116354697E-4</v>
      </c>
      <c r="K22" s="533"/>
      <c r="L22" s="533"/>
      <c r="M22" s="533"/>
      <c r="N22" s="517"/>
      <c r="O22" s="532"/>
      <c r="P22" s="532"/>
      <c r="Q22" s="517"/>
      <c r="R22" s="517"/>
      <c r="S22" s="517"/>
      <c r="T22" s="517"/>
      <c r="U22" s="517"/>
      <c r="V22" s="517"/>
      <c r="W22" s="517"/>
      <c r="X22" s="517"/>
      <c r="Y22" s="517"/>
      <c r="Z22" s="517"/>
      <c r="AA22" s="517"/>
      <c r="AB22" s="517"/>
      <c r="AC22" s="517"/>
    </row>
    <row r="23" spans="2:29" ht="15" customHeight="1">
      <c r="B23" s="537"/>
      <c r="C23" s="751" t="str">
        <f>IF(Indice_index!$Z$1=1,"Administração Central","Central Administration")</f>
        <v>Central Administration</v>
      </c>
      <c r="D23" s="1026">
        <v>0.4355</v>
      </c>
      <c r="E23" s="1026">
        <v>1.8776079999999999</v>
      </c>
      <c r="F23" s="1026">
        <v>0.4355</v>
      </c>
      <c r="G23" s="1026">
        <v>0.29749999999999999</v>
      </c>
      <c r="H23" s="1028">
        <f t="shared" si="2"/>
        <v>15.844627845641901</v>
      </c>
      <c r="I23" s="1028">
        <f t="shared" si="3"/>
        <v>-31.687715269804823</v>
      </c>
      <c r="J23" s="1028">
        <f t="shared" si="4"/>
        <v>-4.2929379116354697E-4</v>
      </c>
      <c r="K23" s="533"/>
      <c r="L23" s="533"/>
      <c r="M23" s="533"/>
      <c r="N23" s="517"/>
      <c r="O23" s="532"/>
      <c r="P23" s="532"/>
      <c r="Q23" s="517"/>
      <c r="R23" s="517"/>
      <c r="S23" s="517"/>
      <c r="T23" s="517"/>
      <c r="U23" s="517"/>
      <c r="V23" s="517"/>
      <c r="W23" s="517"/>
      <c r="X23" s="517"/>
      <c r="Y23" s="517"/>
      <c r="Z23" s="517"/>
      <c r="AA23" s="517"/>
      <c r="AB23" s="517"/>
      <c r="AC23" s="517"/>
    </row>
    <row r="24" spans="2:29" ht="15" customHeight="1">
      <c r="B24" s="537"/>
      <c r="C24" s="937" t="str">
        <f>IF(Indice_index!$Z$1=1,"Outros subsectores das AP","Other General Government subsectors")</f>
        <v>Other General Government subsectors</v>
      </c>
      <c r="D24" s="1026">
        <v>0</v>
      </c>
      <c r="E24" s="1026">
        <v>0</v>
      </c>
      <c r="F24" s="1026">
        <v>0</v>
      </c>
      <c r="G24" s="1026">
        <v>0</v>
      </c>
      <c r="H24" s="1028" t="str">
        <f t="shared" si="2"/>
        <v>-</v>
      </c>
      <c r="I24" s="1028" t="str">
        <f t="shared" si="3"/>
        <v>-</v>
      </c>
      <c r="J24" s="1028">
        <f t="shared" si="4"/>
        <v>0</v>
      </c>
      <c r="K24" s="533"/>
      <c r="L24" s="533"/>
      <c r="M24" s="533"/>
      <c r="N24" s="517"/>
      <c r="O24" s="532"/>
      <c r="P24" s="532"/>
      <c r="Q24" s="517"/>
      <c r="R24" s="517"/>
      <c r="S24" s="517"/>
      <c r="T24" s="517"/>
      <c r="U24" s="517"/>
      <c r="V24" s="517"/>
      <c r="W24" s="517"/>
      <c r="X24" s="517"/>
      <c r="Y24" s="517"/>
      <c r="Z24" s="517"/>
      <c r="AA24" s="517"/>
      <c r="AB24" s="517"/>
      <c r="AC24" s="517"/>
    </row>
    <row r="25" spans="2:29" ht="15" customHeight="1">
      <c r="B25" s="517"/>
      <c r="C25" s="937" t="str">
        <f>IF(Indice_index!$Z$1=1,"União Europeia","European Union")</f>
        <v>European Union</v>
      </c>
      <c r="D25" s="1026">
        <v>0</v>
      </c>
      <c r="E25" s="1026">
        <v>0</v>
      </c>
      <c r="F25" s="1026">
        <v>0</v>
      </c>
      <c r="G25" s="1026">
        <v>0</v>
      </c>
      <c r="H25" s="1028" t="str">
        <f t="shared" si="2"/>
        <v>-</v>
      </c>
      <c r="I25" s="1028" t="str">
        <f t="shared" si="3"/>
        <v>-</v>
      </c>
      <c r="J25" s="1028">
        <f t="shared" si="4"/>
        <v>0</v>
      </c>
      <c r="K25" s="533"/>
      <c r="L25" s="533"/>
      <c r="M25" s="533"/>
      <c r="N25" s="517"/>
      <c r="O25" s="532"/>
      <c r="P25" s="532"/>
      <c r="Q25" s="517"/>
      <c r="R25" s="517"/>
      <c r="S25" s="517"/>
      <c r="T25" s="517"/>
      <c r="U25" s="517"/>
      <c r="V25" s="517"/>
      <c r="W25" s="517"/>
      <c r="X25" s="517"/>
      <c r="Y25" s="517"/>
      <c r="Z25" s="517"/>
      <c r="AA25" s="517"/>
      <c r="AB25" s="517"/>
      <c r="AC25" s="517"/>
    </row>
    <row r="26" spans="2:29" ht="15" customHeight="1">
      <c r="B26" s="517"/>
      <c r="C26" s="937" t="str">
        <f>IF(Indice_index!$Z$1=1,"Outras transferências","Other transfers")</f>
        <v>Other transfers</v>
      </c>
      <c r="D26" s="1026">
        <v>0</v>
      </c>
      <c r="E26" s="1026">
        <v>0</v>
      </c>
      <c r="F26" s="1026">
        <v>0</v>
      </c>
      <c r="G26" s="1026">
        <v>0</v>
      </c>
      <c r="H26" s="1028" t="str">
        <f t="shared" si="2"/>
        <v>-</v>
      </c>
      <c r="I26" s="1028" t="str">
        <f t="shared" si="3"/>
        <v>-</v>
      </c>
      <c r="J26" s="1028">
        <f t="shared" si="4"/>
        <v>0</v>
      </c>
      <c r="K26" s="533"/>
      <c r="L26" s="533"/>
      <c r="M26" s="533"/>
      <c r="N26" s="517"/>
      <c r="O26" s="532"/>
      <c r="P26" s="532"/>
      <c r="Q26" s="517"/>
      <c r="R26" s="517"/>
      <c r="S26" s="517"/>
      <c r="T26" s="517"/>
      <c r="U26" s="517"/>
      <c r="V26" s="517"/>
      <c r="W26" s="517"/>
      <c r="X26" s="517"/>
      <c r="Y26" s="517"/>
      <c r="Z26" s="517"/>
      <c r="AA26" s="517"/>
      <c r="AB26" s="517"/>
      <c r="AC26" s="517"/>
    </row>
    <row r="27" spans="2:29" ht="15" customHeight="1">
      <c r="B27" s="517"/>
      <c r="C27" s="1025" t="str">
        <f>IF(Indice_index!$Z$1=1,"Outras Receitas de Capital","Other capital revenue")</f>
        <v>Other capital revenue</v>
      </c>
      <c r="D27" s="1026">
        <v>2.45385E-3</v>
      </c>
      <c r="E27" s="1026">
        <v>0.434004</v>
      </c>
      <c r="F27" s="1026">
        <v>2.45385E-3</v>
      </c>
      <c r="G27" s="1026">
        <v>0</v>
      </c>
      <c r="H27" s="1028">
        <f t="shared" si="2"/>
        <v>0</v>
      </c>
      <c r="I27" s="1028">
        <f t="shared" si="3"/>
        <v>-100</v>
      </c>
      <c r="J27" s="1028">
        <f>IFERROR((G27-F27)/$F$29*100,"-")</f>
        <v>-7.6334968800483312E-6</v>
      </c>
      <c r="K27" s="533"/>
      <c r="L27" s="533"/>
      <c r="M27" s="533"/>
      <c r="N27" s="517"/>
      <c r="O27" s="532"/>
      <c r="P27" s="532"/>
      <c r="Q27" s="517"/>
      <c r="R27" s="517"/>
      <c r="S27" s="517"/>
      <c r="T27" s="517"/>
      <c r="U27" s="517"/>
      <c r="V27" s="517"/>
      <c r="W27" s="517"/>
      <c r="X27" s="517"/>
      <c r="Y27" s="517"/>
      <c r="Z27" s="517"/>
      <c r="AA27" s="517"/>
      <c r="AB27" s="517"/>
      <c r="AC27" s="517"/>
    </row>
    <row r="28" spans="2:29" ht="4.5" customHeight="1">
      <c r="B28" s="517"/>
      <c r="C28" s="937"/>
      <c r="D28" s="1028"/>
      <c r="E28" s="1028"/>
      <c r="F28" s="1028"/>
      <c r="G28" s="1028"/>
      <c r="H28" s="1028"/>
      <c r="I28" s="1028"/>
      <c r="J28" s="1028"/>
      <c r="K28" s="533"/>
      <c r="L28" s="533"/>
      <c r="M28" s="533"/>
      <c r="N28" s="517"/>
      <c r="O28" s="532"/>
      <c r="P28" s="532"/>
      <c r="Q28" s="517"/>
      <c r="R28" s="517"/>
      <c r="S28" s="517"/>
      <c r="T28" s="517"/>
      <c r="U28" s="517"/>
      <c r="V28" s="517"/>
      <c r="W28" s="517"/>
      <c r="X28" s="517"/>
      <c r="Y28" s="517"/>
      <c r="Z28" s="517"/>
      <c r="AA28" s="517"/>
      <c r="AB28" s="517"/>
      <c r="AC28" s="517"/>
    </row>
    <row r="29" spans="2:29" s="526" customFormat="1" ht="15" customHeight="1">
      <c r="B29" s="525"/>
      <c r="C29" s="1030" t="str">
        <f>IF(Indice_index!$Z$1=1,"Receita efetiva","Effective revenue")</f>
        <v>Effective revenue</v>
      </c>
      <c r="D29" s="1031">
        <f>+D8+D20</f>
        <v>32145.817815340008</v>
      </c>
      <c r="E29" s="1031">
        <f>+E8+E20</f>
        <v>31675.174609000005</v>
      </c>
      <c r="F29" s="1031">
        <f t="shared" ref="F29" si="8">+F8+F20</f>
        <v>32145.817815340008</v>
      </c>
      <c r="G29" s="1031">
        <f t="shared" ref="G29" si="9">+G8+G20</f>
        <v>33480.0978092</v>
      </c>
      <c r="H29" s="1031">
        <f t="shared" ref="H29" si="10">IFERROR(IF(G29/E29*100&lt;-500,"-",IF(G29/E29*100&gt;500,"-",G29/E29*100)),"-")</f>
        <v>105.69822652117963</v>
      </c>
      <c r="I29" s="1031">
        <f t="shared" ref="I29" si="11">IF(IFERROR((G29-F29)/F29*100,"")&gt;500,"-",IFERROR((G29-F29)/F29*100,""))</f>
        <v>4.150710993027757</v>
      </c>
      <c r="J29" s="1031"/>
      <c r="K29" s="530"/>
      <c r="L29" s="530"/>
      <c r="M29" s="530"/>
      <c r="N29" s="525"/>
      <c r="O29" s="532"/>
      <c r="P29" s="532"/>
      <c r="Q29" s="525"/>
      <c r="R29" s="525"/>
      <c r="S29" s="525"/>
      <c r="T29" s="525"/>
      <c r="U29" s="525"/>
      <c r="V29" s="525"/>
      <c r="W29" s="525"/>
      <c r="X29" s="525"/>
      <c r="Y29" s="525"/>
      <c r="Z29" s="525"/>
      <c r="AA29" s="525"/>
      <c r="AB29" s="525"/>
      <c r="AC29" s="525"/>
    </row>
    <row r="30" spans="2:29" ht="4.5" customHeight="1">
      <c r="B30" s="517"/>
      <c r="C30" s="937"/>
      <c r="D30" s="1028"/>
      <c r="E30" s="1028"/>
      <c r="F30" s="1028"/>
      <c r="G30" s="1028"/>
      <c r="H30" s="1028"/>
      <c r="I30" s="1028"/>
      <c r="J30" s="1028"/>
      <c r="K30" s="533"/>
      <c r="L30" s="533"/>
      <c r="M30" s="533"/>
      <c r="N30" s="517"/>
      <c r="O30" s="532"/>
      <c r="P30" s="532"/>
      <c r="Q30" s="517"/>
      <c r="R30" s="517"/>
      <c r="S30" s="517"/>
      <c r="T30" s="517"/>
      <c r="U30" s="517"/>
      <c r="V30" s="517"/>
      <c r="W30" s="517"/>
      <c r="X30" s="517"/>
      <c r="Y30" s="517"/>
      <c r="Z30" s="517"/>
      <c r="AA30" s="517"/>
      <c r="AB30" s="517"/>
      <c r="AC30" s="517"/>
    </row>
    <row r="31" spans="2:29" s="526" customFormat="1" ht="15" customHeight="1">
      <c r="B31" s="525"/>
      <c r="C31" s="1023" t="str">
        <f>IF(Indice_index!$Z$1=1,"Despesa corrente","Current Expenditure")</f>
        <v>Current Expenditure</v>
      </c>
      <c r="D31" s="1024">
        <f t="shared" ref="D31:G31" si="12">+D32+D36+D37+D38+D43+D44</f>
        <v>29979.18600795</v>
      </c>
      <c r="E31" s="1024">
        <f t="shared" si="12"/>
        <v>30666.789027999999</v>
      </c>
      <c r="F31" s="1024">
        <f t="shared" si="12"/>
        <v>29979.18600795</v>
      </c>
      <c r="G31" s="1024">
        <f t="shared" si="12"/>
        <v>31183.496902189996</v>
      </c>
      <c r="H31" s="1024">
        <f t="shared" ref="H31:H52" si="13">IFERROR(IF(G31/E31*100&lt;-500,"-",IF(G31/E31*100&gt;500,"-",G31/E31*100)),"-")</f>
        <v>101.68491025818915</v>
      </c>
      <c r="I31" s="1024">
        <f t="shared" ref="I31:I52" si="14">IF(IFERROR((G31-F31)/F31*100,"")&gt;500,"-",IFERROR((G31-F31)/F31*100,""))</f>
        <v>4.0171567497550864</v>
      </c>
      <c r="J31" s="1024">
        <f>IFERROR((G31-F31)/$F$54*100,"-")</f>
        <v>4.0124576880485314</v>
      </c>
      <c r="K31" s="530"/>
      <c r="L31" s="530"/>
      <c r="M31" s="530"/>
      <c r="N31" s="525"/>
      <c r="O31" s="532"/>
      <c r="P31" s="532"/>
      <c r="Q31" s="525"/>
      <c r="R31" s="525"/>
      <c r="S31" s="525"/>
      <c r="T31" s="525"/>
      <c r="U31" s="525"/>
      <c r="V31" s="525"/>
      <c r="W31" s="525"/>
      <c r="X31" s="525"/>
      <c r="Y31" s="525"/>
      <c r="Z31" s="525"/>
      <c r="AA31" s="525"/>
      <c r="AB31" s="525"/>
      <c r="AC31" s="525"/>
    </row>
    <row r="32" spans="2:29" ht="15" customHeight="1">
      <c r="B32" s="517"/>
      <c r="C32" s="1025" t="str">
        <f>IF(Indice_index!$Z$1=1,"Despesas com o pessoal","Employees")</f>
        <v>Employees</v>
      </c>
      <c r="D32" s="1028">
        <f t="shared" ref="D32:G32" si="15">+D33+D34+D35</f>
        <v>286.11584957999997</v>
      </c>
      <c r="E32" s="1028">
        <f t="shared" si="15"/>
        <v>317.33482300000003</v>
      </c>
      <c r="F32" s="1028">
        <f t="shared" si="15"/>
        <v>286.11584957999992</v>
      </c>
      <c r="G32" s="1028">
        <f t="shared" si="15"/>
        <v>292.8387383299999</v>
      </c>
      <c r="H32" s="1028">
        <f t="shared" si="13"/>
        <v>92.280681824194204</v>
      </c>
      <c r="I32" s="1028">
        <f t="shared" si="14"/>
        <v>2.3497086092464854</v>
      </c>
      <c r="J32" s="1028">
        <f t="shared" ref="J32:J52" si="16">IFERROR((G32-F32)/$F$54*100,"-")</f>
        <v>2.2398955933929092E-2</v>
      </c>
      <c r="K32" s="533"/>
      <c r="L32" s="533"/>
      <c r="M32" s="533"/>
      <c r="N32" s="517"/>
      <c r="O32" s="532"/>
      <c r="P32" s="532"/>
      <c r="Q32" s="517"/>
      <c r="R32" s="517"/>
      <c r="S32" s="517"/>
      <c r="T32" s="517"/>
      <c r="U32" s="517"/>
      <c r="V32" s="517"/>
      <c r="W32" s="517"/>
      <c r="X32" s="517"/>
      <c r="Y32" s="517"/>
      <c r="Z32" s="517"/>
      <c r="AA32" s="517"/>
      <c r="AB32" s="517"/>
      <c r="AC32" s="517"/>
    </row>
    <row r="33" spans="2:29" ht="15" customHeight="1">
      <c r="B33" s="517"/>
      <c r="C33" s="751" t="str">
        <f>IF(Indice_index!$Z$1=1,"Remunerações Certas e Permanentes","Certain and permanent wages")</f>
        <v>Certain and permanent wages</v>
      </c>
      <c r="D33" s="1026">
        <v>227.86076487</v>
      </c>
      <c r="E33" s="1026">
        <v>252.55992599999999</v>
      </c>
      <c r="F33" s="1026">
        <v>227.86076486999991</v>
      </c>
      <c r="G33" s="1026">
        <v>233.69786924999991</v>
      </c>
      <c r="H33" s="1028">
        <f t="shared" si="13"/>
        <v>92.53165098329967</v>
      </c>
      <c r="I33" s="1028">
        <f t="shared" si="14"/>
        <v>2.5616978786717448</v>
      </c>
      <c r="J33" s="1028">
        <f t="shared" si="16"/>
        <v>1.9447747635176149E-2</v>
      </c>
      <c r="K33" s="533"/>
      <c r="L33" s="533"/>
      <c r="M33" s="533"/>
      <c r="N33" s="517"/>
      <c r="O33" s="532"/>
      <c r="P33" s="532"/>
      <c r="Q33" s="517"/>
      <c r="R33" s="517"/>
      <c r="S33" s="517"/>
      <c r="T33" s="517"/>
      <c r="U33" s="517"/>
      <c r="V33" s="517"/>
      <c r="W33" s="517"/>
      <c r="X33" s="517"/>
      <c r="Y33" s="517"/>
      <c r="Z33" s="517"/>
      <c r="AA33" s="517"/>
      <c r="AB33" s="517"/>
      <c r="AC33" s="517"/>
    </row>
    <row r="34" spans="2:29" ht="15" customHeight="1">
      <c r="B34" s="517"/>
      <c r="C34" s="751" t="str">
        <f>IF(Indice_index!$Z$1=1,"Abonos Variáveis ou Eventuais","Variable or contingent bonuses")</f>
        <v>Variable or contingent bonuses</v>
      </c>
      <c r="D34" s="1026">
        <v>4.592797749999999</v>
      </c>
      <c r="E34" s="1026">
        <v>6.7123809999999997</v>
      </c>
      <c r="F34" s="1026">
        <v>4.5927977499999999</v>
      </c>
      <c r="G34" s="1026">
        <v>5.1169230199999998</v>
      </c>
      <c r="H34" s="1028">
        <f t="shared" si="13"/>
        <v>76.231117095409218</v>
      </c>
      <c r="I34" s="1028">
        <f t="shared" si="14"/>
        <v>11.411895287572808</v>
      </c>
      <c r="J34" s="1028">
        <f t="shared" si="16"/>
        <v>1.7462521340381716E-3</v>
      </c>
      <c r="K34" s="533"/>
      <c r="L34" s="533"/>
      <c r="M34" s="533"/>
      <c r="N34" s="517"/>
      <c r="O34" s="532"/>
      <c r="P34" s="532"/>
      <c r="Q34" s="517"/>
      <c r="R34" s="517"/>
      <c r="S34" s="517"/>
      <c r="T34" s="517"/>
      <c r="U34" s="517"/>
      <c r="V34" s="517"/>
      <c r="W34" s="517"/>
      <c r="X34" s="517"/>
      <c r="Y34" s="517"/>
      <c r="Z34" s="517"/>
      <c r="AA34" s="517"/>
      <c r="AB34" s="517"/>
      <c r="AC34" s="517"/>
    </row>
    <row r="35" spans="2:29" ht="15" customHeight="1">
      <c r="B35" s="517"/>
      <c r="C35" s="751" t="str">
        <f>IF(Indice_index!$Z$1=1,"Segurança social","Social security")</f>
        <v>Social security</v>
      </c>
      <c r="D35" s="1026">
        <v>53.662286960000003</v>
      </c>
      <c r="E35" s="1026">
        <v>58.062516000000002</v>
      </c>
      <c r="F35" s="1026">
        <v>53.662286959999996</v>
      </c>
      <c r="G35" s="1026">
        <v>54.023946060000007</v>
      </c>
      <c r="H35" s="1028">
        <f t="shared" si="13"/>
        <v>93.044445507666268</v>
      </c>
      <c r="I35" s="1028">
        <f t="shared" si="14"/>
        <v>0.67395394510411555</v>
      </c>
      <c r="J35" s="1028">
        <f t="shared" si="16"/>
        <v>1.2049561647148677E-3</v>
      </c>
      <c r="K35" s="533"/>
      <c r="L35" s="533"/>
      <c r="M35" s="533"/>
      <c r="N35" s="517"/>
      <c r="O35" s="532"/>
      <c r="P35" s="532"/>
      <c r="Q35" s="517"/>
      <c r="R35" s="517"/>
      <c r="S35" s="517"/>
      <c r="T35" s="517"/>
      <c r="U35" s="517"/>
      <c r="V35" s="517"/>
      <c r="W35" s="517"/>
      <c r="X35" s="517"/>
      <c r="Y35" s="517"/>
      <c r="Z35" s="517"/>
      <c r="AA35" s="517"/>
      <c r="AB35" s="517"/>
      <c r="AC35" s="517"/>
    </row>
    <row r="36" spans="2:29" ht="15" customHeight="1">
      <c r="B36" s="517"/>
      <c r="C36" s="1025" t="str">
        <f>IF(Indice_index!$Z$1=1,"Aquisição de bens e serviços","Purchase of goods and services")</f>
        <v>Purchase of goods and services</v>
      </c>
      <c r="D36" s="1026">
        <v>86.384172190000001</v>
      </c>
      <c r="E36" s="1026">
        <v>176.42359999999999</v>
      </c>
      <c r="F36" s="1026">
        <v>86.384172190000001</v>
      </c>
      <c r="G36" s="1026">
        <v>99.54757785999999</v>
      </c>
      <c r="H36" s="1028">
        <f t="shared" si="13"/>
        <v>56.425318302086566</v>
      </c>
      <c r="I36" s="1028">
        <f t="shared" si="14"/>
        <v>15.238214751942497</v>
      </c>
      <c r="J36" s="1028">
        <f t="shared" si="16"/>
        <v>4.385712072697364E-2</v>
      </c>
      <c r="K36" s="533"/>
      <c r="L36" s="533"/>
      <c r="M36" s="533"/>
      <c r="N36" s="517"/>
      <c r="O36" s="532"/>
      <c r="P36" s="532"/>
      <c r="Q36" s="517"/>
      <c r="R36" s="517"/>
      <c r="S36" s="517"/>
      <c r="T36" s="517"/>
      <c r="U36" s="517"/>
      <c r="V36" s="517"/>
      <c r="W36" s="517"/>
      <c r="X36" s="538"/>
      <c r="Y36" s="517"/>
      <c r="Z36" s="517"/>
      <c r="AA36" s="538"/>
      <c r="AB36" s="517"/>
      <c r="AC36" s="538"/>
    </row>
    <row r="37" spans="2:29" ht="15" customHeight="1">
      <c r="C37" s="1025" t="str">
        <f>IF(Indice_index!$Z$1=1,"Juros e outros encargos","Interests")</f>
        <v>Interests</v>
      </c>
      <c r="D37" s="1026">
        <v>6.9646645900000017</v>
      </c>
      <c r="E37" s="1026">
        <v>12.464637</v>
      </c>
      <c r="F37" s="1026">
        <v>6.9646645899999999</v>
      </c>
      <c r="G37" s="1026">
        <v>6.4904866200000013</v>
      </c>
      <c r="H37" s="1028">
        <f t="shared" si="13"/>
        <v>52.071204480323033</v>
      </c>
      <c r="I37" s="1028">
        <f t="shared" si="14"/>
        <v>-6.8083389210276195</v>
      </c>
      <c r="J37" s="1028">
        <f t="shared" si="16"/>
        <v>-1.5798404301826277E-3</v>
      </c>
      <c r="K37" s="533"/>
      <c r="L37" s="533"/>
      <c r="M37" s="533"/>
      <c r="N37" s="517"/>
      <c r="O37" s="532"/>
      <c r="P37" s="532"/>
      <c r="Q37" s="517"/>
      <c r="R37" s="517"/>
      <c r="S37" s="517"/>
      <c r="T37" s="517"/>
      <c r="U37" s="517"/>
      <c r="V37" s="517"/>
      <c r="W37" s="517"/>
    </row>
    <row r="38" spans="2:29" ht="15" customHeight="1">
      <c r="C38" s="1025" t="str">
        <f>IF(Indice_index!$Z$1=1,"Transferências correntes","Current transfers")</f>
        <v>Current transfers</v>
      </c>
      <c r="D38" s="1029">
        <f t="shared" ref="D38:G38" si="17">+D39+D40+D41+D42</f>
        <v>28859.445795520001</v>
      </c>
      <c r="E38" s="1029">
        <f t="shared" si="17"/>
        <v>28936.416071</v>
      </c>
      <c r="F38" s="1029">
        <f t="shared" si="17"/>
        <v>28859.445795520001</v>
      </c>
      <c r="G38" s="1029">
        <f t="shared" si="17"/>
        <v>29794.812979319999</v>
      </c>
      <c r="H38" s="1028">
        <f t="shared" si="13"/>
        <v>102.96649352225855</v>
      </c>
      <c r="I38" s="1028">
        <f t="shared" si="14"/>
        <v>3.2411127726686946</v>
      </c>
      <c r="J38" s="1028">
        <f t="shared" si="16"/>
        <v>3.1164056272654443</v>
      </c>
      <c r="K38" s="533"/>
      <c r="L38" s="533"/>
      <c r="M38" s="533"/>
      <c r="N38" s="517"/>
      <c r="O38" s="532"/>
      <c r="P38" s="532"/>
      <c r="Q38" s="517"/>
      <c r="R38" s="517"/>
      <c r="S38" s="517"/>
      <c r="T38" s="517"/>
      <c r="U38" s="517"/>
      <c r="V38" s="517"/>
      <c r="W38" s="517"/>
    </row>
    <row r="39" spans="2:29" ht="15" customHeight="1">
      <c r="C39" s="751" t="str">
        <f>IF(Indice_index!$Z$1=1,"Administração Central","Central Administration")</f>
        <v>Central Administration</v>
      </c>
      <c r="D39" s="1026">
        <v>1884.2817642800003</v>
      </c>
      <c r="E39" s="1026">
        <v>1662.2020689999999</v>
      </c>
      <c r="F39" s="1026">
        <v>1884.2817642800003</v>
      </c>
      <c r="G39" s="1026">
        <v>2005.25270972</v>
      </c>
      <c r="H39" s="1028">
        <f t="shared" si="13"/>
        <v>120.63832352984517</v>
      </c>
      <c r="I39" s="1028">
        <f t="shared" si="14"/>
        <v>6.4200029811477641</v>
      </c>
      <c r="J39" s="1028">
        <f t="shared" si="16"/>
        <v>0.4030444317848188</v>
      </c>
      <c r="K39" s="533"/>
      <c r="L39" s="533"/>
      <c r="M39" s="533"/>
      <c r="N39" s="517"/>
      <c r="O39" s="532"/>
      <c r="P39" s="532"/>
      <c r="Q39" s="517"/>
      <c r="R39" s="517"/>
      <c r="S39" s="517"/>
      <c r="T39" s="517"/>
      <c r="U39" s="517"/>
      <c r="V39" s="517"/>
      <c r="W39" s="517"/>
    </row>
    <row r="40" spans="2:29" ht="15" customHeight="1">
      <c r="C40" s="937" t="str">
        <f>IF(Indice_index!$Z$1=1,"Outros subsectores das AP","Other General Government subsectors")</f>
        <v>Other General Government subsectors</v>
      </c>
      <c r="D40" s="1026">
        <v>59.978421930000003</v>
      </c>
      <c r="E40" s="1026">
        <v>113.45299799999999</v>
      </c>
      <c r="F40" s="1026">
        <v>59.978421930000003</v>
      </c>
      <c r="G40" s="1026">
        <v>92.916139979999983</v>
      </c>
      <c r="H40" s="1028">
        <f t="shared" si="13"/>
        <v>81.898355810747276</v>
      </c>
      <c r="I40" s="1028">
        <f t="shared" si="14"/>
        <v>54.915946418932357</v>
      </c>
      <c r="J40" s="1028">
        <f t="shared" si="16"/>
        <v>0.10974010170347269</v>
      </c>
      <c r="K40" s="533"/>
      <c r="L40" s="533"/>
      <c r="M40" s="533"/>
      <c r="N40" s="517"/>
      <c r="O40" s="532"/>
      <c r="P40" s="532"/>
      <c r="Q40" s="517"/>
      <c r="R40" s="517"/>
      <c r="S40" s="517"/>
      <c r="T40" s="517"/>
      <c r="U40" s="517"/>
      <c r="V40" s="517"/>
      <c r="W40" s="517"/>
    </row>
    <row r="41" spans="2:29" ht="15" customHeight="1">
      <c r="C41" s="937" t="str">
        <f>IF(Indice_index!$Z$1=1,"União Europeia","European Union")</f>
        <v>European Union</v>
      </c>
      <c r="D41" s="1026">
        <v>0</v>
      </c>
      <c r="E41" s="1026">
        <v>0</v>
      </c>
      <c r="F41" s="1026">
        <v>0</v>
      </c>
      <c r="G41" s="1026">
        <v>0</v>
      </c>
      <c r="H41" s="1028" t="str">
        <f t="shared" si="13"/>
        <v>-</v>
      </c>
      <c r="I41" s="1028" t="str">
        <f t="shared" si="14"/>
        <v>-</v>
      </c>
      <c r="J41" s="1028">
        <f t="shared" si="16"/>
        <v>0</v>
      </c>
      <c r="K41" s="533"/>
      <c r="L41" s="533"/>
      <c r="M41" s="533"/>
      <c r="N41" s="517"/>
      <c r="O41" s="532"/>
      <c r="P41" s="532"/>
      <c r="Q41" s="517"/>
      <c r="R41" s="517"/>
      <c r="S41" s="517"/>
      <c r="T41" s="517"/>
      <c r="U41" s="517"/>
      <c r="V41" s="517"/>
      <c r="W41" s="517"/>
    </row>
    <row r="42" spans="2:29" ht="15" customHeight="1">
      <c r="C42" s="937" t="str">
        <f>IF(Indice_index!$Z$1=1,"Outras transferências","Other transfers")</f>
        <v>Other transfers</v>
      </c>
      <c r="D42" s="1026">
        <v>26915.18560931</v>
      </c>
      <c r="E42" s="1026">
        <v>27160.761004</v>
      </c>
      <c r="F42" s="1026">
        <v>26915.18560931</v>
      </c>
      <c r="G42" s="1026">
        <v>27696.644129619999</v>
      </c>
      <c r="H42" s="1028">
        <f t="shared" si="13"/>
        <v>101.97300482685694</v>
      </c>
      <c r="I42" s="1028">
        <f t="shared" si="14"/>
        <v>2.903411225370454</v>
      </c>
      <c r="J42" s="1028">
        <f t="shared" si="16"/>
        <v>2.6036210937771593</v>
      </c>
      <c r="K42" s="533"/>
      <c r="L42" s="533"/>
      <c r="M42" s="533"/>
      <c r="N42" s="517"/>
      <c r="O42" s="532"/>
      <c r="P42" s="532"/>
      <c r="Q42" s="517"/>
      <c r="R42" s="517"/>
      <c r="S42" s="517"/>
      <c r="T42" s="517"/>
      <c r="U42" s="517"/>
      <c r="V42" s="517"/>
      <c r="W42" s="517"/>
    </row>
    <row r="43" spans="2:29" ht="15" customHeight="1">
      <c r="C43" s="1025" t="str">
        <f>IF(Indice_index!$Z$1=1,"Subsídios","Subsidies")</f>
        <v>Subsidies</v>
      </c>
      <c r="D43" s="1026">
        <v>732.07051245000002</v>
      </c>
      <c r="E43" s="1026">
        <v>1200.885329</v>
      </c>
      <c r="F43" s="1026">
        <v>732.07051245000002</v>
      </c>
      <c r="G43" s="1026">
        <v>980.29274139000006</v>
      </c>
      <c r="H43" s="1028">
        <f t="shared" si="13"/>
        <v>81.630836660008868</v>
      </c>
      <c r="I43" s="1028">
        <f t="shared" si="14"/>
        <v>33.906874367782088</v>
      </c>
      <c r="J43" s="1028">
        <f t="shared" si="16"/>
        <v>0.82701335312870294</v>
      </c>
      <c r="K43" s="533"/>
      <c r="L43" s="533"/>
      <c r="M43" s="533"/>
      <c r="N43" s="517"/>
      <c r="O43" s="532"/>
      <c r="P43" s="532"/>
      <c r="Q43" s="517"/>
      <c r="R43" s="517"/>
      <c r="S43" s="517"/>
      <c r="T43" s="517"/>
      <c r="U43" s="517"/>
      <c r="V43" s="517"/>
      <c r="W43" s="517"/>
    </row>
    <row r="44" spans="2:29" ht="15" customHeight="1">
      <c r="C44" s="1025" t="str">
        <f>IF(Indice_index!$Z$1=1,"Outras despesas correntes","Other current expenditure")</f>
        <v>Other current expenditure</v>
      </c>
      <c r="D44" s="1026">
        <v>8.2050136200000008</v>
      </c>
      <c r="E44" s="1026">
        <v>23.264568000000001</v>
      </c>
      <c r="F44" s="1026">
        <v>8.2050136200000008</v>
      </c>
      <c r="G44" s="1026">
        <v>9.5143786699999993</v>
      </c>
      <c r="H44" s="1028">
        <f t="shared" si="13"/>
        <v>40.896433881772481</v>
      </c>
      <c r="I44" s="1028">
        <f t="shared" si="14"/>
        <v>15.958109402870171</v>
      </c>
      <c r="J44" s="1028">
        <f t="shared" si="16"/>
        <v>4.3624714236684204E-3</v>
      </c>
      <c r="K44" s="533"/>
      <c r="L44" s="533"/>
      <c r="M44" s="533"/>
      <c r="N44" s="517"/>
      <c r="O44" s="532"/>
      <c r="P44" s="532"/>
      <c r="Q44" s="517"/>
      <c r="R44" s="517"/>
      <c r="S44" s="517"/>
      <c r="T44" s="517"/>
      <c r="U44" s="517"/>
      <c r="V44" s="517"/>
      <c r="W44" s="517"/>
    </row>
    <row r="45" spans="2:29" s="526" customFormat="1" ht="15" customHeight="1">
      <c r="C45" s="1023" t="str">
        <f>IF(Indice_index!$Z$1=1,"Despesa de capital","Capital expenditure")</f>
        <v>Capital expenditure</v>
      </c>
      <c r="D45" s="1024">
        <f t="shared" ref="D45:G45" si="18">+D46+D47+D52</f>
        <v>35.109166479999992</v>
      </c>
      <c r="E45" s="1024">
        <f t="shared" si="18"/>
        <v>76.223280000000003</v>
      </c>
      <c r="F45" s="1024">
        <f t="shared" si="18"/>
        <v>35.109166479999992</v>
      </c>
      <c r="G45" s="1024">
        <f t="shared" si="18"/>
        <v>42.820876640000009</v>
      </c>
      <c r="H45" s="1024">
        <f t="shared" si="13"/>
        <v>56.178213060366865</v>
      </c>
      <c r="I45" s="1024">
        <f t="shared" si="14"/>
        <v>21.964947998389562</v>
      </c>
      <c r="J45" s="1024">
        <f t="shared" si="16"/>
        <v>2.5693457451467439E-2</v>
      </c>
      <c r="K45" s="530"/>
      <c r="L45" s="530"/>
      <c r="M45" s="530"/>
      <c r="N45" s="525"/>
      <c r="O45" s="532"/>
      <c r="P45" s="532"/>
      <c r="Q45" s="525"/>
      <c r="R45" s="525"/>
      <c r="S45" s="525"/>
      <c r="T45" s="525"/>
      <c r="U45" s="525"/>
      <c r="V45" s="525"/>
      <c r="W45" s="525"/>
    </row>
    <row r="46" spans="2:29" ht="15" customHeight="1">
      <c r="C46" s="1025" t="str">
        <f>IF(Indice_index!$Z$1=1,"Investimento","Investment")</f>
        <v>Investment</v>
      </c>
      <c r="D46" s="1026">
        <v>30.077953999999991</v>
      </c>
      <c r="E46" s="1026">
        <v>58.452525999999999</v>
      </c>
      <c r="F46" s="1026">
        <v>30.077953999999991</v>
      </c>
      <c r="G46" s="1026">
        <v>38.61027424000001</v>
      </c>
      <c r="H46" s="1028">
        <f t="shared" si="13"/>
        <v>66.054073078039451</v>
      </c>
      <c r="I46" s="1028">
        <f t="shared" si="14"/>
        <v>28.367355838099961</v>
      </c>
      <c r="J46" s="1028">
        <f t="shared" si="16"/>
        <v>2.8427521587343269E-2</v>
      </c>
      <c r="K46" s="533"/>
      <c r="L46" s="533"/>
      <c r="M46" s="533"/>
      <c r="N46" s="517"/>
      <c r="O46" s="532"/>
      <c r="P46" s="532"/>
      <c r="Q46" s="517"/>
      <c r="R46" s="517"/>
      <c r="S46" s="517"/>
      <c r="T46" s="517"/>
      <c r="U46" s="517"/>
      <c r="V46" s="517"/>
      <c r="W46" s="517"/>
    </row>
    <row r="47" spans="2:29" ht="15" customHeight="1">
      <c r="C47" s="1025" t="str">
        <f>IF(Indice_index!$Z$1=1,"Transferências de capital","Capital transfers")</f>
        <v>Capital transfers</v>
      </c>
      <c r="D47" s="1029">
        <f t="shared" ref="D47:G47" si="19">+D49+D51+D48+D50</f>
        <v>5.0312124800000007</v>
      </c>
      <c r="E47" s="1029">
        <f t="shared" si="19"/>
        <v>17.770754</v>
      </c>
      <c r="F47" s="1029">
        <f t="shared" si="19"/>
        <v>5.0312124800000007</v>
      </c>
      <c r="G47" s="1029">
        <f t="shared" si="19"/>
        <v>4.2106024000000009</v>
      </c>
      <c r="H47" s="1028">
        <f t="shared" si="13"/>
        <v>23.693999703107707</v>
      </c>
      <c r="I47" s="1028">
        <f t="shared" si="14"/>
        <v>-16.310384092543824</v>
      </c>
      <c r="J47" s="1028">
        <f t="shared" si="16"/>
        <v>-2.7340641358758275E-3</v>
      </c>
      <c r="K47" s="533"/>
      <c r="L47" s="533"/>
      <c r="M47" s="533"/>
      <c r="N47" s="517"/>
      <c r="O47" s="532"/>
      <c r="P47" s="532"/>
      <c r="Q47" s="517"/>
      <c r="R47" s="517"/>
      <c r="S47" s="517"/>
      <c r="T47" s="517"/>
      <c r="U47" s="517"/>
      <c r="V47" s="517"/>
      <c r="W47" s="517"/>
    </row>
    <row r="48" spans="2:29" ht="15" customHeight="1">
      <c r="C48" s="751" t="str">
        <f>IF(Indice_index!$Z$1=1,"Administração Central","Central Administration")</f>
        <v>Central Administration</v>
      </c>
      <c r="D48" s="1026">
        <v>0</v>
      </c>
      <c r="E48" s="1026">
        <v>0</v>
      </c>
      <c r="F48" s="1026">
        <v>0</v>
      </c>
      <c r="G48" s="1026">
        <v>0</v>
      </c>
      <c r="H48" s="1028" t="str">
        <f t="shared" si="13"/>
        <v>-</v>
      </c>
      <c r="I48" s="1028" t="str">
        <f t="shared" si="14"/>
        <v>-</v>
      </c>
      <c r="J48" s="1028">
        <f t="shared" si="16"/>
        <v>0</v>
      </c>
      <c r="K48" s="533"/>
      <c r="L48" s="533"/>
      <c r="M48" s="533"/>
      <c r="N48" s="517"/>
      <c r="O48" s="532"/>
      <c r="P48" s="532"/>
      <c r="Q48" s="517"/>
      <c r="R48" s="517"/>
      <c r="S48" s="517"/>
      <c r="T48" s="517"/>
      <c r="U48" s="517"/>
      <c r="V48" s="517"/>
      <c r="W48" s="517"/>
    </row>
    <row r="49" spans="2:23" ht="15" customHeight="1">
      <c r="C49" s="937" t="str">
        <f>IF(Indice_index!$Z$1=1,"Outros subsectores das AP","Other General Government subsectors")</f>
        <v>Other General Government subsectors</v>
      </c>
      <c r="D49" s="1026">
        <v>0</v>
      </c>
      <c r="E49" s="1026">
        <v>0</v>
      </c>
      <c r="F49" s="1026">
        <v>0</v>
      </c>
      <c r="G49" s="1026">
        <v>0</v>
      </c>
      <c r="H49" s="1028" t="str">
        <f t="shared" si="13"/>
        <v>-</v>
      </c>
      <c r="I49" s="1028" t="str">
        <f t="shared" si="14"/>
        <v>-</v>
      </c>
      <c r="J49" s="1028">
        <f t="shared" si="16"/>
        <v>0</v>
      </c>
      <c r="K49" s="533"/>
      <c r="L49" s="533"/>
      <c r="M49" s="533"/>
      <c r="N49" s="517"/>
      <c r="O49" s="532"/>
      <c r="P49" s="532"/>
      <c r="Q49" s="517"/>
      <c r="R49" s="517"/>
      <c r="S49" s="517"/>
      <c r="T49" s="517"/>
      <c r="U49" s="517"/>
      <c r="V49" s="517"/>
      <c r="W49" s="517"/>
    </row>
    <row r="50" spans="2:23" ht="15" customHeight="1">
      <c r="C50" s="937" t="str">
        <f>IF(Indice_index!$Z$1=1,"União Europeia","European Union")</f>
        <v>European Union</v>
      </c>
      <c r="D50" s="1026">
        <v>0.65452171999999997</v>
      </c>
      <c r="E50" s="1026">
        <v>0.15</v>
      </c>
      <c r="F50" s="1026">
        <v>0.65452171999999997</v>
      </c>
      <c r="G50" s="1026">
        <v>0.77931733000000003</v>
      </c>
      <c r="H50" s="1028" t="str">
        <f t="shared" si="13"/>
        <v>-</v>
      </c>
      <c r="I50" s="1028">
        <f t="shared" si="14"/>
        <v>19.066687351490806</v>
      </c>
      <c r="J50" s="1028">
        <f t="shared" si="16"/>
        <v>4.1578724162850522E-4</v>
      </c>
      <c r="K50" s="533"/>
      <c r="L50" s="533"/>
      <c r="M50" s="533"/>
      <c r="N50" s="517"/>
      <c r="O50" s="532"/>
      <c r="P50" s="532"/>
      <c r="Q50" s="517"/>
      <c r="R50" s="517"/>
      <c r="S50" s="517"/>
      <c r="T50" s="517"/>
      <c r="U50" s="517"/>
      <c r="V50" s="517"/>
      <c r="W50" s="517"/>
    </row>
    <row r="51" spans="2:23" ht="15" customHeight="1">
      <c r="C51" s="937" t="str">
        <f>IF(Indice_index!$Z$1=1,"Outras transferências","Other transfers")</f>
        <v>Other transfers</v>
      </c>
      <c r="D51" s="1026">
        <v>4.3766907600000007</v>
      </c>
      <c r="E51" s="1026">
        <v>17.620754000000002</v>
      </c>
      <c r="F51" s="1026">
        <v>4.3766907600000007</v>
      </c>
      <c r="G51" s="1026">
        <v>3.4312850700000004</v>
      </c>
      <c r="H51" s="1028">
        <f t="shared" si="13"/>
        <v>19.472975276767386</v>
      </c>
      <c r="I51" s="1028">
        <f t="shared" si="14"/>
        <v>-21.600925033140797</v>
      </c>
      <c r="J51" s="1028">
        <f t="shared" si="16"/>
        <v>-3.1498513775043346E-3</v>
      </c>
      <c r="K51" s="533"/>
      <c r="L51" s="533"/>
      <c r="M51" s="533"/>
      <c r="N51" s="517"/>
      <c r="O51" s="532"/>
      <c r="P51" s="532"/>
      <c r="Q51" s="517"/>
      <c r="R51" s="517"/>
      <c r="S51" s="517"/>
      <c r="T51" s="517"/>
      <c r="U51" s="517"/>
      <c r="V51" s="517"/>
      <c r="W51" s="517"/>
    </row>
    <row r="52" spans="2:23" ht="15" customHeight="1">
      <c r="C52" s="1025" t="str">
        <f>IF(Indice_index!$Z$1=1,"Outras despesas de capital","Other capital expenditure")</f>
        <v>Other capital expenditure</v>
      </c>
      <c r="D52" s="1026">
        <v>0</v>
      </c>
      <c r="E52" s="1026">
        <v>0</v>
      </c>
      <c r="F52" s="1026">
        <v>0</v>
      </c>
      <c r="G52" s="1026">
        <v>0</v>
      </c>
      <c r="H52" s="1028" t="str">
        <f t="shared" si="13"/>
        <v>-</v>
      </c>
      <c r="I52" s="1028" t="str">
        <f t="shared" si="14"/>
        <v>-</v>
      </c>
      <c r="J52" s="1028">
        <f t="shared" si="16"/>
        <v>0</v>
      </c>
      <c r="K52" s="533"/>
      <c r="L52" s="533"/>
      <c r="M52" s="533"/>
      <c r="N52" s="517"/>
      <c r="O52" s="532"/>
      <c r="P52" s="532"/>
      <c r="Q52" s="517"/>
      <c r="R52" s="517"/>
      <c r="S52" s="517"/>
      <c r="T52" s="517"/>
      <c r="U52" s="517"/>
      <c r="V52" s="517"/>
      <c r="W52" s="517"/>
    </row>
    <row r="53" spans="2:23" ht="4.5" customHeight="1">
      <c r="C53" s="1025"/>
      <c r="D53" s="1028"/>
      <c r="E53" s="1028"/>
      <c r="F53" s="1028"/>
      <c r="G53" s="1028"/>
      <c r="H53" s="1028"/>
      <c r="I53" s="1028"/>
      <c r="J53" s="1028"/>
      <c r="K53" s="533"/>
      <c r="L53" s="533"/>
      <c r="M53" s="533"/>
      <c r="N53" s="539"/>
      <c r="O53" s="532"/>
      <c r="P53" s="532"/>
      <c r="Q53" s="517"/>
      <c r="R53" s="517"/>
      <c r="S53" s="517"/>
      <c r="T53" s="517"/>
      <c r="U53" s="517"/>
      <c r="V53" s="517"/>
      <c r="W53" s="517"/>
    </row>
    <row r="54" spans="2:23" s="526" customFormat="1" ht="15" customHeight="1">
      <c r="C54" s="1030" t="str">
        <f>IF(Indice_index!$Z$1=1,"Despesa efetiva","Effective Expenditure")</f>
        <v>Effective Expenditure</v>
      </c>
      <c r="D54" s="1031">
        <f t="shared" ref="D54:E54" si="20">+D45+D31</f>
        <v>30014.295174430001</v>
      </c>
      <c r="E54" s="1031">
        <f t="shared" si="20"/>
        <v>30743.012307999998</v>
      </c>
      <c r="F54" s="1031">
        <f t="shared" ref="F54:G54" si="21">+F45+F31</f>
        <v>30014.295174430001</v>
      </c>
      <c r="G54" s="1031">
        <f t="shared" si="21"/>
        <v>31226.317778829994</v>
      </c>
      <c r="H54" s="1031">
        <f t="shared" ref="H54" si="22">IFERROR(IF(G54/E54*100&lt;-500,"-",IF(G54/E54*100&gt;500,"-",G54/E54*100)),"-")</f>
        <v>101.57208235155353</v>
      </c>
      <c r="I54" s="1031">
        <f t="shared" ref="I54" si="23">IF(IFERROR((G54-F54)/F54*100,"")&gt;500,"-",IFERROR((G54-F54)/F54*100,""))</f>
        <v>4.0381511454999917</v>
      </c>
      <c r="J54" s="1031"/>
      <c r="K54" s="530"/>
      <c r="L54" s="530"/>
      <c r="M54" s="530"/>
      <c r="N54" s="525"/>
      <c r="O54" s="532"/>
      <c r="P54" s="532"/>
      <c r="Q54" s="525"/>
      <c r="R54" s="525"/>
      <c r="S54" s="525"/>
      <c r="T54" s="525"/>
      <c r="U54" s="525"/>
      <c r="V54" s="525"/>
      <c r="W54" s="525"/>
    </row>
    <row r="55" spans="2:23" ht="4.5" customHeight="1">
      <c r="C55" s="1032"/>
      <c r="D55" s="114"/>
      <c r="E55" s="114"/>
      <c r="F55" s="114"/>
      <c r="G55" s="114"/>
      <c r="H55" s="1033"/>
      <c r="I55" s="1033"/>
      <c r="J55" s="1028"/>
      <c r="K55" s="533"/>
      <c r="L55" s="533"/>
      <c r="M55" s="533"/>
      <c r="O55" s="532"/>
      <c r="P55" s="532"/>
      <c r="Q55" s="539"/>
      <c r="R55" s="539"/>
      <c r="S55" s="539"/>
      <c r="T55" s="517"/>
      <c r="U55" s="517"/>
      <c r="V55" s="517"/>
      <c r="W55" s="517"/>
    </row>
    <row r="56" spans="2:23" s="526" customFormat="1" ht="15" customHeight="1">
      <c r="C56" s="1034" t="str">
        <f>IF(Indice_index!$Z$1=1,"Saldo global","Overall Balance")</f>
        <v>Overall Balance</v>
      </c>
      <c r="D56" s="1035">
        <f t="shared" ref="D56:E56" si="24">+D29-D54</f>
        <v>2131.5226409100069</v>
      </c>
      <c r="E56" s="1035">
        <f t="shared" si="24"/>
        <v>932.16230100000757</v>
      </c>
      <c r="F56" s="1035">
        <f>+F29-F54</f>
        <v>2131.5226409100069</v>
      </c>
      <c r="G56" s="1035">
        <f t="shared" ref="G56" si="25">+G29-G54</f>
        <v>2253.780030370006</v>
      </c>
      <c r="H56" s="1035"/>
      <c r="I56" s="1035"/>
      <c r="J56" s="1035"/>
      <c r="K56" s="540"/>
      <c r="L56" s="541"/>
      <c r="M56" s="530"/>
      <c r="O56" s="532"/>
      <c r="P56" s="532"/>
      <c r="Q56" s="525"/>
      <c r="R56" s="525"/>
      <c r="S56" s="525"/>
      <c r="T56" s="525"/>
      <c r="U56" s="525"/>
      <c r="V56" s="525"/>
      <c r="W56" s="525"/>
    </row>
    <row r="57" spans="2:23" ht="8.25" customHeight="1">
      <c r="B57" s="517"/>
      <c r="C57" s="1036"/>
      <c r="D57" s="114"/>
      <c r="E57" s="114"/>
      <c r="F57" s="114"/>
      <c r="G57" s="114"/>
      <c r="H57" s="1027"/>
      <c r="I57" s="1027"/>
      <c r="J57" s="1037"/>
      <c r="K57" s="533"/>
      <c r="L57" s="533"/>
      <c r="M57" s="533"/>
      <c r="O57" s="532"/>
      <c r="P57" s="532"/>
    </row>
    <row r="58" spans="2:23" ht="15" customHeight="1">
      <c r="B58" s="517"/>
      <c r="C58" s="1038" t="str">
        <f>IF(Indice_index!$Z$1=1,"Despesa  primária","Primary Expenditure")</f>
        <v>Primary Expenditure</v>
      </c>
      <c r="D58" s="749">
        <f t="shared" ref="D58:E58" si="26">+D54-D37</f>
        <v>30007.330509840001</v>
      </c>
      <c r="E58" s="749">
        <f t="shared" si="26"/>
        <v>30730.547670999997</v>
      </c>
      <c r="F58" s="749">
        <f t="shared" ref="F58:G58" si="27">+F54-F37</f>
        <v>30007.330509840001</v>
      </c>
      <c r="G58" s="749">
        <f t="shared" si="27"/>
        <v>31219.827292209993</v>
      </c>
      <c r="H58" s="1029">
        <f t="shared" ref="H58" si="28">IFERROR(IF(G58/E58*100&lt;-500,"-",IF(G58/E58*100&gt;500,"-",G58/E58*100)),"-")</f>
        <v>101.59216043413286</v>
      </c>
      <c r="I58" s="1029">
        <f t="shared" ref="I58" si="29">IF(IFERROR((G58-F58)/F58*100,"")&gt;500,"-",IFERROR((G58-F58)/F58*100,""))</f>
        <v>4.0406686025349368</v>
      </c>
      <c r="J58" s="1028"/>
      <c r="K58" s="533"/>
      <c r="L58" s="533"/>
      <c r="M58" s="533"/>
      <c r="O58" s="532"/>
      <c r="P58" s="532"/>
    </row>
    <row r="59" spans="2:23" ht="15" customHeight="1">
      <c r="B59" s="517"/>
      <c r="C59" s="1038" t="str">
        <f>IF(Indice_index!$Z$1=1,"Saldo primário","Primary balance")</f>
        <v>Primary balance</v>
      </c>
      <c r="D59" s="749">
        <f t="shared" ref="D59:E59" si="30">+D56+D37</f>
        <v>2138.4873055000071</v>
      </c>
      <c r="E59" s="749">
        <f t="shared" si="30"/>
        <v>944.62693800000761</v>
      </c>
      <c r="F59" s="749">
        <f t="shared" ref="F59:G59" si="31">+F56+F37</f>
        <v>2138.4873055000071</v>
      </c>
      <c r="G59" s="749">
        <f t="shared" si="31"/>
        <v>2260.2705169900059</v>
      </c>
      <c r="H59" s="1029"/>
      <c r="I59" s="1029"/>
      <c r="J59" s="1029"/>
      <c r="K59" s="533"/>
      <c r="L59" s="533"/>
      <c r="M59" s="533"/>
      <c r="O59" s="532"/>
      <c r="P59" s="532"/>
    </row>
    <row r="60" spans="2:23" ht="15" customHeight="1">
      <c r="B60" s="517"/>
      <c r="C60" s="1038" t="str">
        <f>IF(Indice_index!$Z$1=1,"Saldo corrente","Current balance")</f>
        <v>Current balance</v>
      </c>
      <c r="D60" s="749">
        <f>+D8-D31</f>
        <v>2165.6305294700069</v>
      </c>
      <c r="E60" s="749">
        <f>+E8-E31</f>
        <v>1000.899774000005</v>
      </c>
      <c r="F60" s="749">
        <f t="shared" ref="F60:G60" si="32">+F8-F31</f>
        <v>2165.6305294700069</v>
      </c>
      <c r="G60" s="749">
        <f t="shared" si="32"/>
        <v>2295.6854539200067</v>
      </c>
      <c r="H60" s="1029"/>
      <c r="I60" s="1029"/>
      <c r="J60" s="1029"/>
      <c r="K60" s="533"/>
      <c r="L60" s="533"/>
      <c r="M60" s="533"/>
      <c r="O60" s="532"/>
      <c r="P60" s="532"/>
    </row>
    <row r="61" spans="2:23" ht="15" customHeight="1">
      <c r="B61" s="517"/>
      <c r="C61" s="1038" t="str">
        <f>IF(Indice_index!$Z$1=1,"Saldo de capital","Capital balance")</f>
        <v>Capital balance</v>
      </c>
      <c r="D61" s="749">
        <f t="shared" ref="D61:E61" si="33">+D20-D45</f>
        <v>-34.107888559999992</v>
      </c>
      <c r="E61" s="749">
        <f t="shared" si="33"/>
        <v>-68.737473000000008</v>
      </c>
      <c r="F61" s="749">
        <f t="shared" ref="F61:G61" si="34">+F20-F45</f>
        <v>-34.107888559999992</v>
      </c>
      <c r="G61" s="749">
        <f t="shared" si="34"/>
        <v>-41.905423550000009</v>
      </c>
      <c r="H61" s="1029"/>
      <c r="I61" s="1029"/>
      <c r="J61" s="1029"/>
      <c r="K61" s="533"/>
      <c r="L61" s="533"/>
      <c r="M61" s="533"/>
      <c r="O61" s="532"/>
      <c r="P61" s="532"/>
    </row>
    <row r="62" spans="2:23" ht="4.5" customHeight="1">
      <c r="B62" s="517"/>
      <c r="C62" s="1038"/>
      <c r="D62" s="1026"/>
      <c r="E62" s="1026"/>
      <c r="F62" s="1026"/>
      <c r="G62" s="1026"/>
      <c r="H62" s="1027"/>
      <c r="I62" s="1027"/>
      <c r="J62" s="1037"/>
      <c r="K62" s="533"/>
      <c r="L62" s="533"/>
      <c r="M62" s="533"/>
      <c r="O62" s="532"/>
      <c r="P62" s="532"/>
    </row>
    <row r="63" spans="2:23" ht="15" customHeight="1">
      <c r="B63" s="517"/>
      <c r="C63" s="1038" t="str">
        <f>IF(Indice_index!$Z$1=1,"Ativos financeiros líquidos de reembolsos","Financial assets net of reimbursements")</f>
        <v>Financial assets net of reimbursements</v>
      </c>
      <c r="D63" s="1026">
        <v>-354.47699321999931</v>
      </c>
      <c r="E63" s="1026">
        <v>441.97924899999998</v>
      </c>
      <c r="F63" s="1026">
        <v>-354.47699321999931</v>
      </c>
      <c r="G63" s="1026">
        <v>4376.8330583499992</v>
      </c>
      <c r="H63" s="1027"/>
      <c r="I63" s="1027"/>
      <c r="J63" s="1037"/>
      <c r="K63" s="533"/>
      <c r="L63" s="533"/>
      <c r="M63" s="533"/>
      <c r="O63" s="532"/>
      <c r="P63" s="532"/>
    </row>
    <row r="64" spans="2:23" ht="15" customHeight="1">
      <c r="B64" s="517"/>
      <c r="C64" s="1036" t="str">
        <f>IF(Indice_index!$Z$1=1,"dos quais Receitas de:","of which revenue from:")</f>
        <v>of which revenue from:</v>
      </c>
      <c r="D64" s="1026"/>
      <c r="E64" s="1026"/>
      <c r="F64" s="1026"/>
      <c r="G64" s="1026"/>
      <c r="H64" s="1027"/>
      <c r="I64" s="1027"/>
      <c r="J64" s="1037"/>
      <c r="K64" s="533"/>
      <c r="L64" s="533"/>
      <c r="M64" s="533"/>
      <c r="O64" s="532"/>
      <c r="P64" s="532"/>
    </row>
    <row r="65" spans="2:19" ht="15" customHeight="1">
      <c r="C65" s="1039" t="str">
        <f>IF(Indice_index!$Z$1=1,"Alienação de partes de Capital","Disposal of Capital Shares")</f>
        <v>Disposal of Capital Shares</v>
      </c>
      <c r="D65" s="1026">
        <v>0</v>
      </c>
      <c r="E65" s="1026">
        <v>0</v>
      </c>
      <c r="F65" s="1026">
        <v>0</v>
      </c>
      <c r="G65" s="1026">
        <v>0</v>
      </c>
      <c r="H65" s="1027"/>
      <c r="I65" s="1027"/>
      <c r="J65" s="1037"/>
      <c r="K65" s="533"/>
      <c r="L65" s="533"/>
      <c r="M65" s="533"/>
      <c r="O65" s="532"/>
      <c r="P65" s="532"/>
    </row>
    <row r="66" spans="2:19" ht="15" customHeight="1">
      <c r="B66" s="520"/>
      <c r="C66" s="1039" t="str">
        <f>IF(Indice_index!$Z$1=1,"Outros Ativos","Other Assets")</f>
        <v>Other Assets</v>
      </c>
      <c r="D66" s="1026">
        <v>10071.427055679997</v>
      </c>
      <c r="E66" s="1026">
        <v>21656.485700000001</v>
      </c>
      <c r="F66" s="1026">
        <v>10071.427055679997</v>
      </c>
      <c r="G66" s="1026">
        <v>7165.9928975199991</v>
      </c>
      <c r="H66" s="1027"/>
      <c r="I66" s="1027"/>
      <c r="J66" s="1037"/>
      <c r="K66" s="533"/>
      <c r="L66" s="533"/>
      <c r="M66" s="533"/>
      <c r="O66" s="532"/>
      <c r="P66" s="532"/>
    </row>
    <row r="67" spans="2:19" ht="15" customHeight="1">
      <c r="B67" s="520"/>
      <c r="C67" s="1038" t="str">
        <f>IF(Indice_index!$Z$1=1,"Passivos financeiros líquidos de amortizações","Financial liabilities net of amortizations")</f>
        <v>Financial liabilities net of amortizations</v>
      </c>
      <c r="D67" s="1026">
        <v>-0.36919472999999997</v>
      </c>
      <c r="E67" s="1026">
        <v>-21.5</v>
      </c>
      <c r="F67" s="1026">
        <v>-0.36919472999999997</v>
      </c>
      <c r="G67" s="1026">
        <v>0</v>
      </c>
      <c r="H67" s="1028"/>
      <c r="I67" s="1028"/>
      <c r="J67" s="1040"/>
      <c r="K67" s="533"/>
      <c r="L67" s="533"/>
      <c r="M67" s="533"/>
      <c r="O67" s="532"/>
      <c r="P67" s="532"/>
    </row>
    <row r="68" spans="2:19" ht="15" customHeight="1">
      <c r="B68" s="517"/>
      <c r="C68" s="1022" t="str">
        <f>IF(Indice_index!$Z$1=1,"Poupança (+) / Utilização (-) de saldo da gerência anterior","Saving (+) / Usage (-) of balance from previous management")</f>
        <v>Saving (+) / Usage (-) of balance from previous management</v>
      </c>
      <c r="D68" s="1014">
        <f t="shared" ref="D68:G68" si="35">+D56-D63+D67</f>
        <v>2485.6304394000063</v>
      </c>
      <c r="E68" s="1014">
        <f t="shared" si="35"/>
        <v>468.68305200000759</v>
      </c>
      <c r="F68" s="1014">
        <f t="shared" si="35"/>
        <v>2485.6304394000063</v>
      </c>
      <c r="G68" s="1014">
        <f t="shared" si="35"/>
        <v>-2123.0530279799932</v>
      </c>
      <c r="H68" s="1041"/>
      <c r="I68" s="1041"/>
      <c r="J68" s="1042"/>
      <c r="K68" s="533"/>
      <c r="L68" s="533"/>
      <c r="M68" s="533"/>
      <c r="O68" s="532"/>
      <c r="P68" s="532"/>
    </row>
    <row r="69" spans="2:19" s="126" customFormat="1" ht="4.5" customHeight="1">
      <c r="C69" s="511"/>
      <c r="D69" s="511"/>
      <c r="E69" s="511"/>
      <c r="F69" s="993"/>
      <c r="G69" s="993"/>
      <c r="H69" s="511"/>
      <c r="I69" s="511"/>
      <c r="J69" s="511"/>
      <c r="K69" s="511"/>
      <c r="L69" s="114"/>
    </row>
    <row r="70" spans="2:19" s="126" customFormat="1" ht="15" customHeight="1">
      <c r="C70" s="1043" t="str">
        <f>IF(Indice_index!$Z$1=1,"Notas:","Notes:")</f>
        <v>Notes:</v>
      </c>
      <c r="D70" s="1043"/>
      <c r="E70" s="1043"/>
      <c r="F70" s="993"/>
      <c r="G70" s="993"/>
      <c r="H70" s="511"/>
      <c r="I70" s="511"/>
      <c r="J70" s="511"/>
      <c r="K70" s="511"/>
      <c r="L70" s="114"/>
    </row>
    <row r="71" spans="2:19" s="99" customFormat="1" ht="15" customHeight="1">
      <c r="C71" s="1610" t="str">
        <f>IF(Indice_index!$Z$1=1,"Valores consolidados - são excluídas transferências intra-setoriais.","Consolidated data - transfers within the subsector are excluded.")</f>
        <v>Consolidated data - transfers within the subsector are excluded.</v>
      </c>
      <c r="D71" s="1610"/>
      <c r="E71" s="1610"/>
      <c r="F71" s="1610"/>
      <c r="G71" s="1610"/>
      <c r="H71" s="1610"/>
      <c r="I71" s="1610"/>
      <c r="J71" s="1610"/>
      <c r="K71" s="114"/>
      <c r="L71" s="114"/>
    </row>
    <row r="72" spans="2:19" s="126" customFormat="1" ht="13.5" customHeight="1">
      <c r="C72" s="1610"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610"/>
      <c r="E72" s="1610"/>
      <c r="F72" s="1610"/>
      <c r="G72" s="1610"/>
      <c r="H72" s="1610"/>
      <c r="I72" s="1610"/>
      <c r="J72" s="1610"/>
      <c r="K72" s="509"/>
      <c r="L72" s="138"/>
    </row>
    <row r="73" spans="2:19" s="23" customFormat="1" ht="12.75" customHeight="1">
      <c r="C73" s="1582" t="str">
        <f>+'4 - Conta AC + SS'!$C$65</f>
        <v>2020 accumulated execution was updated with the final execution.</v>
      </c>
      <c r="D73" s="1582"/>
      <c r="E73" s="1582"/>
      <c r="F73" s="1582"/>
      <c r="G73" s="1582"/>
      <c r="H73" s="1582"/>
      <c r="I73" s="1582"/>
      <c r="J73" s="1582"/>
      <c r="K73" s="65"/>
      <c r="R73" s="25"/>
      <c r="S73" s="25"/>
    </row>
    <row r="74" spans="2:19" s="126" customFormat="1" ht="4.5" customHeight="1">
      <c r="C74" s="511"/>
      <c r="D74" s="511"/>
      <c r="E74" s="511"/>
      <c r="F74" s="993"/>
      <c r="G74" s="1044"/>
      <c r="H74" s="511"/>
      <c r="I74" s="511"/>
      <c r="J74" s="511"/>
      <c r="K74" s="511"/>
      <c r="L74" s="511"/>
    </row>
    <row r="75" spans="2:19" ht="15" customHeight="1">
      <c r="C75" s="511" t="str">
        <f>IF(Indice_index!$Z$1=1,"Fonte: Instituto de Gestão Financeira da Segurança Social, I.P.","Souce: Social Security Finance Management Institute")</f>
        <v>Souce: Social Security Finance Management Institute</v>
      </c>
      <c r="D75" s="511"/>
      <c r="E75" s="511"/>
      <c r="F75" s="114"/>
      <c r="G75" s="1045"/>
      <c r="H75" s="511"/>
      <c r="I75" s="511"/>
      <c r="J75" s="511"/>
      <c r="K75" s="511"/>
      <c r="L75" s="511"/>
    </row>
    <row r="76" spans="2:19" ht="12.75" customHeight="1">
      <c r="F76" s="542"/>
      <c r="G76" s="99"/>
    </row>
    <row r="77" spans="2:19" ht="12.75" customHeight="1">
      <c r="F77" s="563"/>
      <c r="G77" s="563"/>
    </row>
    <row r="78" spans="2:19" ht="12.75" customHeight="1">
      <c r="F78" s="563"/>
      <c r="G78" s="563"/>
    </row>
    <row r="79" spans="2:19" ht="12.75" customHeight="1">
      <c r="F79" s="563"/>
      <c r="G79" s="563"/>
    </row>
    <row r="80" spans="2:19" ht="12.75" customHeight="1"/>
    <row r="81" spans="6:10" ht="12.75" customHeight="1">
      <c r="F81" s="563"/>
      <c r="G81" s="563"/>
    </row>
    <row r="82" spans="6:10" ht="12.75" customHeight="1">
      <c r="F82" s="563"/>
      <c r="G82" s="563"/>
    </row>
    <row r="83" spans="6:10" ht="12.75" customHeight="1"/>
    <row r="84" spans="6:10" ht="12.75" customHeight="1"/>
    <row r="85" spans="6:10" ht="12.75" customHeight="1"/>
    <row r="86" spans="6:10" ht="12.75" customHeight="1"/>
    <row r="87" spans="6:10" ht="12.75" customHeight="1"/>
    <row r="88" spans="6:10" ht="12.75" customHeight="1"/>
    <row r="89" spans="6:10" ht="12.75" customHeight="1"/>
    <row r="90" spans="6:10" ht="12.75" customHeight="1"/>
    <row r="91" spans="6:10" ht="12.75" customHeight="1">
      <c r="F91" s="543"/>
      <c r="G91" s="543"/>
      <c r="J91" s="524"/>
    </row>
    <row r="92" spans="6:10" ht="12.75" customHeight="1">
      <c r="F92" s="543"/>
      <c r="G92" s="543"/>
      <c r="J92" s="524"/>
    </row>
    <row r="93" spans="6:10" ht="12.75" customHeight="1">
      <c r="F93" s="524"/>
      <c r="G93" s="524"/>
      <c r="H93" s="542"/>
      <c r="I93" s="542"/>
      <c r="J93" s="542"/>
    </row>
    <row r="94" spans="6:10" ht="12.75" customHeight="1"/>
    <row r="95" spans="6:10" ht="12.75" customHeight="1"/>
    <row r="96" spans="6:10" ht="12.75" customHeight="1">
      <c r="F96" s="524"/>
      <c r="G96" s="524"/>
      <c r="H96" s="542"/>
      <c r="I96" s="542"/>
      <c r="J96" s="542"/>
    </row>
    <row r="97" spans="3:5" ht="12.75" customHeight="1"/>
    <row r="98" spans="3:5" ht="12.75" customHeight="1"/>
    <row r="99" spans="3:5" ht="12.75" customHeight="1"/>
    <row r="100" spans="3:5" ht="12.75" customHeight="1">
      <c r="C100" s="43"/>
      <c r="D100" s="43"/>
      <c r="E100" s="43"/>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J73"/>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I71:J72 D6:E6 I6" unlockedFormula="1"/>
    <ignoredError sqref="E14 E22 D14 F14:G14 D20 D22" formulaRange="1"/>
    <ignoredError sqref="D7:E7 I7:J7" numberStoredAsText="1" unlockedFormula="1"/>
    <ignoredError sqref="F7:H7" numberStoredAsText="1"/>
    <ignoredError sqref="F20:G20" formula="1" formulaRange="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39" customWidth="1"/>
    <col min="2" max="2" width="4.42578125" style="139" customWidth="1"/>
    <col min="3" max="3" width="40.5703125" style="139" customWidth="1"/>
    <col min="4" max="5" width="8.140625" style="139" customWidth="1"/>
    <col min="6" max="6" width="7.5703125" style="139" customWidth="1"/>
    <col min="7" max="7" width="8.140625" style="139" customWidth="1"/>
    <col min="8" max="8" width="8.5703125" style="139" customWidth="1"/>
    <col min="9" max="9" width="8.5703125" style="381" customWidth="1"/>
    <col min="10" max="10" width="7.85546875" style="381" customWidth="1"/>
    <col min="11" max="11" width="8" style="381" customWidth="1"/>
    <col min="12" max="12" width="7.140625" style="381" customWidth="1"/>
    <col min="13" max="13" width="8.5703125" style="4" customWidth="1"/>
    <col min="14" max="14" width="8.5703125" style="139" customWidth="1"/>
    <col min="15" max="15" width="9.140625" style="254" customWidth="1"/>
    <col min="16" max="16" width="11" style="254" bestFit="1" customWidth="1"/>
    <col min="17" max="17" width="5.5703125" style="139" customWidth="1"/>
    <col min="18" max="18" width="10.42578125" style="139" bestFit="1" customWidth="1"/>
    <col min="19" max="19" width="3.5703125" style="139" customWidth="1"/>
    <col min="20" max="20" width="3.140625" style="139" customWidth="1"/>
    <col min="21" max="21" width="3.5703125" style="139" customWidth="1"/>
    <col min="22" max="23" width="12.5703125" style="139" bestFit="1" customWidth="1"/>
    <col min="24" max="24" width="3.5703125" style="139" customWidth="1"/>
    <col min="25" max="16384" width="9.140625" style="139"/>
  </cols>
  <sheetData>
    <row r="1" spans="2:33" s="52" customFormat="1" ht="15" customHeight="1">
      <c r="B1" s="51"/>
      <c r="C1" s="51"/>
      <c r="D1" s="252"/>
      <c r="E1" s="252"/>
      <c r="F1" s="252"/>
      <c r="G1" s="252"/>
      <c r="H1" s="252"/>
      <c r="I1" s="384"/>
      <c r="J1" s="384"/>
      <c r="K1" s="384"/>
      <c r="L1" s="384"/>
      <c r="M1" s="384"/>
      <c r="O1" s="254"/>
      <c r="P1" s="254"/>
    </row>
    <row r="2" spans="2:33" ht="24" customHeight="1">
      <c r="B2" s="8"/>
      <c r="C2" s="53" t="str">
        <f>IF(Indice_index!$Z$1=1,"13 - Execução Orçamental da Administração Regional","13 - Regional Government Budget Execution")</f>
        <v>13 - Regional Government Budget Execution</v>
      </c>
      <c r="D2" s="53"/>
      <c r="E2" s="53"/>
      <c r="F2" s="53"/>
      <c r="G2" s="53"/>
      <c r="H2" s="53"/>
      <c r="I2" s="343"/>
      <c r="J2" s="343"/>
      <c r="K2" s="343"/>
      <c r="L2" s="343"/>
      <c r="M2" s="343"/>
    </row>
    <row r="3" spans="2:33" ht="15" customHeight="1">
      <c r="D3" s="252"/>
      <c r="E3" s="252"/>
      <c r="F3" s="252"/>
      <c r="G3" s="252"/>
      <c r="H3" s="252"/>
      <c r="I3" s="384"/>
      <c r="J3" s="384"/>
      <c r="K3" s="384"/>
      <c r="L3" s="384"/>
      <c r="M3" s="384"/>
    </row>
    <row r="4" spans="2:33" ht="15" customHeight="1">
      <c r="B4" s="99"/>
      <c r="C4" s="99"/>
      <c r="D4" s="99"/>
      <c r="E4" s="99"/>
      <c r="F4" s="99"/>
      <c r="G4" s="99"/>
      <c r="H4" s="99"/>
      <c r="I4" s="99"/>
      <c r="J4" s="99"/>
      <c r="K4" s="99"/>
      <c r="L4" s="99"/>
      <c r="M4" s="99"/>
    </row>
    <row r="5" spans="2:33" s="307" customFormat="1" ht="15" customHeight="1">
      <c r="C5" s="770" t="str">
        <f>+'4 - Conta AC + SS'!C5</f>
        <v>Period: January to December</v>
      </c>
      <c r="D5" s="1067"/>
      <c r="E5" s="1067"/>
      <c r="F5" s="1068"/>
      <c r="G5" s="1068"/>
      <c r="H5" s="1068"/>
      <c r="I5" s="1068"/>
      <c r="J5" s="1068"/>
      <c r="K5" s="967"/>
      <c r="L5" s="967"/>
      <c r="M5" s="967" t="str">
        <f>IF(Indice_index!$Z$1=1,"€ Milhões","€ Millions")</f>
        <v>€ Millions</v>
      </c>
      <c r="N5" s="403"/>
      <c r="O5" s="308"/>
      <c r="P5" s="308"/>
      <c r="Q5" s="309"/>
      <c r="R5" s="309"/>
      <c r="S5" s="309"/>
      <c r="T5" s="309"/>
      <c r="U5" s="309"/>
      <c r="V5" s="309"/>
      <c r="W5" s="309"/>
      <c r="X5" s="309"/>
      <c r="Y5" s="309"/>
      <c r="Z5" s="309"/>
      <c r="AA5" s="309"/>
      <c r="AB5" s="309"/>
      <c r="AC5" s="309"/>
      <c r="AD5" s="309"/>
      <c r="AE5" s="309"/>
      <c r="AF5" s="309"/>
      <c r="AG5" s="309"/>
    </row>
    <row r="6" spans="2:33" ht="25.5" customHeight="1">
      <c r="C6" s="1069"/>
      <c r="D6" s="1614" t="str">
        <f>IF(Indice_index!$Z$1=1,"R. Autónoma dos Açores","Azores Autonomous Region")</f>
        <v>Azores Autonomous Region</v>
      </c>
      <c r="E6" s="1615"/>
      <c r="F6" s="1616"/>
      <c r="G6" s="1614" t="str">
        <f>IF(Indice_index!$Z$1=1,"R. Autónoma da Madeira","Madeira Autonomous Region")</f>
        <v>Madeira Autonomous Region</v>
      </c>
      <c r="H6" s="1615"/>
      <c r="I6" s="1616"/>
      <c r="J6" s="1070" t="str">
        <f>IF(Indice_index!$Z$1=1,"Administração Regional","Regional Government")</f>
        <v>Regional Government</v>
      </c>
      <c r="K6" s="1071"/>
      <c r="L6" s="1071"/>
      <c r="M6" s="1071"/>
      <c r="N6" s="404"/>
      <c r="Q6" s="141"/>
      <c r="R6" s="142"/>
      <c r="S6" s="143"/>
      <c r="T6" s="143"/>
      <c r="U6" s="143"/>
      <c r="V6" s="144"/>
      <c r="W6" s="145"/>
      <c r="X6" s="145"/>
      <c r="Y6" s="143"/>
      <c r="Z6" s="143"/>
      <c r="AA6" s="143"/>
      <c r="AB6" s="141"/>
      <c r="AC6" s="141"/>
      <c r="AD6" s="141"/>
      <c r="AE6" s="141"/>
      <c r="AF6" s="141"/>
      <c r="AG6" s="141"/>
    </row>
    <row r="7" spans="2:33" ht="21.75" customHeight="1">
      <c r="C7" s="1072"/>
      <c r="D7" s="1612" t="str">
        <f>IF(Indice_index!$Z$1=1,"Execução Acumulada","Accumulated Execution")</f>
        <v>Accumulated Execution</v>
      </c>
      <c r="E7" s="1613"/>
      <c r="F7" s="1617"/>
      <c r="G7" s="1612" t="str">
        <f>IF(Indice_index!$Z$1=1,"Execução Acumulada","Accumulated Execution")</f>
        <v>Accumulated Execution</v>
      </c>
      <c r="H7" s="1613"/>
      <c r="I7" s="1617"/>
      <c r="J7" s="1612" t="str">
        <f>IF(Indice_index!$Z$1=1,"Execução Acumulada","Accumulated Execution")</f>
        <v>Accumulated Execution</v>
      </c>
      <c r="K7" s="1613"/>
      <c r="L7" s="1613"/>
      <c r="M7" s="1613"/>
      <c r="N7" s="404"/>
      <c r="Q7" s="1611"/>
      <c r="R7" s="1611"/>
      <c r="S7" s="146"/>
      <c r="T7" s="146"/>
      <c r="U7" s="146"/>
      <c r="V7" s="146"/>
      <c r="W7" s="1611"/>
      <c r="X7" s="1611"/>
      <c r="Y7" s="146"/>
      <c r="Z7" s="146"/>
      <c r="AA7" s="146"/>
      <c r="AB7" s="141"/>
      <c r="AC7" s="141"/>
      <c r="AD7" s="141"/>
      <c r="AE7" s="141"/>
      <c r="AF7" s="141"/>
      <c r="AG7" s="141"/>
    </row>
    <row r="8" spans="2:33" ht="36" customHeight="1">
      <c r="C8" s="1073"/>
      <c r="D8" s="1074">
        <v>2020</v>
      </c>
      <c r="E8" s="1075">
        <v>2021</v>
      </c>
      <c r="F8" s="1076" t="str">
        <f>IF(Indice_index!$Z$1=1,"TVH (%)","YOY Change Rate (%)")</f>
        <v>YOY Change Rate (%)</v>
      </c>
      <c r="G8" s="1077">
        <v>2020</v>
      </c>
      <c r="H8" s="1075">
        <v>2021</v>
      </c>
      <c r="I8" s="1076" t="str">
        <f>IF(Indice_index!$Z$1=1,"TVH (%)","YOY Change Rate (%)")</f>
        <v>YOY Change Rate (%)</v>
      </c>
      <c r="J8" s="1074">
        <v>2020</v>
      </c>
      <c r="K8" s="1075">
        <v>2021</v>
      </c>
      <c r="L8" s="1076" t="str">
        <f>IF(Indice_index!$Z$1=1,"TVH (%)","YOY Change Rate (%)")</f>
        <v>YOY Change Rate (%)</v>
      </c>
      <c r="M8" s="1078" t="str">
        <f>IF(Indice_index!$Z$1=1,"Contributo VH (p.p.)","YOY Change Contrib. (p.p.)")</f>
        <v>YOY Change Contrib. (p.p.)</v>
      </c>
      <c r="N8" s="404"/>
      <c r="Q8" s="147"/>
      <c r="R8" s="148"/>
      <c r="S8" s="149"/>
      <c r="T8" s="149"/>
      <c r="U8" s="149"/>
      <c r="V8" s="149"/>
      <c r="W8" s="147"/>
      <c r="X8" s="148"/>
      <c r="Y8" s="149"/>
      <c r="Z8" s="149"/>
      <c r="AA8" s="149"/>
      <c r="AB8" s="141"/>
      <c r="AC8" s="141"/>
      <c r="AD8" s="141"/>
      <c r="AE8" s="141"/>
      <c r="AF8" s="141"/>
      <c r="AG8" s="141"/>
    </row>
    <row r="9" spans="2:33" s="307" customFormat="1" ht="15" customHeight="1">
      <c r="C9" s="1079" t="str">
        <f>IF(Indice_index!$Z$1=1,"Receita corrente","Current revenue")</f>
        <v>Current revenue</v>
      </c>
      <c r="D9" s="1080">
        <v>954.91602581999996</v>
      </c>
      <c r="E9" s="1080">
        <v>1124.2013077199999</v>
      </c>
      <c r="F9" s="310">
        <f>IFERROR(IF(ABS((E9-D9)/D9)*100&gt;500,"n.r",((E9-D9)/D9)*100),0)</f>
        <v>17.727766350411002</v>
      </c>
      <c r="G9" s="1080">
        <v>1148.0703017599999</v>
      </c>
      <c r="H9" s="1080">
        <v>1162.8466172600001</v>
      </c>
      <c r="I9" s="310">
        <f>IFERROR(IF(ABS((H9-G9)/G9)*100&gt;500,"n.r",((H9-G9)/G9)*100),0)</f>
        <v>1.2870566791378577</v>
      </c>
      <c r="J9" s="1080">
        <v>2102.9863275799999</v>
      </c>
      <c r="K9" s="1080">
        <v>2287.0479249799996</v>
      </c>
      <c r="L9" s="310">
        <f>IFERROR(IF(ABS((K9-J9)/J9)*100&gt;500,"n.r",((K9-J9)/J9)*100),0)</f>
        <v>8.7523915389315743</v>
      </c>
      <c r="M9" s="310">
        <f t="shared" ref="M9:M21" si="0">IFERROR((K9-J9)/$J$35*100,"-")</f>
        <v>7.8202564989005827</v>
      </c>
      <c r="N9" s="405"/>
      <c r="O9" s="308"/>
      <c r="P9" s="311"/>
      <c r="Q9" s="312"/>
      <c r="R9" s="313"/>
      <c r="S9" s="314"/>
      <c r="T9" s="314"/>
      <c r="U9" s="314"/>
      <c r="V9" s="309"/>
      <c r="W9" s="150"/>
      <c r="X9" s="150"/>
      <c r="Y9" s="150"/>
      <c r="Z9" s="150"/>
      <c r="AA9" s="150"/>
      <c r="AB9" s="150"/>
      <c r="AC9" s="150"/>
      <c r="AD9" s="150"/>
      <c r="AE9" s="150"/>
      <c r="AF9" s="150"/>
      <c r="AG9" s="150"/>
    </row>
    <row r="10" spans="2:33" ht="15" customHeight="1">
      <c r="C10" s="1081" t="str">
        <f>IF(Indice_index!$Z$1=1,"Receita Fiscal","Tax revenue")</f>
        <v>Tax revenue</v>
      </c>
      <c r="D10" s="1082">
        <v>668.02665349000006</v>
      </c>
      <c r="E10" s="1082">
        <v>715.93343837999998</v>
      </c>
      <c r="F10" s="1083">
        <f t="shared" ref="F10:F58" si="1">IFERROR(IF(ABS((E10-D10)/D10)*100&gt;500,"n.r",((E10-D10)/D10)*100),0)</f>
        <v>7.1713882432262954</v>
      </c>
      <c r="G10" s="1082">
        <v>852.84107014999995</v>
      </c>
      <c r="H10" s="1082">
        <v>874.25630345000013</v>
      </c>
      <c r="I10" s="1083">
        <f t="shared" ref="I10:I58" si="2">IFERROR(IF(ABS((H10-G10)/G10)*100&gt;500,"n.r",((H10-G10)/G10)*100),0)</f>
        <v>2.5110462018713071</v>
      </c>
      <c r="J10" s="1082">
        <v>1520.8677236399999</v>
      </c>
      <c r="K10" s="1082">
        <v>1590.18974183</v>
      </c>
      <c r="L10" s="1083">
        <f t="shared" ref="L10:L58" si="3">IFERROR(IF(ABS((K10-J10)/J10)*100&gt;500,"n.r",((K10-J10)/J10)*100),0)</f>
        <v>4.5580570297124092</v>
      </c>
      <c r="M10" s="1083">
        <f t="shared" si="0"/>
        <v>2.9452964166617268</v>
      </c>
      <c r="N10" s="406"/>
      <c r="P10" s="253"/>
      <c r="Q10" s="147"/>
      <c r="R10" s="148"/>
      <c r="S10" s="149"/>
      <c r="T10" s="149"/>
      <c r="U10" s="149"/>
      <c r="V10" s="141"/>
      <c r="W10" s="151"/>
      <c r="X10" s="150"/>
      <c r="Y10" s="150"/>
      <c r="Z10" s="150"/>
      <c r="AA10" s="150"/>
      <c r="AB10" s="150"/>
      <c r="AC10" s="150"/>
      <c r="AD10" s="150"/>
      <c r="AE10" s="150"/>
      <c r="AF10" s="150"/>
      <c r="AG10" s="150"/>
    </row>
    <row r="11" spans="2:33" ht="15" customHeight="1">
      <c r="C11" s="1084" t="str">
        <f>IF(Indice_index!$Z$1=1,"Impostos diretos","Direct taxes")</f>
        <v>Direct taxes</v>
      </c>
      <c r="D11" s="1082">
        <v>226.14178250000001</v>
      </c>
      <c r="E11" s="1082">
        <v>236.16405856999998</v>
      </c>
      <c r="F11" s="1083">
        <f t="shared" si="1"/>
        <v>4.4318550774667109</v>
      </c>
      <c r="G11" s="1082">
        <v>304.73677318</v>
      </c>
      <c r="H11" s="1082">
        <v>288.71882784999997</v>
      </c>
      <c r="I11" s="1083">
        <f t="shared" si="2"/>
        <v>-5.2563217634842685</v>
      </c>
      <c r="J11" s="1082">
        <v>530.87855567999998</v>
      </c>
      <c r="K11" s="1082">
        <v>524.88288641999998</v>
      </c>
      <c r="L11" s="1083">
        <f t="shared" si="3"/>
        <v>-1.129386221359078</v>
      </c>
      <c r="M11" s="1083">
        <f t="shared" si="0"/>
        <v>-0.25473902301237722</v>
      </c>
      <c r="N11" s="406"/>
      <c r="P11" s="253"/>
      <c r="Q11" s="147"/>
      <c r="R11" s="148"/>
      <c r="S11" s="149"/>
      <c r="T11" s="149"/>
      <c r="U11" s="149"/>
      <c r="V11" s="141"/>
      <c r="W11" s="151"/>
      <c r="X11" s="150"/>
      <c r="Y11" s="150"/>
      <c r="Z11" s="150"/>
      <c r="AA11" s="150"/>
      <c r="AB11" s="150"/>
      <c r="AC11" s="150"/>
      <c r="AD11" s="150"/>
      <c r="AE11" s="150"/>
      <c r="AF11" s="150"/>
      <c r="AG11" s="150"/>
    </row>
    <row r="12" spans="2:33" ht="15" customHeight="1">
      <c r="C12" s="1084" t="str">
        <f>IF(Indice_index!$Z$1=1,"Impostos indiretos","Indirect taxes")</f>
        <v>Indirect taxes</v>
      </c>
      <c r="D12" s="1082">
        <v>441.88487099000008</v>
      </c>
      <c r="E12" s="1082">
        <v>479.76937980999998</v>
      </c>
      <c r="F12" s="1083">
        <f t="shared" si="1"/>
        <v>8.5733889768896905</v>
      </c>
      <c r="G12" s="1082">
        <v>548.10429696999995</v>
      </c>
      <c r="H12" s="1082">
        <v>585.53747560000011</v>
      </c>
      <c r="I12" s="1083">
        <f t="shared" si="2"/>
        <v>6.8295721885298466</v>
      </c>
      <c r="J12" s="1085">
        <v>989.98916796000003</v>
      </c>
      <c r="K12" s="1085">
        <v>1065.30685541</v>
      </c>
      <c r="L12" s="1083">
        <f t="shared" si="3"/>
        <v>7.6079304589970187</v>
      </c>
      <c r="M12" s="1083">
        <f t="shared" si="0"/>
        <v>3.2000354396740995</v>
      </c>
      <c r="N12" s="406"/>
      <c r="P12" s="253"/>
      <c r="Q12" s="147"/>
      <c r="R12" s="148"/>
      <c r="S12" s="149"/>
      <c r="T12" s="149"/>
      <c r="U12" s="149"/>
      <c r="V12" s="141"/>
      <c r="W12" s="151"/>
      <c r="X12" s="150"/>
      <c r="Y12" s="150"/>
      <c r="Z12" s="150"/>
      <c r="AA12" s="150"/>
      <c r="AB12" s="150"/>
      <c r="AC12" s="150"/>
      <c r="AD12" s="150"/>
      <c r="AE12" s="150"/>
      <c r="AF12" s="150"/>
      <c r="AG12" s="150"/>
    </row>
    <row r="13" spans="2:33" ht="15" customHeight="1">
      <c r="C13" s="736" t="str">
        <f>IF(Indice_index!$Z$1=1,"Contribuições para Segurança Social, CGA e ADSE","Social security, CGA and ADSE contributions")</f>
        <v>Social security, CGA and ADSE contributions</v>
      </c>
      <c r="D13" s="1082">
        <v>0</v>
      </c>
      <c r="E13" s="1082">
        <v>0</v>
      </c>
      <c r="F13" s="1083">
        <f t="shared" si="1"/>
        <v>0</v>
      </c>
      <c r="G13" s="1082">
        <v>0</v>
      </c>
      <c r="H13" s="1082">
        <v>0</v>
      </c>
      <c r="I13" s="1083">
        <f t="shared" si="2"/>
        <v>0</v>
      </c>
      <c r="J13" s="1082">
        <v>0</v>
      </c>
      <c r="K13" s="1082">
        <v>0</v>
      </c>
      <c r="L13" s="1083">
        <f t="shared" si="3"/>
        <v>0</v>
      </c>
      <c r="M13" s="1083">
        <f t="shared" si="0"/>
        <v>0</v>
      </c>
      <c r="N13" s="406"/>
      <c r="P13" s="253"/>
      <c r="Q13" s="147"/>
      <c r="R13" s="148"/>
      <c r="S13" s="149"/>
      <c r="T13" s="149"/>
      <c r="U13" s="149"/>
      <c r="V13" s="141"/>
      <c r="W13" s="151"/>
      <c r="X13" s="150"/>
      <c r="Y13" s="150"/>
      <c r="Z13" s="150"/>
      <c r="AA13" s="150"/>
      <c r="AB13" s="150"/>
      <c r="AC13" s="150"/>
      <c r="AD13" s="150"/>
      <c r="AE13" s="150"/>
      <c r="AF13" s="150"/>
      <c r="AG13" s="150"/>
    </row>
    <row r="14" spans="2:33" ht="15" customHeight="1">
      <c r="C14" s="1081" t="str">
        <f>IF(Indice_index!$Z$1=1,"Transferências correntes","Current transfers")</f>
        <v>Current transfers</v>
      </c>
      <c r="D14" s="1082">
        <v>233.15993875999993</v>
      </c>
      <c r="E14" s="1082">
        <v>272.01528924999991</v>
      </c>
      <c r="F14" s="1083">
        <f t="shared" si="1"/>
        <v>16.664676915186195</v>
      </c>
      <c r="G14" s="1082">
        <v>214.84802328000001</v>
      </c>
      <c r="H14" s="1082">
        <v>217.96206843999983</v>
      </c>
      <c r="I14" s="1083">
        <f t="shared" si="2"/>
        <v>1.4494176453005803</v>
      </c>
      <c r="J14" s="1082">
        <v>448.00796203999994</v>
      </c>
      <c r="K14" s="1082">
        <v>489.97735768999974</v>
      </c>
      <c r="L14" s="1083">
        <f t="shared" si="3"/>
        <v>9.3680021798926418</v>
      </c>
      <c r="M14" s="1083">
        <f t="shared" si="0"/>
        <v>1.7831608750714947</v>
      </c>
      <c r="N14" s="406"/>
      <c r="P14" s="253"/>
      <c r="Q14" s="147"/>
      <c r="R14" s="148"/>
      <c r="S14" s="149"/>
      <c r="T14" s="149"/>
      <c r="U14" s="149"/>
      <c r="V14" s="141"/>
      <c r="W14" s="151"/>
      <c r="X14" s="150"/>
      <c r="Y14" s="150"/>
      <c r="Z14" s="150"/>
      <c r="AA14" s="150"/>
      <c r="AB14" s="150"/>
      <c r="AC14" s="150"/>
      <c r="AD14" s="150"/>
      <c r="AE14" s="150"/>
      <c r="AF14" s="150"/>
      <c r="AG14" s="150"/>
    </row>
    <row r="15" spans="2:33" ht="15" customHeight="1">
      <c r="C15" s="1084" t="str">
        <f>IF(Indice_index!$Z$1=1,"Administração Central","Central Administration")</f>
        <v>Central Administration</v>
      </c>
      <c r="D15" s="1082">
        <v>202.65349528999997</v>
      </c>
      <c r="E15" s="1082">
        <v>207.26266046000003</v>
      </c>
      <c r="F15" s="1083">
        <f t="shared" si="1"/>
        <v>2.2744069444271311</v>
      </c>
      <c r="G15" s="1082">
        <v>183.63506387999999</v>
      </c>
      <c r="H15" s="1082">
        <v>186.94391752999999</v>
      </c>
      <c r="I15" s="1083">
        <f t="shared" si="2"/>
        <v>1.8018637509023006</v>
      </c>
      <c r="J15" s="1082">
        <v>386.28855916999998</v>
      </c>
      <c r="K15" s="1082">
        <v>394.20657799000003</v>
      </c>
      <c r="L15" s="1083">
        <f t="shared" si="3"/>
        <v>2.0497678825935504</v>
      </c>
      <c r="M15" s="1083">
        <f t="shared" si="0"/>
        <v>0.3364142168176279</v>
      </c>
      <c r="N15" s="406"/>
      <c r="P15" s="253"/>
      <c r="Q15" s="147"/>
      <c r="R15" s="148"/>
      <c r="S15" s="149"/>
      <c r="T15" s="149"/>
      <c r="U15" s="149"/>
      <c r="V15" s="141"/>
      <c r="W15" s="151"/>
      <c r="X15" s="150"/>
      <c r="Y15" s="150"/>
      <c r="Z15" s="150"/>
      <c r="AA15" s="150"/>
      <c r="AB15" s="150"/>
      <c r="AC15" s="150"/>
      <c r="AD15" s="150"/>
      <c r="AE15" s="150"/>
      <c r="AF15" s="150"/>
      <c r="AG15" s="150"/>
    </row>
    <row r="16" spans="2:33" ht="15" customHeight="1">
      <c r="C16" s="1086" t="str">
        <f>IF(Indice_index!$Z$1=1,"dos quais:","of which:")</f>
        <v>of which:</v>
      </c>
      <c r="D16" s="1082"/>
      <c r="E16" s="1082"/>
      <c r="F16" s="1083"/>
      <c r="G16" s="1082"/>
      <c r="H16" s="1082"/>
      <c r="I16" s="1083"/>
      <c r="J16" s="1082"/>
      <c r="K16" s="1082"/>
      <c r="L16" s="1083"/>
      <c r="M16" s="1083"/>
      <c r="N16" s="406"/>
      <c r="P16" s="253"/>
      <c r="Q16" s="147"/>
      <c r="R16" s="148"/>
      <c r="S16" s="149"/>
      <c r="T16" s="149"/>
      <c r="U16" s="149"/>
      <c r="V16" s="141"/>
      <c r="W16" s="151"/>
      <c r="X16" s="150"/>
      <c r="Y16" s="150"/>
      <c r="Z16" s="150"/>
      <c r="AA16" s="150"/>
      <c r="AB16" s="150"/>
      <c r="AC16" s="150"/>
      <c r="AD16" s="150"/>
      <c r="AE16" s="150"/>
      <c r="AF16" s="150"/>
      <c r="AG16" s="150"/>
    </row>
    <row r="17" spans="3:33" ht="15" customHeight="1">
      <c r="C17" s="998" t="str">
        <f>IF(Indice_index!$Z$1=1,"Transferências do OE","State Budget tranfers")</f>
        <v>State Budget tranfers</v>
      </c>
      <c r="D17" s="1082">
        <v>199.65850506999999</v>
      </c>
      <c r="E17" s="1082">
        <v>204.86146017000002</v>
      </c>
      <c r="F17" s="1083">
        <f t="shared" si="1"/>
        <v>2.605927104470644</v>
      </c>
      <c r="G17" s="1082">
        <v>183.63206388</v>
      </c>
      <c r="H17" s="1082">
        <v>186.94364253000001</v>
      </c>
      <c r="I17" s="1083">
        <f t="shared" si="2"/>
        <v>1.8033771336165201</v>
      </c>
      <c r="J17" s="1082">
        <v>383.29056894999997</v>
      </c>
      <c r="K17" s="1082">
        <v>391.80510270000002</v>
      </c>
      <c r="L17" s="1083">
        <f t="shared" si="3"/>
        <v>2.2214305385402717</v>
      </c>
      <c r="M17" s="1083">
        <f>(K17-J17)/J15*100</f>
        <v>2.2041899890317311</v>
      </c>
      <c r="N17" s="406"/>
      <c r="P17" s="253"/>
      <c r="Q17" s="147"/>
      <c r="R17" s="148"/>
      <c r="S17" s="149"/>
      <c r="T17" s="149"/>
      <c r="U17" s="149"/>
      <c r="V17" s="141"/>
      <c r="W17" s="151"/>
      <c r="X17" s="150"/>
      <c r="Y17" s="150"/>
      <c r="Z17" s="150"/>
      <c r="AA17" s="150"/>
      <c r="AB17" s="150"/>
      <c r="AC17" s="150"/>
      <c r="AD17" s="150"/>
      <c r="AE17" s="150"/>
      <c r="AF17" s="150"/>
      <c r="AG17" s="150"/>
    </row>
    <row r="18" spans="3:33" ht="15" customHeight="1">
      <c r="C18" s="1084" t="str">
        <f>IF(Indice_index!$Z$1=1,"Outros subsectores das AP","Other General Government subsectors")</f>
        <v>Other General Government subsectors</v>
      </c>
      <c r="D18" s="1082">
        <v>11.599591929999999</v>
      </c>
      <c r="E18" s="1082">
        <v>11.923620829999999</v>
      </c>
      <c r="F18" s="1083">
        <f t="shared" si="1"/>
        <v>2.7934508554733277</v>
      </c>
      <c r="G18" s="1082">
        <v>12.77560965</v>
      </c>
      <c r="H18" s="1082">
        <v>13.273322840000001</v>
      </c>
      <c r="I18" s="1083">
        <f t="shared" si="2"/>
        <v>3.8958077433118876</v>
      </c>
      <c r="J18" s="1082">
        <v>24.375201579999999</v>
      </c>
      <c r="K18" s="1082">
        <v>25.19694367</v>
      </c>
      <c r="L18" s="1083">
        <f t="shared" si="3"/>
        <v>3.3712217201692609</v>
      </c>
      <c r="M18" s="1083">
        <f t="shared" si="0"/>
        <v>3.4913496408364116E-2</v>
      </c>
      <c r="N18" s="406"/>
      <c r="P18" s="253"/>
      <c r="Q18" s="147"/>
      <c r="R18" s="148"/>
      <c r="S18" s="149"/>
      <c r="T18" s="149"/>
      <c r="U18" s="149"/>
      <c r="V18" s="141"/>
      <c r="W18" s="151"/>
      <c r="X18" s="150"/>
      <c r="Y18" s="150"/>
      <c r="Z18" s="150"/>
      <c r="AA18" s="150"/>
      <c r="AB18" s="150"/>
      <c r="AC18" s="150"/>
      <c r="AD18" s="150"/>
      <c r="AE18" s="150"/>
      <c r="AF18" s="150"/>
      <c r="AG18" s="150"/>
    </row>
    <row r="19" spans="3:33" ht="15" customHeight="1">
      <c r="C19" s="1084" t="str">
        <f>IF(Indice_index!$Z$1=1,"União Europeia","European Union")</f>
        <v>European Union</v>
      </c>
      <c r="D19" s="1082">
        <v>5.9627034899999991</v>
      </c>
      <c r="E19" s="1082">
        <v>38.277030859999996</v>
      </c>
      <c r="F19" s="1083" t="str">
        <f t="shared" si="1"/>
        <v>n.r</v>
      </c>
      <c r="G19" s="1082">
        <v>18.156720350000001</v>
      </c>
      <c r="H19" s="1082">
        <v>17.507344329999999</v>
      </c>
      <c r="I19" s="1083">
        <f t="shared" si="2"/>
        <v>-3.5765050487215428</v>
      </c>
      <c r="J19" s="1082">
        <v>24.11942384</v>
      </c>
      <c r="K19" s="1082">
        <v>55.784375189999992</v>
      </c>
      <c r="L19" s="1083">
        <f t="shared" si="3"/>
        <v>131.2840288393887</v>
      </c>
      <c r="M19" s="1083">
        <f t="shared" si="0"/>
        <v>1.3453541916408933</v>
      </c>
      <c r="N19" s="406"/>
      <c r="P19" s="253"/>
      <c r="Q19" s="147"/>
      <c r="R19" s="148"/>
      <c r="S19" s="149"/>
      <c r="T19" s="149"/>
      <c r="U19" s="149"/>
      <c r="V19" s="141"/>
      <c r="W19" s="151"/>
      <c r="X19" s="150"/>
      <c r="Y19" s="150"/>
      <c r="Z19" s="150"/>
      <c r="AA19" s="150"/>
      <c r="AB19" s="150"/>
      <c r="AC19" s="150"/>
      <c r="AD19" s="150"/>
      <c r="AE19" s="150"/>
      <c r="AF19" s="150"/>
      <c r="AG19" s="150"/>
    </row>
    <row r="20" spans="3:33" ht="15" customHeight="1">
      <c r="C20" s="1084" t="str">
        <f>IF(Indice_index!$Z$1=1,"Outras transferências","Other transfers")</f>
        <v>Other transfers</v>
      </c>
      <c r="D20" s="1082">
        <v>12.944148049999967</v>
      </c>
      <c r="E20" s="1082">
        <v>14.551977099999881</v>
      </c>
      <c r="F20" s="1083">
        <f t="shared" si="1"/>
        <v>12.421281368146268</v>
      </c>
      <c r="G20" s="1082">
        <v>0.28062940000001646</v>
      </c>
      <c r="H20" s="1082">
        <v>0.23748373999983485</v>
      </c>
      <c r="I20" s="1083">
        <f t="shared" si="2"/>
        <v>-15.374604371523109</v>
      </c>
      <c r="J20" s="1082">
        <v>13.224777449999984</v>
      </c>
      <c r="K20" s="1082">
        <v>14.789460839999716</v>
      </c>
      <c r="L20" s="1083">
        <f t="shared" si="3"/>
        <v>11.83145346615821</v>
      </c>
      <c r="M20" s="1083">
        <f t="shared" si="0"/>
        <v>6.6478970204608356E-2</v>
      </c>
      <c r="N20" s="406"/>
      <c r="P20" s="253"/>
      <c r="Q20" s="147"/>
      <c r="R20" s="148"/>
      <c r="S20" s="149"/>
      <c r="T20" s="149"/>
      <c r="U20" s="149"/>
      <c r="V20" s="141"/>
      <c r="W20" s="151"/>
      <c r="X20" s="150"/>
      <c r="Y20" s="150"/>
      <c r="Z20" s="150"/>
      <c r="AA20" s="150"/>
      <c r="AB20" s="150"/>
      <c r="AC20" s="150"/>
      <c r="AD20" s="150"/>
      <c r="AE20" s="150"/>
      <c r="AF20" s="150"/>
      <c r="AG20" s="150"/>
    </row>
    <row r="21" spans="3:33" ht="15" customHeight="1">
      <c r="C21" s="1081" t="str">
        <f>IF(Indice_index!$Z$1=1,"Outras receitas correntes","Other current revenue")</f>
        <v>Other current revenue</v>
      </c>
      <c r="D21" s="1082">
        <v>53.729433570000005</v>
      </c>
      <c r="E21" s="1082">
        <v>136.25258009000001</v>
      </c>
      <c r="F21" s="1083">
        <f t="shared" si="1"/>
        <v>153.59020379860669</v>
      </c>
      <c r="G21" s="1082">
        <v>73.794113940000003</v>
      </c>
      <c r="H21" s="1082">
        <v>70.628245370000016</v>
      </c>
      <c r="I21" s="1082">
        <f t="shared" si="2"/>
        <v>-4.2901369783693974</v>
      </c>
      <c r="J21" s="1082">
        <v>127.52354751000001</v>
      </c>
      <c r="K21" s="1082">
        <v>206.88082546000004</v>
      </c>
      <c r="L21" s="1083">
        <f t="shared" si="3"/>
        <v>62.229509372594158</v>
      </c>
      <c r="M21" s="1083">
        <f t="shared" si="0"/>
        <v>3.3716662106049311</v>
      </c>
      <c r="N21" s="406"/>
      <c r="P21" s="253"/>
      <c r="Q21" s="147"/>
      <c r="R21" s="148"/>
      <c r="S21" s="149"/>
      <c r="T21" s="149"/>
      <c r="U21" s="149"/>
      <c r="V21" s="141"/>
      <c r="W21" s="151"/>
      <c r="X21" s="150"/>
      <c r="Y21" s="150"/>
      <c r="Z21" s="150"/>
      <c r="AA21" s="150"/>
      <c r="AB21" s="150"/>
      <c r="AC21" s="150"/>
      <c r="AD21" s="150"/>
      <c r="AE21" s="150"/>
      <c r="AF21" s="150"/>
      <c r="AG21" s="150"/>
    </row>
    <row r="22" spans="3:33" s="154" customFormat="1" ht="15" customHeight="1">
      <c r="C22" s="1081" t="str">
        <f>IF(Indice_index!$Z$1=1,"Diferenças de consolidação","Consolidation differences")</f>
        <v>Consolidation differences</v>
      </c>
      <c r="D22" s="1082">
        <v>0</v>
      </c>
      <c r="E22" s="1082">
        <v>0</v>
      </c>
      <c r="F22" s="1083"/>
      <c r="G22" s="1082">
        <v>6.5870943900000611</v>
      </c>
      <c r="H22" s="1082">
        <v>0</v>
      </c>
      <c r="I22" s="1087"/>
      <c r="J22" s="1082">
        <v>6.5870943900000611</v>
      </c>
      <c r="K22" s="1082">
        <v>0</v>
      </c>
      <c r="L22" s="1083"/>
      <c r="M22" s="1083"/>
      <c r="N22" s="406"/>
      <c r="O22" s="254"/>
      <c r="P22" s="253"/>
      <c r="Q22" s="147"/>
      <c r="R22" s="148"/>
      <c r="S22" s="149"/>
      <c r="T22" s="149"/>
      <c r="U22" s="149"/>
      <c r="V22" s="152"/>
      <c r="W22" s="153"/>
      <c r="X22" s="150"/>
      <c r="Y22" s="150"/>
      <c r="Z22" s="150"/>
      <c r="AA22" s="150"/>
      <c r="AB22" s="150"/>
      <c r="AC22" s="150"/>
      <c r="AD22" s="150"/>
      <c r="AE22" s="150"/>
      <c r="AF22" s="150"/>
      <c r="AG22" s="150"/>
    </row>
    <row r="23" spans="3:33" s="307" customFormat="1" ht="15" customHeight="1">
      <c r="C23" s="1088" t="str">
        <f>IF(Indice_index!$Z$1=1,"Receita de capital","Capital revenue")</f>
        <v>Capital revenue</v>
      </c>
      <c r="D23" s="1089">
        <v>152.43921270000001</v>
      </c>
      <c r="E23" s="1089">
        <v>281.17038307000007</v>
      </c>
      <c r="F23" s="310">
        <f t="shared" si="1"/>
        <v>84.447543443656244</v>
      </c>
      <c r="G23" s="1089">
        <v>98.22612608</v>
      </c>
      <c r="H23" s="1089">
        <v>131.79267579</v>
      </c>
      <c r="I23" s="310">
        <f t="shared" si="2"/>
        <v>34.172730870666548</v>
      </c>
      <c r="J23" s="1089">
        <v>250.66533878000001</v>
      </c>
      <c r="K23" s="1089">
        <v>412.96305886000005</v>
      </c>
      <c r="L23" s="310">
        <f t="shared" si="3"/>
        <v>64.74677387384736</v>
      </c>
      <c r="M23" s="310">
        <f>IFERROR((K23-J23)/$J$35*100,"-")</f>
        <v>6.8955709291935632</v>
      </c>
      <c r="N23" s="405"/>
      <c r="O23" s="308"/>
      <c r="P23" s="311"/>
      <c r="Q23" s="312"/>
      <c r="R23" s="313"/>
      <c r="S23" s="314"/>
      <c r="T23" s="314"/>
      <c r="U23" s="314"/>
      <c r="V23" s="309"/>
      <c r="W23" s="315"/>
      <c r="X23" s="150"/>
      <c r="Y23" s="150"/>
      <c r="Z23" s="150"/>
      <c r="AA23" s="150"/>
      <c r="AB23" s="150"/>
      <c r="AC23" s="150"/>
      <c r="AD23" s="150"/>
      <c r="AE23" s="150"/>
      <c r="AF23" s="150"/>
      <c r="AG23" s="150"/>
    </row>
    <row r="24" spans="3:33" ht="15" customHeight="1">
      <c r="C24" s="1081" t="str">
        <f>IF(Indice_index!$Z$1=1,"Venda de Bens de Investimento","Sale of investment goods")</f>
        <v>Sale of investment goods</v>
      </c>
      <c r="D24" s="1082">
        <v>0.59445655000000008</v>
      </c>
      <c r="E24" s="1082">
        <v>0.6100144500000001</v>
      </c>
      <c r="F24" s="1083">
        <f t="shared" si="1"/>
        <v>2.6171635252399876</v>
      </c>
      <c r="G24" s="1082">
        <v>0.5042584</v>
      </c>
      <c r="H24" s="1082">
        <v>2.2232902499999998</v>
      </c>
      <c r="I24" s="1083">
        <f t="shared" si="2"/>
        <v>340.90296760549751</v>
      </c>
      <c r="J24" s="1082">
        <v>1.0987149500000002</v>
      </c>
      <c r="K24" s="1082">
        <v>2.8333046999999998</v>
      </c>
      <c r="L24" s="1083">
        <f t="shared" si="3"/>
        <v>157.8744104646978</v>
      </c>
      <c r="M24" s="1083">
        <f t="shared" ref="M24:M26" si="4">IFERROR((K24-J24)/$J$35*100,"-")</f>
        <v>7.3697810716510992E-2</v>
      </c>
      <c r="N24" s="406"/>
      <c r="P24" s="253"/>
      <c r="Q24" s="147"/>
      <c r="R24" s="148"/>
      <c r="S24" s="149"/>
      <c r="T24" s="149"/>
      <c r="U24" s="149"/>
      <c r="V24" s="141"/>
      <c r="W24" s="151"/>
      <c r="X24" s="150"/>
      <c r="Y24" s="150"/>
      <c r="Z24" s="150"/>
      <c r="AA24" s="150"/>
      <c r="AB24" s="150"/>
      <c r="AC24" s="150"/>
      <c r="AD24" s="150"/>
      <c r="AE24" s="150"/>
      <c r="AF24" s="150"/>
      <c r="AG24" s="150"/>
    </row>
    <row r="25" spans="3:33" ht="15" customHeight="1">
      <c r="C25" s="1081" t="str">
        <f>IF(Indice_index!$Z$1=1,"Transferências de capital","Capital transfers")</f>
        <v>Capital transfers</v>
      </c>
      <c r="D25" s="1082">
        <v>151.67146445000003</v>
      </c>
      <c r="E25" s="1082">
        <v>280.27590246000005</v>
      </c>
      <c r="F25" s="1083">
        <f t="shared" si="1"/>
        <v>84.791452681196816</v>
      </c>
      <c r="G25" s="1082">
        <v>97.670385539999998</v>
      </c>
      <c r="H25" s="1082">
        <v>129.54830852000001</v>
      </c>
      <c r="I25" s="1083">
        <f t="shared" si="2"/>
        <v>32.638268809684078</v>
      </c>
      <c r="J25" s="1082">
        <v>249.34184999000001</v>
      </c>
      <c r="K25" s="1082">
        <v>409.82421098000009</v>
      </c>
      <c r="L25" s="1083">
        <f t="shared" si="3"/>
        <v>64.362384812832786</v>
      </c>
      <c r="M25" s="1083">
        <f t="shared" si="4"/>
        <v>6.8184414577451609</v>
      </c>
      <c r="N25" s="406"/>
      <c r="P25" s="253"/>
      <c r="Q25" s="147"/>
      <c r="R25" s="148"/>
      <c r="S25" s="149"/>
      <c r="T25" s="149"/>
      <c r="U25" s="149"/>
      <c r="V25" s="141"/>
      <c r="W25" s="151"/>
      <c r="X25" s="150"/>
      <c r="Y25" s="150"/>
      <c r="Z25" s="150"/>
      <c r="AA25" s="150"/>
      <c r="AB25" s="150"/>
      <c r="AC25" s="150"/>
      <c r="AD25" s="150"/>
      <c r="AE25" s="150"/>
      <c r="AF25" s="150"/>
      <c r="AG25" s="150"/>
    </row>
    <row r="26" spans="3:33" ht="15" customHeight="1">
      <c r="C26" s="1084" t="str">
        <f>IF(Indice_index!$Z$1=1,"Administração Central","Central Administration")</f>
        <v>Central Administration</v>
      </c>
      <c r="D26" s="1082">
        <v>105.33771555</v>
      </c>
      <c r="E26" s="1082">
        <v>108.73390551</v>
      </c>
      <c r="F26" s="1083">
        <f t="shared" si="1"/>
        <v>3.2240968415419569</v>
      </c>
      <c r="G26" s="1082">
        <v>46.252288669999999</v>
      </c>
      <c r="H26" s="1082">
        <v>51.238722950000003</v>
      </c>
      <c r="I26" s="1083">
        <f t="shared" si="2"/>
        <v>10.780946031832341</v>
      </c>
      <c r="J26" s="1082">
        <v>151.59000422</v>
      </c>
      <c r="K26" s="1082">
        <v>159.97262846000001</v>
      </c>
      <c r="L26" s="1083">
        <f t="shared" si="3"/>
        <v>5.5298001231231924</v>
      </c>
      <c r="M26" s="1083">
        <f t="shared" si="4"/>
        <v>0.35615398658222092</v>
      </c>
      <c r="N26" s="406"/>
      <c r="P26" s="253"/>
      <c r="Q26" s="147"/>
      <c r="R26" s="148"/>
      <c r="S26" s="149"/>
      <c r="T26" s="149"/>
      <c r="U26" s="149"/>
      <c r="V26" s="141"/>
      <c r="W26" s="151"/>
      <c r="X26" s="150"/>
      <c r="Y26" s="150"/>
      <c r="Z26" s="150"/>
      <c r="AA26" s="150"/>
      <c r="AB26" s="150"/>
      <c r="AC26" s="150"/>
      <c r="AD26" s="150"/>
      <c r="AE26" s="150"/>
      <c r="AF26" s="150"/>
      <c r="AG26" s="150"/>
    </row>
    <row r="27" spans="3:33" ht="15" customHeight="1">
      <c r="C27" s="1086" t="str">
        <f>IF(Indice_index!$Z$1=1,"dos quais:","of which:")</f>
        <v>of which:</v>
      </c>
      <c r="D27" s="1082"/>
      <c r="E27" s="1082"/>
      <c r="F27" s="1083"/>
      <c r="G27" s="1082"/>
      <c r="H27" s="1082"/>
      <c r="I27" s="1083"/>
      <c r="J27" s="1082"/>
      <c r="K27" s="1082"/>
      <c r="L27" s="1083"/>
      <c r="M27" s="1083"/>
      <c r="N27" s="406"/>
      <c r="P27" s="253"/>
      <c r="Q27" s="147"/>
      <c r="R27" s="148"/>
      <c r="S27" s="149"/>
      <c r="T27" s="149"/>
      <c r="U27" s="149"/>
      <c r="V27" s="141"/>
      <c r="W27" s="151"/>
      <c r="X27" s="150"/>
      <c r="Y27" s="150"/>
      <c r="Z27" s="150"/>
      <c r="AA27" s="150"/>
      <c r="AB27" s="150"/>
      <c r="AC27" s="150"/>
      <c r="AD27" s="150"/>
      <c r="AE27" s="150"/>
      <c r="AF27" s="150"/>
      <c r="AG27" s="150"/>
    </row>
    <row r="28" spans="3:33" ht="15" customHeight="1">
      <c r="C28" s="998" t="str">
        <f>IF(Indice_index!$Z$1=1,"Transferências do OE","State Budget tranfers")</f>
        <v>State Budget tranfers</v>
      </c>
      <c r="D28" s="1082">
        <v>104.29211036</v>
      </c>
      <c r="E28" s="1082">
        <v>108.583393</v>
      </c>
      <c r="F28" s="1083">
        <f t="shared" si="1"/>
        <v>4.1146761966817733</v>
      </c>
      <c r="G28" s="1082">
        <v>45.696323999999997</v>
      </c>
      <c r="H28" s="1082">
        <v>51.181361180000003</v>
      </c>
      <c r="I28" s="1083">
        <f t="shared" si="2"/>
        <v>12.003235052342518</v>
      </c>
      <c r="J28" s="1082">
        <v>149.98843435999999</v>
      </c>
      <c r="K28" s="1082">
        <v>159.76475418000001</v>
      </c>
      <c r="L28" s="1083">
        <f t="shared" si="3"/>
        <v>6.5180491160638763</v>
      </c>
      <c r="M28" s="1083">
        <f>(K28-J28)/J26*100</f>
        <v>6.4491850041852494</v>
      </c>
      <c r="N28" s="406"/>
      <c r="P28" s="253"/>
      <c r="Q28" s="147"/>
      <c r="R28" s="148"/>
      <c r="S28" s="149"/>
      <c r="T28" s="149"/>
      <c r="U28" s="149"/>
      <c r="V28" s="141"/>
      <c r="W28" s="151"/>
      <c r="X28" s="150"/>
      <c r="Y28" s="150"/>
      <c r="Z28" s="150"/>
      <c r="AA28" s="150"/>
      <c r="AB28" s="150"/>
      <c r="AC28" s="150"/>
      <c r="AD28" s="150"/>
      <c r="AE28" s="150"/>
      <c r="AF28" s="150"/>
      <c r="AG28" s="150"/>
    </row>
    <row r="29" spans="3:33" ht="15" customHeight="1">
      <c r="C29" s="1084" t="str">
        <f>IF(Indice_index!$Z$1=1,"Outros subsectores das AP","Other General Government subsectors")</f>
        <v>Other General Government subsectors</v>
      </c>
      <c r="D29" s="1082">
        <v>4.500000000271509E-4</v>
      </c>
      <c r="E29" s="1082">
        <v>2.796374243274613E-14</v>
      </c>
      <c r="F29" s="1083">
        <f t="shared" si="1"/>
        <v>-99.999999993785835</v>
      </c>
      <c r="G29" s="1082">
        <v>8.9846330000000058E-2</v>
      </c>
      <c r="H29" s="1082">
        <v>-1.1712852909795402E-14</v>
      </c>
      <c r="I29" s="1083">
        <f t="shared" si="2"/>
        <v>-100.00000000001303</v>
      </c>
      <c r="J29" s="1082">
        <v>9.0296330000027208E-2</v>
      </c>
      <c r="K29" s="1082">
        <v>1.6250889522950729E-14</v>
      </c>
      <c r="L29" s="1083">
        <f t="shared" si="3"/>
        <v>-99.999999999982009</v>
      </c>
      <c r="M29" s="1083">
        <f t="shared" ref="M29:M32" si="5">IFERROR((K29-J29)/$J$35*100,"-")</f>
        <v>-3.8364355818062581E-3</v>
      </c>
      <c r="N29" s="406"/>
      <c r="P29" s="253"/>
      <c r="Q29" s="147"/>
      <c r="R29" s="148"/>
      <c r="S29" s="149"/>
      <c r="T29" s="149"/>
      <c r="U29" s="149"/>
      <c r="V29" s="141"/>
      <c r="W29" s="151"/>
      <c r="X29" s="150"/>
      <c r="Y29" s="150"/>
      <c r="Z29" s="150"/>
      <c r="AA29" s="150"/>
      <c r="AB29" s="150"/>
      <c r="AC29" s="150"/>
      <c r="AD29" s="150"/>
      <c r="AE29" s="150"/>
      <c r="AF29" s="150"/>
      <c r="AG29" s="150"/>
    </row>
    <row r="30" spans="3:33" s="157" customFormat="1" ht="15" customHeight="1">
      <c r="C30" s="1084" t="str">
        <f>IF(Indice_index!$Z$1=1,"União Europeia","European Union")</f>
        <v>European Union</v>
      </c>
      <c r="D30" s="1082">
        <v>46.226300290000005</v>
      </c>
      <c r="E30" s="1082">
        <v>171.42899695000003</v>
      </c>
      <c r="F30" s="1083">
        <f t="shared" si="1"/>
        <v>270.8473225729569</v>
      </c>
      <c r="G30" s="1082">
        <v>51.328242899999999</v>
      </c>
      <c r="H30" s="1082">
        <v>78.221385460000008</v>
      </c>
      <c r="I30" s="1083">
        <f t="shared" si="2"/>
        <v>52.394434409910431</v>
      </c>
      <c r="J30" s="1082">
        <v>97.554543190000004</v>
      </c>
      <c r="K30" s="1082">
        <v>249.65038241000002</v>
      </c>
      <c r="L30" s="1083">
        <f t="shared" si="3"/>
        <v>155.90851460784748</v>
      </c>
      <c r="M30" s="1083">
        <f t="shared" si="5"/>
        <v>6.4621218761407135</v>
      </c>
      <c r="N30" s="406"/>
      <c r="O30" s="254"/>
      <c r="P30" s="253"/>
      <c r="Q30" s="147"/>
      <c r="R30" s="148"/>
      <c r="S30" s="149"/>
      <c r="T30" s="149"/>
      <c r="U30" s="149"/>
      <c r="V30" s="155"/>
      <c r="W30" s="156"/>
      <c r="X30" s="150"/>
      <c r="Y30" s="150"/>
      <c r="Z30" s="150"/>
      <c r="AA30" s="150"/>
      <c r="AB30" s="150"/>
      <c r="AC30" s="150"/>
      <c r="AD30" s="150"/>
      <c r="AE30" s="150"/>
      <c r="AF30" s="150"/>
      <c r="AG30" s="150"/>
    </row>
    <row r="31" spans="3:33" ht="15" customHeight="1">
      <c r="C31" s="1084" t="str">
        <f>IF(Indice_index!$Z$1=1,"Outras transferências","Other transfers")</f>
        <v>Other transfers</v>
      </c>
      <c r="D31" s="1082">
        <v>0.10699860999999999</v>
      </c>
      <c r="E31" s="1082">
        <v>0.113</v>
      </c>
      <c r="F31" s="1083">
        <f t="shared" si="1"/>
        <v>5.6088485635467693</v>
      </c>
      <c r="G31" s="1082">
        <v>7.6399999999999997E-6</v>
      </c>
      <c r="H31" s="1082">
        <v>8.8200109999999998E-2</v>
      </c>
      <c r="I31" s="1083" t="str">
        <f t="shared" si="2"/>
        <v>n.r</v>
      </c>
      <c r="J31" s="1082">
        <v>0.10700625</v>
      </c>
      <c r="K31" s="1082">
        <v>0.20120010999999999</v>
      </c>
      <c r="L31" s="1083">
        <f t="shared" si="3"/>
        <v>88.026503124817467</v>
      </c>
      <c r="M31" s="1083">
        <f t="shared" si="5"/>
        <v>4.0020306040304552E-3</v>
      </c>
      <c r="N31" s="406"/>
      <c r="P31" s="253"/>
      <c r="Q31" s="147"/>
      <c r="R31" s="148"/>
      <c r="S31" s="149"/>
      <c r="T31" s="149"/>
      <c r="U31" s="149"/>
      <c r="V31" s="141"/>
      <c r="W31" s="151"/>
      <c r="X31" s="150"/>
      <c r="Y31" s="150"/>
      <c r="Z31" s="150"/>
      <c r="AA31" s="150"/>
      <c r="AB31" s="150"/>
      <c r="AC31" s="150"/>
      <c r="AD31" s="150"/>
      <c r="AE31" s="150"/>
      <c r="AF31" s="150"/>
      <c r="AG31" s="150"/>
    </row>
    <row r="32" spans="3:33" ht="15" customHeight="1">
      <c r="C32" s="1081" t="str">
        <f>IF(Indice_index!$Z$1=1,"Outras receitas de capital","Other capital revenue")</f>
        <v>Other capital revenue</v>
      </c>
      <c r="D32" s="1082">
        <v>0.17329170000000002</v>
      </c>
      <c r="E32" s="1082">
        <v>0.28446616000000002</v>
      </c>
      <c r="F32" s="1083">
        <f t="shared" si="1"/>
        <v>64.15452096090003</v>
      </c>
      <c r="G32" s="1082">
        <v>5.1482140000000003E-2</v>
      </c>
      <c r="H32" s="1082">
        <v>2.1077020000000002E-2</v>
      </c>
      <c r="I32" s="1083">
        <f t="shared" si="2"/>
        <v>-59.059549583603165</v>
      </c>
      <c r="J32" s="1082">
        <v>0.22477384000000003</v>
      </c>
      <c r="K32" s="1082">
        <v>0.30554318000000003</v>
      </c>
      <c r="L32" s="1083">
        <f t="shared" si="3"/>
        <v>35.933603305438027</v>
      </c>
      <c r="M32" s="1083">
        <f t="shared" si="5"/>
        <v>3.4316607318920916E-3</v>
      </c>
      <c r="N32" s="406"/>
      <c r="P32" s="253"/>
      <c r="Q32" s="147"/>
      <c r="R32" s="148"/>
      <c r="S32" s="149"/>
      <c r="T32" s="149"/>
      <c r="U32" s="149"/>
      <c r="V32" s="141"/>
      <c r="W32" s="151"/>
      <c r="X32" s="150"/>
      <c r="Y32" s="150"/>
      <c r="Z32" s="150"/>
      <c r="AA32" s="150"/>
      <c r="AB32" s="150"/>
      <c r="AC32" s="150"/>
      <c r="AD32" s="150"/>
      <c r="AE32" s="150"/>
      <c r="AF32" s="150"/>
      <c r="AG32" s="150"/>
    </row>
    <row r="33" spans="3:33" ht="15" customHeight="1">
      <c r="C33" s="1081" t="str">
        <f>IF(Indice_index!$Z$1=1,"Diferenças de consolidação","Consolidation differences")</f>
        <v>Consolidation differences</v>
      </c>
      <c r="D33" s="1082">
        <v>0</v>
      </c>
      <c r="E33" s="1082">
        <v>0</v>
      </c>
      <c r="F33" s="1083"/>
      <c r="G33" s="1082">
        <v>0</v>
      </c>
      <c r="H33" s="1082">
        <v>0</v>
      </c>
      <c r="I33" s="1083"/>
      <c r="J33" s="1082">
        <v>0</v>
      </c>
      <c r="K33" s="1082">
        <v>0</v>
      </c>
      <c r="L33" s="1083"/>
      <c r="M33" s="1083"/>
      <c r="N33" s="406"/>
      <c r="P33" s="253"/>
      <c r="Q33" s="147"/>
      <c r="R33" s="148"/>
      <c r="S33" s="149"/>
      <c r="T33" s="149"/>
      <c r="U33" s="149"/>
      <c r="V33" s="141"/>
      <c r="W33" s="151"/>
      <c r="X33" s="150"/>
      <c r="Y33" s="150"/>
      <c r="Z33" s="150"/>
      <c r="AA33" s="150"/>
      <c r="AB33" s="150"/>
      <c r="AC33" s="150"/>
      <c r="AD33" s="150"/>
      <c r="AE33" s="150"/>
      <c r="AF33" s="150"/>
      <c r="AG33" s="150"/>
    </row>
    <row r="34" spans="3:33" ht="4.5" customHeight="1">
      <c r="C34" s="1090"/>
      <c r="D34" s="1091"/>
      <c r="E34" s="1091"/>
      <c r="F34" s="159"/>
      <c r="G34" s="1091"/>
      <c r="H34" s="1091"/>
      <c r="I34" s="159"/>
      <c r="J34" s="1091"/>
      <c r="K34" s="1091"/>
      <c r="L34" s="159"/>
      <c r="M34" s="159"/>
      <c r="N34" s="406"/>
      <c r="P34" s="253"/>
      <c r="Q34" s="147"/>
      <c r="R34" s="148"/>
      <c r="S34" s="149"/>
      <c r="T34" s="149"/>
      <c r="U34" s="149"/>
      <c r="V34" s="141"/>
      <c r="W34" s="151"/>
      <c r="X34" s="150"/>
      <c r="Y34" s="150"/>
      <c r="Z34" s="150"/>
      <c r="AA34" s="150"/>
      <c r="AB34" s="150"/>
      <c r="AC34" s="150"/>
      <c r="AD34" s="150"/>
      <c r="AE34" s="150"/>
      <c r="AF34" s="150"/>
      <c r="AG34" s="150"/>
    </row>
    <row r="35" spans="3:33" s="307" customFormat="1" ht="15" customHeight="1">
      <c r="C35" s="1088" t="str">
        <f>IF(Indice_index!$Z$1=1,"Receita Efetiva","Effective revenue")</f>
        <v>Effective revenue</v>
      </c>
      <c r="D35" s="1092">
        <v>1107.3552385200001</v>
      </c>
      <c r="E35" s="1092">
        <v>1405.37169079</v>
      </c>
      <c r="F35" s="310">
        <f t="shared" si="1"/>
        <v>26.912452472641412</v>
      </c>
      <c r="G35" s="1092">
        <v>1246.29642784</v>
      </c>
      <c r="H35" s="1092">
        <v>1294.6392930500001</v>
      </c>
      <c r="I35" s="310">
        <f t="shared" si="2"/>
        <v>3.878921910559018</v>
      </c>
      <c r="J35" s="1092">
        <v>2353.65166636</v>
      </c>
      <c r="K35" s="1092">
        <v>2700.0109838399994</v>
      </c>
      <c r="L35" s="310">
        <f t="shared" si="3"/>
        <v>14.715827428094128</v>
      </c>
      <c r="M35" s="310"/>
      <c r="N35" s="405"/>
      <c r="O35" s="308"/>
      <c r="P35" s="311"/>
      <c r="Q35" s="316"/>
      <c r="R35" s="313"/>
      <c r="S35" s="314"/>
      <c r="T35" s="314"/>
      <c r="U35" s="314"/>
      <c r="V35" s="309"/>
      <c r="W35" s="315"/>
      <c r="X35" s="150"/>
      <c r="Y35" s="150"/>
      <c r="Z35" s="150"/>
      <c r="AA35" s="150"/>
      <c r="AB35" s="150"/>
      <c r="AC35" s="150"/>
      <c r="AD35" s="150"/>
      <c r="AE35" s="150"/>
      <c r="AF35" s="150"/>
      <c r="AG35" s="150"/>
    </row>
    <row r="36" spans="3:33" ht="4.5" customHeight="1">
      <c r="C36" s="1090"/>
      <c r="D36" s="1091"/>
      <c r="E36" s="1091"/>
      <c r="F36" s="159"/>
      <c r="G36" s="1091"/>
      <c r="H36" s="1091"/>
      <c r="I36" s="159"/>
      <c r="J36" s="1091"/>
      <c r="K36" s="1091"/>
      <c r="L36" s="159"/>
      <c r="M36" s="159"/>
      <c r="N36" s="406"/>
      <c r="P36" s="253"/>
      <c r="Q36" s="147"/>
      <c r="R36" s="148"/>
      <c r="S36" s="149"/>
      <c r="T36" s="149"/>
      <c r="U36" s="149"/>
      <c r="V36" s="141"/>
      <c r="W36" s="151"/>
      <c r="X36" s="150"/>
      <c r="Y36" s="150"/>
      <c r="Z36" s="150"/>
      <c r="AA36" s="150"/>
      <c r="AB36" s="150"/>
      <c r="AC36" s="150"/>
      <c r="AD36" s="150"/>
      <c r="AE36" s="150"/>
      <c r="AF36" s="150"/>
      <c r="AG36" s="150"/>
    </row>
    <row r="37" spans="3:33" s="307" customFormat="1" ht="15" customHeight="1">
      <c r="C37" s="1088" t="str">
        <f>IF(Indice_index!$Z$1=1,"Despesa Corrente","Current expenditure")</f>
        <v>Current expenditure</v>
      </c>
      <c r="D37" s="1089">
        <v>1108.3007935699998</v>
      </c>
      <c r="E37" s="1089">
        <v>1200.1829109999944</v>
      </c>
      <c r="F37" s="310">
        <f t="shared" si="1"/>
        <v>8.2903592565362008</v>
      </c>
      <c r="G37" s="1089">
        <v>1227.2088550199999</v>
      </c>
      <c r="H37" s="1089">
        <v>1335.4600537600004</v>
      </c>
      <c r="I37" s="310">
        <f t="shared" si="2"/>
        <v>8.8209271223223329</v>
      </c>
      <c r="J37" s="1089">
        <v>2335.5096485899999</v>
      </c>
      <c r="K37" s="1089">
        <v>2535.6429647599944</v>
      </c>
      <c r="L37" s="310">
        <f t="shared" si="3"/>
        <v>8.5691496196909114</v>
      </c>
      <c r="M37" s="310">
        <f t="shared" ref="M37:M55" si="6">IFERROR((K37-J37)/$J$58*100,"-")</f>
        <v>7.3300260909569355</v>
      </c>
      <c r="N37" s="405"/>
      <c r="O37" s="308"/>
      <c r="P37" s="311"/>
      <c r="Q37" s="312"/>
      <c r="R37" s="313"/>
      <c r="S37" s="314"/>
      <c r="T37" s="314"/>
      <c r="U37" s="314"/>
      <c r="V37" s="309"/>
      <c r="W37" s="315"/>
      <c r="X37" s="150"/>
      <c r="Y37" s="150"/>
      <c r="Z37" s="150"/>
      <c r="AA37" s="150"/>
      <c r="AB37" s="150"/>
      <c r="AC37" s="150"/>
      <c r="AD37" s="150"/>
      <c r="AE37" s="150"/>
      <c r="AF37" s="150"/>
      <c r="AG37" s="150"/>
    </row>
    <row r="38" spans="3:33" ht="15" customHeight="1">
      <c r="C38" s="1081" t="str">
        <f>IF(Indice_index!$Z$1=1,"Despesas com o pessoal","Employees")</f>
        <v>Employees</v>
      </c>
      <c r="D38" s="1082">
        <v>566.12552203999996</v>
      </c>
      <c r="E38" s="1082">
        <v>585.78944776999992</v>
      </c>
      <c r="F38" s="1083">
        <f t="shared" si="1"/>
        <v>3.4734215230470733</v>
      </c>
      <c r="G38" s="1082">
        <v>631.82115516999988</v>
      </c>
      <c r="H38" s="1082">
        <v>673.01152676000015</v>
      </c>
      <c r="I38" s="1083">
        <f t="shared" si="2"/>
        <v>6.5193087083191212</v>
      </c>
      <c r="J38" s="1091">
        <v>1197.94667721</v>
      </c>
      <c r="K38" s="1091">
        <v>1258.8009745300001</v>
      </c>
      <c r="L38" s="1083">
        <f t="shared" si="3"/>
        <v>5.0798836440474018</v>
      </c>
      <c r="M38" s="1083">
        <f t="shared" si="6"/>
        <v>2.2288322386241894</v>
      </c>
      <c r="N38" s="406"/>
      <c r="P38" s="253"/>
      <c r="Q38" s="147"/>
      <c r="R38" s="148"/>
      <c r="S38" s="149"/>
      <c r="T38" s="149"/>
      <c r="U38" s="149"/>
      <c r="V38" s="141"/>
      <c r="W38" s="151"/>
      <c r="X38" s="150"/>
      <c r="Y38" s="150"/>
      <c r="Z38" s="150"/>
      <c r="AA38" s="150"/>
      <c r="AB38" s="150"/>
      <c r="AC38" s="150"/>
      <c r="AD38" s="150"/>
      <c r="AE38" s="150"/>
      <c r="AF38" s="150"/>
      <c r="AG38" s="150"/>
    </row>
    <row r="39" spans="3:33" ht="15" customHeight="1">
      <c r="C39" s="739" t="str">
        <f>IF(Indice_index!$Z$1=1,"Remunerações Certas e Permanentes","Certain and permanent wages")</f>
        <v>Certain and permanent wages</v>
      </c>
      <c r="D39" s="1082">
        <v>416.58280238999998</v>
      </c>
      <c r="E39" s="1082">
        <v>426.83765806999992</v>
      </c>
      <c r="F39" s="1083">
        <f t="shared" si="1"/>
        <v>2.4616608321721976</v>
      </c>
      <c r="G39" s="1082">
        <v>461.35334173999991</v>
      </c>
      <c r="H39" s="1082">
        <v>480.39326007000011</v>
      </c>
      <c r="I39" s="1083">
        <f t="shared" si="2"/>
        <v>4.1269709368942502</v>
      </c>
      <c r="J39" s="1091">
        <v>877.93614412999989</v>
      </c>
      <c r="K39" s="1091">
        <v>907.23091814000009</v>
      </c>
      <c r="L39" s="1083">
        <f t="shared" si="3"/>
        <v>3.3367773050316965</v>
      </c>
      <c r="M39" s="1083">
        <f t="shared" si="6"/>
        <v>1.0729420864619779</v>
      </c>
      <c r="N39" s="406"/>
      <c r="P39" s="253"/>
      <c r="Q39" s="147"/>
      <c r="R39" s="148"/>
      <c r="S39" s="149"/>
      <c r="T39" s="149"/>
      <c r="U39" s="149"/>
      <c r="V39" s="141"/>
      <c r="W39" s="151"/>
      <c r="X39" s="150"/>
      <c r="Y39" s="150"/>
      <c r="Z39" s="150"/>
      <c r="AA39" s="150"/>
      <c r="AB39" s="150"/>
      <c r="AC39" s="150"/>
      <c r="AD39" s="150"/>
      <c r="AE39" s="150"/>
      <c r="AF39" s="150"/>
      <c r="AG39" s="150"/>
    </row>
    <row r="40" spans="3:33" ht="15" customHeight="1">
      <c r="C40" s="739" t="str">
        <f>IF(Indice_index!$Z$1=1,"Abonos Variáveis ou Eventuais","Variable or contingent bonuses")</f>
        <v>Variable or contingent bonuses</v>
      </c>
      <c r="D40" s="1082">
        <v>42.370928949999993</v>
      </c>
      <c r="E40" s="1082">
        <v>46.062264289999995</v>
      </c>
      <c r="F40" s="1083">
        <f t="shared" si="1"/>
        <v>8.7119528211335151</v>
      </c>
      <c r="G40" s="1082">
        <v>45.226575509999996</v>
      </c>
      <c r="H40" s="1082">
        <v>59.652457920000003</v>
      </c>
      <c r="I40" s="1083">
        <f t="shared" si="2"/>
        <v>31.896915137451249</v>
      </c>
      <c r="J40" s="1091">
        <v>87.597504459999982</v>
      </c>
      <c r="K40" s="1091">
        <v>105.71472220999999</v>
      </c>
      <c r="L40" s="1083">
        <f t="shared" si="3"/>
        <v>20.682344618930269</v>
      </c>
      <c r="M40" s="1083">
        <f t="shared" si="6"/>
        <v>0.6635560802392706</v>
      </c>
      <c r="N40" s="406"/>
      <c r="P40" s="253"/>
      <c r="Q40" s="147"/>
      <c r="R40" s="148"/>
      <c r="S40" s="149"/>
      <c r="T40" s="149"/>
      <c r="U40" s="149"/>
      <c r="V40" s="141"/>
      <c r="W40" s="151"/>
      <c r="X40" s="150"/>
      <c r="Y40" s="150"/>
      <c r="Z40" s="150"/>
      <c r="AA40" s="150"/>
      <c r="AB40" s="150"/>
      <c r="AC40" s="150"/>
      <c r="AD40" s="150"/>
      <c r="AE40" s="150"/>
      <c r="AF40" s="150"/>
      <c r="AG40" s="150"/>
    </row>
    <row r="41" spans="3:33" ht="15" customHeight="1">
      <c r="C41" s="739" t="str">
        <f>IF(Indice_index!$Z$1=1,"Segurança social","Social security")</f>
        <v>Social security</v>
      </c>
      <c r="D41" s="1082">
        <v>107.17179070000002</v>
      </c>
      <c r="E41" s="1082">
        <v>112.88952540999999</v>
      </c>
      <c r="F41" s="1083">
        <f t="shared" si="1"/>
        <v>5.3351116675891959</v>
      </c>
      <c r="G41" s="1082">
        <v>125.24123791999999</v>
      </c>
      <c r="H41" s="1082">
        <v>132.96580877000002</v>
      </c>
      <c r="I41" s="1083">
        <f t="shared" si="2"/>
        <v>6.1677535117740039</v>
      </c>
      <c r="J41" s="1091">
        <v>232.41302862000001</v>
      </c>
      <c r="K41" s="1091">
        <v>245.85533418</v>
      </c>
      <c r="L41" s="1083">
        <f t="shared" si="3"/>
        <v>5.7838003488085148</v>
      </c>
      <c r="M41" s="1083">
        <f t="shared" si="6"/>
        <v>0.49233407192294443</v>
      </c>
      <c r="N41" s="406"/>
      <c r="P41" s="253"/>
      <c r="Q41" s="147"/>
      <c r="R41" s="148"/>
      <c r="S41" s="149"/>
      <c r="T41" s="149"/>
      <c r="U41" s="149"/>
      <c r="V41" s="141"/>
      <c r="W41" s="151"/>
      <c r="X41" s="150"/>
      <c r="Y41" s="150"/>
      <c r="Z41" s="150"/>
      <c r="AA41" s="150"/>
      <c r="AB41" s="150"/>
      <c r="AC41" s="150"/>
      <c r="AD41" s="150"/>
      <c r="AE41" s="150"/>
      <c r="AF41" s="150"/>
      <c r="AG41" s="150"/>
    </row>
    <row r="42" spans="3:33" ht="15" customHeight="1">
      <c r="C42" s="1081" t="str">
        <f>IF(Indice_index!$Z$1=1,"Aquisição de bens e serviços","Purchase of goods and services")</f>
        <v>Purchase of goods and services</v>
      </c>
      <c r="D42" s="1082">
        <v>326.53416363000002</v>
      </c>
      <c r="E42" s="1082">
        <v>352.58822855999995</v>
      </c>
      <c r="F42" s="1083">
        <f t="shared" si="1"/>
        <v>7.9789706045956379</v>
      </c>
      <c r="G42" s="1082">
        <v>330.35132454000006</v>
      </c>
      <c r="H42" s="1082">
        <v>382.63197742999995</v>
      </c>
      <c r="I42" s="1083">
        <f t="shared" si="2"/>
        <v>15.82577365560693</v>
      </c>
      <c r="J42" s="1091">
        <v>656.88548817000014</v>
      </c>
      <c r="K42" s="1091">
        <v>735.22020598999984</v>
      </c>
      <c r="L42" s="1083">
        <f t="shared" si="3"/>
        <v>11.92517101241349</v>
      </c>
      <c r="M42" s="1083">
        <f t="shared" si="6"/>
        <v>2.8690651633465252</v>
      </c>
      <c r="N42" s="406"/>
      <c r="P42" s="253"/>
      <c r="Q42" s="147"/>
      <c r="R42" s="148"/>
      <c r="S42" s="149"/>
      <c r="T42" s="149"/>
      <c r="U42" s="149"/>
      <c r="V42" s="141"/>
      <c r="W42" s="151"/>
      <c r="X42" s="150"/>
      <c r="Y42" s="150"/>
      <c r="Z42" s="150"/>
      <c r="AA42" s="150"/>
      <c r="AB42" s="150"/>
      <c r="AC42" s="150"/>
      <c r="AD42" s="150"/>
      <c r="AE42" s="150"/>
      <c r="AF42" s="150"/>
      <c r="AG42" s="150"/>
    </row>
    <row r="43" spans="3:33" ht="15" customHeight="1">
      <c r="C43" s="1081" t="str">
        <f>IF(Indice_index!$Z$1=1,"Juros e outros encargos","Interests and other charges")</f>
        <v>Interests and other charges</v>
      </c>
      <c r="D43" s="1082">
        <v>45.536022930000001</v>
      </c>
      <c r="E43" s="1082">
        <v>39.452275049999997</v>
      </c>
      <c r="F43" s="1083">
        <f t="shared" si="1"/>
        <v>-13.360296944140712</v>
      </c>
      <c r="G43" s="1082">
        <v>110.47626102999999</v>
      </c>
      <c r="H43" s="1082">
        <v>86.795118759999994</v>
      </c>
      <c r="I43" s="1083">
        <f t="shared" si="2"/>
        <v>-21.435503020480887</v>
      </c>
      <c r="J43" s="1091">
        <v>156.01228395999999</v>
      </c>
      <c r="K43" s="1091">
        <v>126.24739380999999</v>
      </c>
      <c r="L43" s="1083">
        <f t="shared" si="3"/>
        <v>-19.078555479407903</v>
      </c>
      <c r="M43" s="1083">
        <f t="shared" si="6"/>
        <v>-1.0901604269058622</v>
      </c>
      <c r="N43" s="406"/>
      <c r="P43" s="253"/>
      <c r="Q43" s="147"/>
      <c r="R43" s="148"/>
      <c r="S43" s="149"/>
      <c r="T43" s="149"/>
      <c r="U43" s="149"/>
      <c r="V43" s="141"/>
      <c r="W43" s="151"/>
      <c r="X43" s="150"/>
      <c r="Y43" s="150"/>
      <c r="Z43" s="150"/>
      <c r="AA43" s="150"/>
      <c r="AB43" s="150"/>
      <c r="AC43" s="150"/>
      <c r="AD43" s="150"/>
      <c r="AE43" s="150"/>
      <c r="AF43" s="150"/>
      <c r="AG43" s="150"/>
    </row>
    <row r="44" spans="3:33" ht="15" customHeight="1">
      <c r="C44" s="1081" t="str">
        <f>IF(Indice_index!$Z$1=1,"Transferências correntes","Current transfers")</f>
        <v>Current transfers</v>
      </c>
      <c r="D44" s="1082">
        <v>121.94229950999988</v>
      </c>
      <c r="E44" s="1082">
        <v>152.13571507999404</v>
      </c>
      <c r="F44" s="1083">
        <f t="shared" si="1"/>
        <v>24.760411843404796</v>
      </c>
      <c r="G44" s="1082">
        <v>123.81093779999992</v>
      </c>
      <c r="H44" s="1082">
        <v>143.58939727999996</v>
      </c>
      <c r="I44" s="1083">
        <f t="shared" si="2"/>
        <v>15.974727137556705</v>
      </c>
      <c r="J44" s="1091">
        <v>245.7532373099998</v>
      </c>
      <c r="K44" s="1091">
        <v>295.725112359994</v>
      </c>
      <c r="L44" s="1083">
        <f t="shared" si="3"/>
        <v>20.334167556441308</v>
      </c>
      <c r="M44" s="1083">
        <f t="shared" si="6"/>
        <v>1.8302557262348262</v>
      </c>
      <c r="N44" s="406"/>
      <c r="P44" s="253"/>
      <c r="Q44" s="147"/>
      <c r="R44" s="148"/>
      <c r="S44" s="149"/>
      <c r="T44" s="149"/>
      <c r="U44" s="149"/>
      <c r="V44" s="141"/>
      <c r="W44" s="151"/>
      <c r="X44" s="150"/>
      <c r="Y44" s="150"/>
      <c r="Z44" s="150"/>
      <c r="AA44" s="150"/>
      <c r="AB44" s="150"/>
      <c r="AC44" s="150"/>
      <c r="AD44" s="150"/>
      <c r="AE44" s="150"/>
      <c r="AF44" s="150"/>
      <c r="AG44" s="150"/>
    </row>
    <row r="45" spans="3:33" ht="15" customHeight="1">
      <c r="C45" s="1084" t="str">
        <f>IF(Indice_index!$Z$1=1,"Administrações Públicas","General Government")</f>
        <v>General Government</v>
      </c>
      <c r="D45" s="1082">
        <v>3.3242911599998877</v>
      </c>
      <c r="E45" s="1082">
        <v>3.6904238800000257</v>
      </c>
      <c r="F45" s="1083">
        <f t="shared" si="1"/>
        <v>11.013858364925847</v>
      </c>
      <c r="G45" s="1082">
        <v>1.3349334699999389</v>
      </c>
      <c r="H45" s="1082">
        <v>2.2211336199999892</v>
      </c>
      <c r="I45" s="1083">
        <f t="shared" si="2"/>
        <v>66.385342035067168</v>
      </c>
      <c r="J45" s="1091">
        <v>4.6592246299998266</v>
      </c>
      <c r="K45" s="1091">
        <v>5.9115575000000149</v>
      </c>
      <c r="L45" s="1083">
        <f t="shared" si="3"/>
        <v>26.878568205032753</v>
      </c>
      <c r="M45" s="1083">
        <f t="shared" si="6"/>
        <v>4.5867588602125212E-2</v>
      </c>
      <c r="N45" s="406"/>
      <c r="P45" s="253"/>
      <c r="Q45" s="147"/>
      <c r="R45" s="148"/>
      <c r="S45" s="149"/>
      <c r="T45" s="149"/>
      <c r="U45" s="149"/>
      <c r="V45" s="141"/>
      <c r="W45" s="151"/>
      <c r="X45" s="150"/>
      <c r="Y45" s="150"/>
      <c r="Z45" s="150"/>
      <c r="AA45" s="150"/>
      <c r="AB45" s="150"/>
      <c r="AC45" s="150"/>
      <c r="AD45" s="150"/>
      <c r="AE45" s="150"/>
      <c r="AF45" s="150"/>
      <c r="AG45" s="150"/>
    </row>
    <row r="46" spans="3:33" ht="15" customHeight="1">
      <c r="C46" s="1084" t="str">
        <f>IF(Indice_index!$Z$1=1,"Outras transferências","Other transfers")</f>
        <v>Other transfers</v>
      </c>
      <c r="D46" s="1082">
        <v>118.61800835</v>
      </c>
      <c r="E46" s="1082">
        <v>148.44529119999402</v>
      </c>
      <c r="F46" s="1083">
        <f t="shared" si="1"/>
        <v>25.145661493475934</v>
      </c>
      <c r="G46" s="1082">
        <v>122.47600432999998</v>
      </c>
      <c r="H46" s="1082">
        <v>141.36826365999997</v>
      </c>
      <c r="I46" s="1083">
        <f t="shared" si="2"/>
        <v>15.425274063559899</v>
      </c>
      <c r="J46" s="1091">
        <v>241.09401267999999</v>
      </c>
      <c r="K46" s="1091">
        <v>289.81355485999399</v>
      </c>
      <c r="L46" s="1083">
        <f t="shared" si="3"/>
        <v>20.207694765385408</v>
      </c>
      <c r="M46" s="1083">
        <f t="shared" si="6"/>
        <v>1.7843881376327007</v>
      </c>
      <c r="N46" s="406"/>
      <c r="P46" s="253"/>
      <c r="Q46" s="147"/>
      <c r="R46" s="148"/>
      <c r="S46" s="149"/>
      <c r="T46" s="149"/>
      <c r="U46" s="149"/>
      <c r="V46" s="141"/>
      <c r="W46" s="151"/>
      <c r="X46" s="150"/>
      <c r="Y46" s="150"/>
      <c r="Z46" s="150"/>
      <c r="AA46" s="150"/>
      <c r="AB46" s="150"/>
      <c r="AC46" s="150"/>
      <c r="AD46" s="150"/>
      <c r="AE46" s="150"/>
      <c r="AF46" s="150"/>
      <c r="AG46" s="150"/>
    </row>
    <row r="47" spans="3:33" ht="15" customHeight="1">
      <c r="C47" s="1081" t="str">
        <f>IF(Indice_index!$Z$1=1,"Subsídios","Subsidies")</f>
        <v>Subsidies</v>
      </c>
      <c r="D47" s="1082">
        <v>32.423138099999996</v>
      </c>
      <c r="E47" s="1082">
        <v>54.42012780000055</v>
      </c>
      <c r="F47" s="1083">
        <f t="shared" si="1"/>
        <v>67.843493841210133</v>
      </c>
      <c r="G47" s="1082">
        <v>27.835820089999999</v>
      </c>
      <c r="H47" s="1082">
        <v>39.95725534000001</v>
      </c>
      <c r="I47" s="1083">
        <f t="shared" si="2"/>
        <v>43.546176152915393</v>
      </c>
      <c r="J47" s="1091">
        <v>60.258958189999994</v>
      </c>
      <c r="K47" s="1091">
        <v>94.377383140000561</v>
      </c>
      <c r="L47" s="1083">
        <f t="shared" si="3"/>
        <v>56.619672783626939</v>
      </c>
      <c r="M47" s="1083">
        <f t="shared" si="6"/>
        <v>1.249611758061477</v>
      </c>
      <c r="N47" s="406"/>
      <c r="P47" s="253"/>
      <c r="Q47" s="147"/>
      <c r="R47" s="148"/>
      <c r="S47" s="149"/>
      <c r="T47" s="149"/>
      <c r="U47" s="149"/>
      <c r="V47" s="141"/>
      <c r="W47" s="151"/>
      <c r="X47" s="150"/>
      <c r="Y47" s="150"/>
      <c r="Z47" s="150"/>
      <c r="AA47" s="150"/>
      <c r="AB47" s="150"/>
      <c r="AC47" s="150"/>
      <c r="AD47" s="150"/>
      <c r="AE47" s="150"/>
      <c r="AF47" s="150"/>
      <c r="AG47" s="150"/>
    </row>
    <row r="48" spans="3:33" ht="15" customHeight="1">
      <c r="C48" s="1081" t="str">
        <f>IF(Indice_index!$Z$1=1,"Outras despesas correntes","Other current expenditure")</f>
        <v>Other current expenditure</v>
      </c>
      <c r="D48" s="1082">
        <v>15.524213289999999</v>
      </c>
      <c r="E48" s="1082">
        <v>15.79711674</v>
      </c>
      <c r="F48" s="1083">
        <f t="shared" si="1"/>
        <v>1.757921286586505</v>
      </c>
      <c r="G48" s="1082">
        <v>2.9133563900000001</v>
      </c>
      <c r="H48" s="1082">
        <v>2.7444467599999998</v>
      </c>
      <c r="I48" s="1083">
        <f t="shared" si="2"/>
        <v>-5.7977675021077788</v>
      </c>
      <c r="J48" s="1091">
        <v>18.437569679999999</v>
      </c>
      <c r="K48" s="1091">
        <v>18.541563499999999</v>
      </c>
      <c r="L48" s="1083">
        <f t="shared" si="3"/>
        <v>0.56403214634521981</v>
      </c>
      <c r="M48" s="1083">
        <f t="shared" si="6"/>
        <v>3.8088481642446375E-3</v>
      </c>
      <c r="N48" s="406"/>
      <c r="P48" s="253"/>
      <c r="Q48" s="147"/>
      <c r="R48" s="148"/>
      <c r="S48" s="149"/>
      <c r="T48" s="149"/>
      <c r="U48" s="149"/>
      <c r="V48" s="141"/>
      <c r="W48" s="151"/>
      <c r="X48" s="150"/>
      <c r="Y48" s="150"/>
      <c r="Z48" s="150"/>
      <c r="AA48" s="150"/>
      <c r="AB48" s="150"/>
      <c r="AC48" s="150"/>
      <c r="AD48" s="150"/>
      <c r="AE48" s="150"/>
      <c r="AF48" s="150"/>
      <c r="AG48" s="150"/>
    </row>
    <row r="49" spans="3:33" ht="15" customHeight="1">
      <c r="C49" s="1081" t="str">
        <f>IF(Indice_index!$Z$1=1,"Diferenças de consolidação","Consolidation differences")</f>
        <v>Consolidation differences</v>
      </c>
      <c r="D49" s="1082">
        <v>0.21543406999990111</v>
      </c>
      <c r="E49" s="1082">
        <v>0</v>
      </c>
      <c r="F49" s="1083"/>
      <c r="G49" s="1082">
        <v>0</v>
      </c>
      <c r="H49" s="1082">
        <v>6.730331430000092</v>
      </c>
      <c r="I49" s="1083"/>
      <c r="J49" s="1082">
        <v>0.21543406999990111</v>
      </c>
      <c r="K49" s="1082">
        <v>6.730331430000092</v>
      </c>
      <c r="L49" s="1082"/>
      <c r="M49" s="900">
        <f t="shared" si="6"/>
        <v>0.23861278343154518</v>
      </c>
      <c r="N49" s="406"/>
      <c r="P49" s="253"/>
      <c r="Q49" s="147"/>
      <c r="R49" s="148"/>
      <c r="S49" s="149"/>
      <c r="T49" s="149"/>
      <c r="U49" s="149"/>
      <c r="V49" s="141"/>
      <c r="W49" s="151"/>
      <c r="X49" s="150"/>
      <c r="Y49" s="150"/>
      <c r="Z49" s="150"/>
      <c r="AA49" s="150"/>
      <c r="AB49" s="150"/>
      <c r="AC49" s="150"/>
      <c r="AD49" s="150"/>
      <c r="AE49" s="150"/>
      <c r="AF49" s="150"/>
      <c r="AG49" s="150"/>
    </row>
    <row r="50" spans="3:33" s="307" customFormat="1" ht="15" customHeight="1">
      <c r="C50" s="1088" t="str">
        <f>IF(Indice_index!$Z$1=1,"Despesa de Capital","Capital expenditure")</f>
        <v>Capital expenditure</v>
      </c>
      <c r="D50" s="1089">
        <v>245.18932880000006</v>
      </c>
      <c r="E50" s="1089">
        <v>297.74339756999996</v>
      </c>
      <c r="F50" s="310">
        <f t="shared" si="1"/>
        <v>21.434076689719252</v>
      </c>
      <c r="G50" s="1089">
        <v>149.62303901999996</v>
      </c>
      <c r="H50" s="1089">
        <v>221.32870928</v>
      </c>
      <c r="I50" s="310">
        <f t="shared" si="2"/>
        <v>47.924217239308454</v>
      </c>
      <c r="J50" s="1089">
        <v>394.81236781999996</v>
      </c>
      <c r="K50" s="1089">
        <v>519.07210684999984</v>
      </c>
      <c r="L50" s="310">
        <f t="shared" si="3"/>
        <v>31.473112080078376</v>
      </c>
      <c r="M50" s="310">
        <f t="shared" si="6"/>
        <v>4.5511019683086484</v>
      </c>
      <c r="N50" s="405"/>
      <c r="O50" s="308"/>
      <c r="P50" s="311"/>
      <c r="Q50" s="312"/>
      <c r="R50" s="313"/>
      <c r="S50" s="314"/>
      <c r="T50" s="314"/>
      <c r="U50" s="314"/>
      <c r="V50" s="309"/>
      <c r="W50" s="315"/>
      <c r="X50" s="150"/>
      <c r="Y50" s="150"/>
      <c r="Z50" s="150"/>
      <c r="AA50" s="150"/>
      <c r="AB50" s="150"/>
      <c r="AC50" s="150"/>
      <c r="AD50" s="150"/>
      <c r="AE50" s="150"/>
      <c r="AF50" s="150"/>
      <c r="AG50" s="150"/>
    </row>
    <row r="51" spans="3:33" ht="15" customHeight="1">
      <c r="C51" s="1081" t="str">
        <f>IF(Indice_index!$Z$1=1,"Aquisição de bens de capital","Purchase of capital goods")</f>
        <v>Purchase of capital goods</v>
      </c>
      <c r="D51" s="1082">
        <v>58.603459170000001</v>
      </c>
      <c r="E51" s="1082">
        <v>58.159219239999985</v>
      </c>
      <c r="F51" s="1083">
        <f t="shared" si="1"/>
        <v>-0.75804387026257536</v>
      </c>
      <c r="G51" s="1082">
        <v>102.30584462999998</v>
      </c>
      <c r="H51" s="1082">
        <v>139.13001711999999</v>
      </c>
      <c r="I51" s="1083">
        <f t="shared" si="2"/>
        <v>35.99420211345555</v>
      </c>
      <c r="J51" s="1091">
        <v>160.90930379999998</v>
      </c>
      <c r="K51" s="1091">
        <v>197.28923635999996</v>
      </c>
      <c r="L51" s="1083">
        <f t="shared" si="3"/>
        <v>22.608967723344282</v>
      </c>
      <c r="M51" s="1083">
        <f t="shared" si="6"/>
        <v>1.3324410945429295</v>
      </c>
      <c r="N51" s="406"/>
      <c r="P51" s="253"/>
      <c r="Q51" s="147"/>
      <c r="R51" s="148"/>
      <c r="S51" s="149"/>
      <c r="T51" s="149"/>
      <c r="U51" s="149"/>
      <c r="V51" s="141"/>
      <c r="W51" s="151"/>
      <c r="X51" s="150"/>
      <c r="Y51" s="150"/>
      <c r="Z51" s="150"/>
      <c r="AA51" s="150"/>
      <c r="AB51" s="150"/>
      <c r="AC51" s="150"/>
      <c r="AD51" s="150"/>
      <c r="AE51" s="150"/>
      <c r="AF51" s="150"/>
      <c r="AG51" s="150"/>
    </row>
    <row r="52" spans="3:33" ht="15" customHeight="1">
      <c r="C52" s="1081" t="str">
        <f>IF(Indice_index!$Z$1=1,"Transferências de capital","Capital transfers")</f>
        <v>Capital transfers</v>
      </c>
      <c r="D52" s="1082">
        <v>183.46518955000002</v>
      </c>
      <c r="E52" s="1082">
        <v>239.48027832999998</v>
      </c>
      <c r="F52" s="1083">
        <f t="shared" si="1"/>
        <v>30.531725891648833</v>
      </c>
      <c r="G52" s="1082">
        <v>47.317194389999997</v>
      </c>
      <c r="H52" s="1082">
        <v>82.118044900000001</v>
      </c>
      <c r="I52" s="1083">
        <f t="shared" si="2"/>
        <v>73.548000803181196</v>
      </c>
      <c r="J52" s="1091">
        <v>230.78238394000002</v>
      </c>
      <c r="K52" s="1091">
        <v>321.59832323000001</v>
      </c>
      <c r="L52" s="1083">
        <f t="shared" si="3"/>
        <v>39.351330781647</v>
      </c>
      <c r="M52" s="1083">
        <f t="shared" si="6"/>
        <v>3.3261988419010931</v>
      </c>
      <c r="N52" s="406"/>
      <c r="P52" s="253"/>
      <c r="Q52" s="147"/>
      <c r="R52" s="148"/>
      <c r="S52" s="149"/>
      <c r="T52" s="149"/>
      <c r="U52" s="149"/>
      <c r="V52" s="141"/>
      <c r="W52" s="151"/>
      <c r="X52" s="150"/>
      <c r="Y52" s="150"/>
      <c r="Z52" s="150"/>
      <c r="AA52" s="150"/>
      <c r="AB52" s="150"/>
      <c r="AC52" s="150"/>
      <c r="AD52" s="150"/>
      <c r="AE52" s="150"/>
      <c r="AF52" s="150"/>
      <c r="AG52" s="150"/>
    </row>
    <row r="53" spans="3:33" ht="15" customHeight="1">
      <c r="C53" s="1084" t="str">
        <f>IF(Indice_index!$Z$1=1,"Administrações Públicas","General Government")</f>
        <v>General Government</v>
      </c>
      <c r="D53" s="1082">
        <v>8.7891697500000419</v>
      </c>
      <c r="E53" s="1082">
        <v>11.149056449999989</v>
      </c>
      <c r="F53" s="1083">
        <f t="shared" si="1"/>
        <v>26.849938812479259</v>
      </c>
      <c r="G53" s="1082">
        <v>8.78853814</v>
      </c>
      <c r="H53" s="1082">
        <v>9.4927307499999927</v>
      </c>
      <c r="I53" s="1083">
        <f t="shared" si="2"/>
        <v>8.0126250666756818</v>
      </c>
      <c r="J53" s="1091">
        <v>17.577707890000042</v>
      </c>
      <c r="K53" s="1091">
        <v>20.641787199999982</v>
      </c>
      <c r="L53" s="1083">
        <f t="shared" si="3"/>
        <v>17.431620374935772</v>
      </c>
      <c r="M53" s="1083">
        <f t="shared" si="6"/>
        <v>0.11222409999933948</v>
      </c>
      <c r="N53" s="406"/>
      <c r="P53" s="253"/>
      <c r="Q53" s="147"/>
      <c r="R53" s="148"/>
      <c r="S53" s="149"/>
      <c r="T53" s="149"/>
      <c r="U53" s="149"/>
      <c r="V53" s="141"/>
      <c r="W53" s="151"/>
      <c r="X53" s="150"/>
      <c r="Y53" s="150"/>
      <c r="Z53" s="150"/>
      <c r="AA53" s="150"/>
      <c r="AB53" s="150"/>
      <c r="AC53" s="150"/>
      <c r="AD53" s="150"/>
      <c r="AE53" s="150"/>
      <c r="AF53" s="150"/>
      <c r="AG53" s="150"/>
    </row>
    <row r="54" spans="3:33" ht="15" customHeight="1">
      <c r="C54" s="1084" t="str">
        <f>IF(Indice_index!$Z$1=1,"Outras transferências","Other transfers")</f>
        <v>Other transfers</v>
      </c>
      <c r="D54" s="1082">
        <v>174.67601979999998</v>
      </c>
      <c r="E54" s="1082">
        <v>228.33122187999999</v>
      </c>
      <c r="F54" s="1083">
        <f t="shared" si="1"/>
        <v>30.716982297532304</v>
      </c>
      <c r="G54" s="1082">
        <v>38.528656249999997</v>
      </c>
      <c r="H54" s="1082">
        <v>72.625314150000008</v>
      </c>
      <c r="I54" s="1083">
        <f t="shared" si="2"/>
        <v>88.496877956910353</v>
      </c>
      <c r="J54" s="1091">
        <v>213.20467604999999</v>
      </c>
      <c r="K54" s="1091">
        <v>300.95653603</v>
      </c>
      <c r="L54" s="1083">
        <f t="shared" si="3"/>
        <v>41.158506279393592</v>
      </c>
      <c r="M54" s="1083">
        <f t="shared" si="6"/>
        <v>3.2139747419017519</v>
      </c>
      <c r="N54" s="406"/>
      <c r="P54" s="253"/>
      <c r="Q54" s="147"/>
      <c r="R54" s="148"/>
      <c r="S54" s="149"/>
      <c r="T54" s="149"/>
      <c r="U54" s="149"/>
      <c r="V54" s="141"/>
      <c r="W54" s="151"/>
      <c r="X54" s="150"/>
      <c r="Y54" s="150"/>
      <c r="Z54" s="150"/>
      <c r="AA54" s="150"/>
      <c r="AB54" s="150"/>
      <c r="AC54" s="150"/>
      <c r="AD54" s="150"/>
      <c r="AE54" s="150"/>
      <c r="AF54" s="150"/>
      <c r="AG54" s="150"/>
    </row>
    <row r="55" spans="3:33" ht="15" customHeight="1">
      <c r="C55" s="1081" t="str">
        <f>IF(Indice_index!$Z$1=1,"Outras despesas de capital","Other capital expenditure")</f>
        <v>Other capital expenditure</v>
      </c>
      <c r="D55" s="1082">
        <v>3.1038999999999999</v>
      </c>
      <c r="E55" s="1082">
        <v>0.10390000000000001</v>
      </c>
      <c r="F55" s="1083">
        <f t="shared" si="1"/>
        <v>-96.652598344018813</v>
      </c>
      <c r="G55" s="1082">
        <v>0</v>
      </c>
      <c r="H55" s="1082">
        <v>0</v>
      </c>
      <c r="I55" s="1083">
        <f t="shared" si="2"/>
        <v>0</v>
      </c>
      <c r="J55" s="1091">
        <v>3.1038999999999999</v>
      </c>
      <c r="K55" s="1091">
        <v>0.10390000000000001</v>
      </c>
      <c r="L55" s="1083">
        <f t="shared" si="3"/>
        <v>-96.652598344018813</v>
      </c>
      <c r="M55" s="1083">
        <f t="shared" si="6"/>
        <v>-0.1098771493607406</v>
      </c>
      <c r="N55" s="406"/>
      <c r="P55" s="253"/>
      <c r="Q55" s="147"/>
      <c r="R55" s="148"/>
      <c r="S55" s="149"/>
      <c r="T55" s="149"/>
      <c r="U55" s="149"/>
      <c r="V55" s="141"/>
      <c r="W55" s="151"/>
      <c r="X55" s="150"/>
      <c r="Y55" s="150"/>
      <c r="Z55" s="150"/>
      <c r="AA55" s="150"/>
      <c r="AB55" s="150"/>
      <c r="AC55" s="150"/>
      <c r="AD55" s="150"/>
      <c r="AE55" s="150"/>
      <c r="AF55" s="150"/>
      <c r="AG55" s="150"/>
    </row>
    <row r="56" spans="3:33" s="154" customFormat="1" ht="15" customHeight="1">
      <c r="C56" s="1081" t="str">
        <f>IF(Indice_index!$Z$1=1,"Diferenças de consolidação","Consolidation differences")</f>
        <v>Consolidation differences</v>
      </c>
      <c r="D56" s="1082">
        <v>1.6780080000017961E-2</v>
      </c>
      <c r="E56" s="1082">
        <v>0</v>
      </c>
      <c r="F56" s="1083"/>
      <c r="G56" s="1082">
        <v>0</v>
      </c>
      <c r="H56" s="1082">
        <v>8.0647260000013432E-2</v>
      </c>
      <c r="I56" s="1083"/>
      <c r="J56" s="1082">
        <v>1.6780079999961117E-2</v>
      </c>
      <c r="K56" s="1082">
        <v>8.0647260000006327E-2</v>
      </c>
      <c r="L56" s="1083"/>
      <c r="M56" s="900"/>
      <c r="N56" s="406"/>
      <c r="O56" s="254"/>
      <c r="P56" s="253"/>
      <c r="Q56" s="147"/>
      <c r="R56" s="148"/>
      <c r="S56" s="149"/>
      <c r="T56" s="149"/>
      <c r="U56" s="149"/>
      <c r="V56" s="152"/>
      <c r="W56" s="153"/>
      <c r="X56" s="150"/>
      <c r="Y56" s="150"/>
      <c r="Z56" s="150"/>
      <c r="AA56" s="150"/>
      <c r="AB56" s="150"/>
      <c r="AC56" s="150"/>
      <c r="AD56" s="150"/>
      <c r="AE56" s="150"/>
      <c r="AF56" s="150"/>
      <c r="AG56" s="150"/>
    </row>
    <row r="57" spans="3:33" ht="4.5" customHeight="1">
      <c r="C57" s="1090"/>
      <c r="D57" s="1091"/>
      <c r="E57" s="1091"/>
      <c r="F57" s="159"/>
      <c r="G57" s="1091"/>
      <c r="H57" s="1091"/>
      <c r="I57" s="159"/>
      <c r="J57" s="1091"/>
      <c r="K57" s="1091"/>
      <c r="L57" s="159"/>
      <c r="M57" s="159"/>
      <c r="N57" s="406"/>
      <c r="P57" s="253"/>
      <c r="Q57" s="147"/>
      <c r="R57" s="148"/>
      <c r="S57" s="149"/>
      <c r="T57" s="149"/>
      <c r="U57" s="149"/>
      <c r="V57" s="141"/>
      <c r="W57" s="151"/>
      <c r="X57" s="150"/>
      <c r="Y57" s="150"/>
      <c r="Z57" s="150"/>
      <c r="AA57" s="150"/>
      <c r="AB57" s="150"/>
      <c r="AC57" s="150"/>
      <c r="AD57" s="150"/>
      <c r="AE57" s="150"/>
      <c r="AF57" s="150"/>
      <c r="AG57" s="150"/>
    </row>
    <row r="58" spans="3:33" s="307" customFormat="1" ht="15" customHeight="1">
      <c r="C58" s="1088" t="str">
        <f>IF(Indice_index!$Z$1=1,"Despesa efetiva","Effective expenditure")</f>
        <v>Effective expenditure</v>
      </c>
      <c r="D58" s="1092">
        <v>1353.4901223699999</v>
      </c>
      <c r="E58" s="1092">
        <v>1497.9263085699945</v>
      </c>
      <c r="F58" s="310">
        <f t="shared" si="1"/>
        <v>10.671388273383386</v>
      </c>
      <c r="G58" s="1092">
        <v>1376.83189404</v>
      </c>
      <c r="H58" s="1092">
        <v>1556.7887630400005</v>
      </c>
      <c r="I58" s="310">
        <f t="shared" si="2"/>
        <v>13.070358827319003</v>
      </c>
      <c r="J58" s="1092">
        <v>2730.3220164099998</v>
      </c>
      <c r="K58" s="1092">
        <v>3054.7150716099941</v>
      </c>
      <c r="L58" s="310">
        <f t="shared" si="3"/>
        <v>11.881128059265579</v>
      </c>
      <c r="M58" s="310"/>
      <c r="N58" s="405"/>
      <c r="O58" s="308"/>
      <c r="P58" s="311"/>
      <c r="Q58" s="317"/>
      <c r="R58" s="313"/>
      <c r="S58" s="314"/>
      <c r="T58" s="314"/>
      <c r="U58" s="314"/>
      <c r="V58" s="309"/>
      <c r="W58" s="315"/>
      <c r="X58" s="150"/>
      <c r="Y58" s="150"/>
      <c r="Z58" s="150"/>
      <c r="AA58" s="150"/>
      <c r="AB58" s="150"/>
      <c r="AC58" s="150"/>
      <c r="AD58" s="150"/>
      <c r="AE58" s="150"/>
      <c r="AF58" s="150"/>
      <c r="AG58" s="150"/>
    </row>
    <row r="59" spans="3:33" ht="4.5" customHeight="1">
      <c r="C59" s="1093"/>
      <c r="D59" s="1082"/>
      <c r="E59" s="1082"/>
      <c r="F59" s="1094"/>
      <c r="G59" s="1082"/>
      <c r="H59" s="1082"/>
      <c r="I59" s="1094"/>
      <c r="J59" s="1082"/>
      <c r="K59" s="1082"/>
      <c r="L59" s="1094"/>
      <c r="M59" s="1095"/>
      <c r="N59" s="406"/>
      <c r="P59" s="253"/>
      <c r="Q59" s="147"/>
      <c r="R59" s="148"/>
      <c r="S59" s="149"/>
      <c r="T59" s="149"/>
      <c r="U59" s="149"/>
      <c r="V59" s="141"/>
      <c r="W59" s="141"/>
      <c r="X59" s="150"/>
      <c r="Y59" s="150"/>
      <c r="Z59" s="150"/>
      <c r="AA59" s="150"/>
      <c r="AB59" s="150"/>
      <c r="AC59" s="150"/>
      <c r="AD59" s="150"/>
      <c r="AE59" s="150"/>
      <c r="AF59" s="150"/>
      <c r="AG59" s="150"/>
    </row>
    <row r="60" spans="3:33" s="307" customFormat="1" ht="15" customHeight="1">
      <c r="C60" s="1096" t="str">
        <f>IF(Indice_index!$Z$1=1,"Saldo global","Overall balance")</f>
        <v>Overall balance</v>
      </c>
      <c r="D60" s="1097">
        <v>-246.13488384999982</v>
      </c>
      <c r="E60" s="1097">
        <v>-92.554617779994487</v>
      </c>
      <c r="F60" s="1098"/>
      <c r="G60" s="1097">
        <v>-130.53546619999997</v>
      </c>
      <c r="H60" s="1097">
        <v>-262.1494699900004</v>
      </c>
      <c r="I60" s="1098"/>
      <c r="J60" s="1097">
        <v>-376.6703500499998</v>
      </c>
      <c r="K60" s="1097">
        <v>-354.70408776999466</v>
      </c>
      <c r="L60" s="1098"/>
      <c r="M60" s="1098"/>
      <c r="N60" s="407"/>
      <c r="O60" s="308"/>
      <c r="P60" s="311"/>
      <c r="Q60" s="312"/>
      <c r="R60" s="313"/>
      <c r="S60" s="314"/>
      <c r="T60" s="314"/>
      <c r="U60" s="314"/>
      <c r="V60" s="309"/>
      <c r="W60" s="309"/>
      <c r="X60" s="150"/>
      <c r="Y60" s="150"/>
      <c r="Z60" s="150"/>
      <c r="AA60" s="150"/>
      <c r="AB60" s="150"/>
      <c r="AC60" s="150"/>
      <c r="AD60" s="150"/>
      <c r="AE60" s="150"/>
      <c r="AF60" s="150"/>
      <c r="AG60" s="150"/>
    </row>
    <row r="61" spans="3:33" ht="4.5" customHeight="1">
      <c r="C61" s="1099"/>
      <c r="D61" s="1091"/>
      <c r="E61" s="1091"/>
      <c r="F61" s="1100"/>
      <c r="G61" s="1091"/>
      <c r="H61" s="1091"/>
      <c r="I61" s="1100"/>
      <c r="J61" s="1091"/>
      <c r="K61" s="1091"/>
      <c r="L61" s="1100"/>
      <c r="M61" s="1101"/>
      <c r="N61" s="406"/>
      <c r="P61" s="253"/>
      <c r="Q61" s="147"/>
      <c r="R61" s="148"/>
      <c r="S61" s="149"/>
      <c r="T61" s="149"/>
      <c r="U61" s="149"/>
      <c r="V61" s="141"/>
      <c r="W61" s="141"/>
      <c r="X61" s="150"/>
      <c r="Y61" s="150"/>
      <c r="Z61" s="150"/>
      <c r="AA61" s="150"/>
      <c r="AB61" s="150"/>
      <c r="AC61" s="150"/>
      <c r="AD61" s="150"/>
      <c r="AE61" s="150"/>
      <c r="AF61" s="150"/>
      <c r="AG61" s="150"/>
    </row>
    <row r="62" spans="3:33" ht="15" customHeight="1">
      <c r="C62" s="1081" t="str">
        <f>IF(Indice_index!$Z$1=1,"Despesa  primária","Primary Expenditure")</f>
        <v>Primary Expenditure</v>
      </c>
      <c r="D62" s="1091">
        <v>1307.9540994399999</v>
      </c>
      <c r="E62" s="1091">
        <v>1458.4740335199945</v>
      </c>
      <c r="F62" s="1083">
        <f t="shared" ref="F62" si="7">IFERROR(IF(ABS((E62-D62)/D62)*100&gt;500,"n.r",((E62-D62)/D62)*100),0)</f>
        <v>11.508044062436104</v>
      </c>
      <c r="G62" s="1091">
        <v>1266.35563301</v>
      </c>
      <c r="H62" s="1091">
        <v>1469.9936442800006</v>
      </c>
      <c r="I62" s="1083">
        <f t="shared" ref="I62" si="8">IFERROR(IF(ABS((H62-G62)/G62)*100&gt;500,"n.r",((H62-G62)/G62)*100),0)</f>
        <v>16.080633746301856</v>
      </c>
      <c r="J62" s="1082">
        <v>2574.30973245</v>
      </c>
      <c r="K62" s="1082">
        <v>2928.4676777999948</v>
      </c>
      <c r="L62" s="1083">
        <f t="shared" ref="L62" si="9">IFERROR(IF(ABS((K62-J62)/J62)*100&gt;500,"n.r",((K62-J62)/J62)*100),0)</f>
        <v>13.75739449242336</v>
      </c>
      <c r="M62" s="1083"/>
      <c r="N62" s="406"/>
      <c r="P62" s="253"/>
      <c r="Q62" s="147"/>
      <c r="R62" s="148"/>
      <c r="S62" s="149"/>
      <c r="T62" s="149"/>
      <c r="U62" s="149"/>
      <c r="V62" s="141"/>
      <c r="W62" s="141"/>
      <c r="X62" s="150"/>
      <c r="Y62" s="150"/>
      <c r="Z62" s="150"/>
      <c r="AA62" s="150"/>
      <c r="AB62" s="150"/>
      <c r="AC62" s="150"/>
      <c r="AD62" s="150"/>
      <c r="AE62" s="150"/>
      <c r="AF62" s="150"/>
      <c r="AG62" s="150"/>
    </row>
    <row r="63" spans="3:33" ht="15" customHeight="1">
      <c r="C63" s="1102" t="str">
        <f>IF(Indice_index!$Z$1=1,"Saldo primário","Primary balance")</f>
        <v>Primary balance</v>
      </c>
      <c r="D63" s="1091">
        <v>-200.59886091999982</v>
      </c>
      <c r="E63" s="1091">
        <v>-53.10234272999449</v>
      </c>
      <c r="F63" s="1083"/>
      <c r="G63" s="1091">
        <v>-20.059205169999984</v>
      </c>
      <c r="H63" s="1091">
        <v>-175.35435123000042</v>
      </c>
      <c r="I63" s="1083"/>
      <c r="J63" s="1082">
        <v>-220.65806608999981</v>
      </c>
      <c r="K63" s="1082">
        <v>-228.45669395999491</v>
      </c>
      <c r="L63" s="1083"/>
      <c r="M63" s="1103"/>
      <c r="N63" s="406"/>
      <c r="P63" s="253"/>
      <c r="Q63" s="147"/>
      <c r="R63" s="148"/>
      <c r="S63" s="149"/>
      <c r="T63" s="149"/>
      <c r="U63" s="149"/>
      <c r="V63" s="141"/>
      <c r="W63" s="141"/>
      <c r="X63" s="150"/>
      <c r="Y63" s="150"/>
      <c r="Z63" s="150"/>
      <c r="AA63" s="150"/>
      <c r="AB63" s="150"/>
      <c r="AC63" s="150"/>
      <c r="AD63" s="150"/>
      <c r="AE63" s="150"/>
      <c r="AF63" s="150"/>
      <c r="AG63" s="150"/>
    </row>
    <row r="64" spans="3:33" ht="15" customHeight="1">
      <c r="C64" s="1102" t="str">
        <f>IF(Indice_index!$Z$1=1,"Saldo corrente","Current balance")</f>
        <v>Current balance</v>
      </c>
      <c r="D64" s="1091">
        <v>-153.38476774999981</v>
      </c>
      <c r="E64" s="1091">
        <v>-75.981603279994488</v>
      </c>
      <c r="F64" s="1083"/>
      <c r="G64" s="1091">
        <v>-79.138553259999981</v>
      </c>
      <c r="H64" s="1091">
        <v>-172.61343650000026</v>
      </c>
      <c r="I64" s="1083"/>
      <c r="J64" s="1082">
        <v>-232.52332100999979</v>
      </c>
      <c r="K64" s="1082">
        <v>-248.59503977999475</v>
      </c>
      <c r="L64" s="1083"/>
      <c r="M64" s="1103"/>
      <c r="N64" s="406"/>
      <c r="P64" s="253"/>
      <c r="Q64" s="147"/>
      <c r="R64" s="148"/>
      <c r="S64" s="149"/>
      <c r="T64" s="149"/>
      <c r="U64" s="149"/>
      <c r="V64" s="141"/>
      <c r="W64" s="141"/>
      <c r="X64" s="150"/>
      <c r="Y64" s="150"/>
      <c r="Z64" s="150"/>
      <c r="AA64" s="150"/>
      <c r="AB64" s="150"/>
      <c r="AC64" s="150"/>
      <c r="AD64" s="150"/>
      <c r="AE64" s="150"/>
      <c r="AF64" s="150"/>
      <c r="AG64" s="150"/>
    </row>
    <row r="65" spans="2:33" ht="15" customHeight="1">
      <c r="C65" s="1102" t="str">
        <f>IF(Indice_index!$Z$1=1,"Saldo de capital","Capital balance")</f>
        <v>Capital balance</v>
      </c>
      <c r="D65" s="1091">
        <v>-92.750116100000042</v>
      </c>
      <c r="E65" s="1091">
        <v>-16.573014499999886</v>
      </c>
      <c r="F65" s="1083"/>
      <c r="G65" s="1091">
        <v>-51.396912939999964</v>
      </c>
      <c r="H65" s="1091">
        <v>-89.536033489999994</v>
      </c>
      <c r="I65" s="1083"/>
      <c r="J65" s="1082">
        <v>-144.14702904000001</v>
      </c>
      <c r="K65" s="1082">
        <v>-106.10904798999988</v>
      </c>
      <c r="L65" s="1083"/>
      <c r="M65" s="1103"/>
      <c r="N65" s="406"/>
      <c r="P65" s="253"/>
      <c r="Q65" s="147"/>
      <c r="R65" s="148"/>
      <c r="S65" s="149"/>
      <c r="T65" s="149"/>
      <c r="U65" s="149"/>
      <c r="V65" s="141"/>
      <c r="W65" s="141"/>
      <c r="X65" s="150"/>
      <c r="Y65" s="150"/>
      <c r="Z65" s="150"/>
      <c r="AA65" s="150"/>
      <c r="AB65" s="150"/>
      <c r="AC65" s="150"/>
      <c r="AD65" s="150"/>
      <c r="AE65" s="150"/>
      <c r="AF65" s="150"/>
      <c r="AG65" s="150"/>
    </row>
    <row r="66" spans="2:33" ht="15" customHeight="1">
      <c r="C66" s="1093" t="str">
        <f>IF(Indice_index!$Z$1=1,"Activos financeiros líquidos de reembolsos","Financial assets net of reimbursements")</f>
        <v>Financial assets net of reimbursements</v>
      </c>
      <c r="D66" s="1091">
        <v>54.968516219999998</v>
      </c>
      <c r="E66" s="1091">
        <v>85.732686769999987</v>
      </c>
      <c r="F66" s="1083"/>
      <c r="G66" s="1091">
        <v>19.095991350000002</v>
      </c>
      <c r="H66" s="1091">
        <v>46.11796665</v>
      </c>
      <c r="I66" s="1083"/>
      <c r="J66" s="1091">
        <v>74.064507570000004</v>
      </c>
      <c r="K66" s="1091">
        <v>131.85065341999999</v>
      </c>
      <c r="L66" s="1083"/>
      <c r="M66" s="1103"/>
      <c r="N66" s="406"/>
      <c r="P66" s="253"/>
      <c r="Q66" s="147"/>
      <c r="R66" s="148"/>
      <c r="S66" s="149"/>
      <c r="T66" s="149"/>
      <c r="U66" s="149"/>
      <c r="V66" s="141"/>
      <c r="W66" s="141"/>
      <c r="X66" s="150"/>
      <c r="Y66" s="150"/>
      <c r="Z66" s="150"/>
      <c r="AA66" s="150"/>
      <c r="AB66" s="150"/>
      <c r="AC66" s="150"/>
      <c r="AD66" s="150"/>
      <c r="AE66" s="150"/>
      <c r="AF66" s="150"/>
      <c r="AG66" s="150"/>
    </row>
    <row r="67" spans="2:33" ht="15" customHeight="1">
      <c r="C67" s="1104" t="str">
        <f>IF(Indice_index!$Z$1=1,"dos quais Receitas de:","of which Revenues of")</f>
        <v>of which Revenues of</v>
      </c>
      <c r="D67" s="1105"/>
      <c r="E67" s="1105"/>
      <c r="F67" s="1083"/>
      <c r="G67" s="1105"/>
      <c r="H67" s="1105"/>
      <c r="I67" s="1083"/>
      <c r="J67" s="1105"/>
      <c r="K67" s="1105"/>
      <c r="L67" s="1083"/>
      <c r="M67" s="1103"/>
      <c r="N67" s="406"/>
      <c r="P67" s="253"/>
      <c r="Q67" s="147"/>
      <c r="R67" s="148"/>
      <c r="S67" s="149"/>
      <c r="T67" s="149"/>
      <c r="U67" s="149"/>
      <c r="V67" s="141"/>
      <c r="W67" s="141"/>
      <c r="X67" s="150"/>
      <c r="Y67" s="150"/>
      <c r="Z67" s="150"/>
      <c r="AA67" s="150"/>
      <c r="AB67" s="150"/>
      <c r="AC67" s="150"/>
      <c r="AD67" s="150"/>
      <c r="AE67" s="150"/>
      <c r="AF67" s="150"/>
      <c r="AG67" s="150"/>
    </row>
    <row r="68" spans="2:33" ht="15" customHeight="1">
      <c r="C68" s="1106" t="str">
        <f>IF(Indice_index!$Z$1=1,"Alienação de partes de Capital","Divestment of company shares")</f>
        <v>Divestment of company shares</v>
      </c>
      <c r="D68" s="1091">
        <v>0.11</v>
      </c>
      <c r="E68" s="1091">
        <v>0</v>
      </c>
      <c r="F68" s="1083"/>
      <c r="G68" s="1091">
        <v>0</v>
      </c>
      <c r="H68" s="1091">
        <v>0</v>
      </c>
      <c r="I68" s="1083"/>
      <c r="J68" s="1091">
        <v>0.11</v>
      </c>
      <c r="K68" s="1091">
        <v>0</v>
      </c>
      <c r="L68" s="1083"/>
      <c r="M68" s="1103"/>
      <c r="N68" s="406"/>
      <c r="Q68" s="147"/>
      <c r="R68" s="148"/>
      <c r="S68" s="149"/>
      <c r="T68" s="149"/>
      <c r="U68" s="149"/>
      <c r="V68" s="141"/>
      <c r="W68" s="141"/>
      <c r="X68" s="150"/>
      <c r="Y68" s="150"/>
      <c r="Z68" s="150"/>
      <c r="AA68" s="150"/>
      <c r="AB68" s="150"/>
      <c r="AC68" s="150"/>
      <c r="AD68" s="150"/>
      <c r="AE68" s="150"/>
      <c r="AF68" s="150"/>
      <c r="AG68" s="150"/>
    </row>
    <row r="69" spans="2:33" ht="15" customHeight="1">
      <c r="C69" s="1107" t="str">
        <f>IF(Indice_index!$Z$1=1,"Outros Ativos","Other Financial assets")</f>
        <v>Other Financial assets</v>
      </c>
      <c r="D69" s="1091">
        <v>1.2690812600000001</v>
      </c>
      <c r="E69" s="1091">
        <v>0.70389986999999998</v>
      </c>
      <c r="F69" s="1083"/>
      <c r="G69" s="1091">
        <v>8.2325236400000001</v>
      </c>
      <c r="H69" s="1091">
        <v>6.9214943500000032</v>
      </c>
      <c r="I69" s="1083"/>
      <c r="J69" s="1091">
        <v>9.5016049000000002</v>
      </c>
      <c r="K69" s="1091">
        <v>7.6253942200000031</v>
      </c>
      <c r="L69" s="1083"/>
      <c r="M69" s="1103"/>
      <c r="N69" s="406"/>
      <c r="Q69" s="147"/>
      <c r="R69" s="148"/>
      <c r="S69" s="149"/>
      <c r="T69" s="149"/>
      <c r="U69" s="149"/>
      <c r="V69" s="141"/>
      <c r="W69" s="141"/>
      <c r="X69" s="150"/>
      <c r="Y69" s="150"/>
      <c r="Z69" s="150"/>
      <c r="AA69" s="150"/>
      <c r="AB69" s="150"/>
      <c r="AC69" s="150"/>
      <c r="AD69" s="150"/>
      <c r="AE69" s="150"/>
      <c r="AF69" s="150"/>
      <c r="AG69" s="150"/>
    </row>
    <row r="70" spans="2:33" ht="15" customHeight="1">
      <c r="C70" s="1090" t="str">
        <f>IF(Indice_index!$Z$1=1,"Passivos financeiros líquidos de amortizações","Financial liabilities net of amortizations")</f>
        <v>Financial liabilities net of amortizations</v>
      </c>
      <c r="D70" s="1082">
        <v>358.64521003999994</v>
      </c>
      <c r="E70" s="1082">
        <v>187.30820512</v>
      </c>
      <c r="F70" s="1083"/>
      <c r="G70" s="1082">
        <v>482.64792561000002</v>
      </c>
      <c r="H70" s="1082">
        <v>-8.3660556599999722</v>
      </c>
      <c r="I70" s="1083"/>
      <c r="J70" s="1082">
        <v>841.29313564999995</v>
      </c>
      <c r="K70" s="1082">
        <v>178.94214946000002</v>
      </c>
      <c r="L70" s="1083"/>
      <c r="M70" s="1103"/>
      <c r="N70" s="406"/>
      <c r="Q70" s="147"/>
      <c r="R70" s="148"/>
      <c r="S70" s="149"/>
      <c r="T70" s="149"/>
      <c r="U70" s="149"/>
      <c r="V70" s="141"/>
      <c r="W70" s="141"/>
      <c r="X70" s="150"/>
      <c r="Y70" s="150"/>
      <c r="Z70" s="150"/>
      <c r="AA70" s="150"/>
      <c r="AB70" s="150"/>
      <c r="AC70" s="150"/>
      <c r="AD70" s="150"/>
      <c r="AE70" s="150"/>
      <c r="AF70" s="150"/>
      <c r="AG70" s="150"/>
    </row>
    <row r="71" spans="2:33" ht="15" customHeight="1">
      <c r="C71" s="1108" t="str">
        <f>IF(Indice_index!$Z$1=1,"Poupança (+) / Utilização (-) de saldo da gerência anterior","Saving (+) / Usage (-) of balance from previous management")</f>
        <v>Saving (+) / Usage (-) of balance from previous management</v>
      </c>
      <c r="D71" s="1109">
        <v>57.541809970000145</v>
      </c>
      <c r="E71" s="1109">
        <v>9.0209005700055229</v>
      </c>
      <c r="F71" s="1109"/>
      <c r="G71" s="1109">
        <v>333.01646806000008</v>
      </c>
      <c r="H71" s="1109">
        <v>-316.63349230000034</v>
      </c>
      <c r="I71" s="1109"/>
      <c r="J71" s="1109">
        <v>390.55827803000022</v>
      </c>
      <c r="K71" s="1109">
        <v>-307.61259172999485</v>
      </c>
      <c r="L71" s="1109"/>
      <c r="M71" s="1110"/>
      <c r="N71" s="406"/>
      <c r="Q71" s="147"/>
      <c r="R71" s="148"/>
      <c r="S71" s="149"/>
      <c r="T71" s="149"/>
      <c r="U71" s="149"/>
      <c r="V71" s="141"/>
      <c r="W71" s="141"/>
      <c r="X71" s="150"/>
      <c r="Y71" s="150"/>
      <c r="Z71" s="150"/>
      <c r="AA71" s="150"/>
      <c r="AB71" s="150"/>
      <c r="AC71" s="150"/>
      <c r="AD71" s="150"/>
      <c r="AE71" s="150"/>
      <c r="AF71" s="150"/>
      <c r="AG71" s="150"/>
    </row>
    <row r="72" spans="2:33" ht="4.5" customHeight="1">
      <c r="C72" s="1111"/>
      <c r="E72" s="169"/>
      <c r="F72" s="169"/>
      <c r="G72" s="169"/>
      <c r="H72" s="169"/>
      <c r="I72" s="169"/>
      <c r="J72" s="169"/>
      <c r="K72" s="439"/>
      <c r="L72" s="439"/>
      <c r="M72" s="99"/>
      <c r="N72" s="404"/>
      <c r="Q72" s="147"/>
      <c r="R72" s="148"/>
      <c r="S72" s="149"/>
      <c r="T72" s="149"/>
      <c r="U72" s="149"/>
      <c r="V72" s="141"/>
      <c r="W72" s="141"/>
      <c r="X72" s="150"/>
      <c r="Y72" s="150"/>
      <c r="Z72" s="150"/>
      <c r="AA72" s="150"/>
      <c r="AB72" s="150"/>
      <c r="AC72" s="150"/>
      <c r="AD72" s="150"/>
      <c r="AE72" s="150"/>
      <c r="AF72" s="150"/>
      <c r="AG72" s="150"/>
    </row>
    <row r="73" spans="2:33">
      <c r="C73" s="1112" t="s">
        <v>75</v>
      </c>
      <c r="D73" s="169"/>
      <c r="E73" s="169"/>
      <c r="F73" s="169"/>
      <c r="G73" s="169"/>
      <c r="I73" s="169"/>
      <c r="J73" s="169"/>
      <c r="K73" s="439"/>
      <c r="L73" s="439"/>
      <c r="M73" s="99"/>
      <c r="N73" s="404"/>
      <c r="Q73" s="147"/>
      <c r="R73" s="148"/>
      <c r="S73" s="149"/>
      <c r="T73" s="149"/>
      <c r="U73" s="149"/>
      <c r="V73" s="141"/>
      <c r="W73" s="141"/>
      <c r="X73" s="150"/>
      <c r="Y73" s="150"/>
      <c r="Z73" s="150"/>
      <c r="AA73" s="150"/>
      <c r="AB73" s="150"/>
      <c r="AC73" s="150"/>
      <c r="AD73" s="150"/>
      <c r="AE73" s="150"/>
      <c r="AF73" s="150"/>
      <c r="AG73" s="150"/>
    </row>
    <row r="74" spans="2:33" ht="15" customHeight="1">
      <c r="B74" s="99"/>
      <c r="C74" s="1093" t="str">
        <f>IF(Indice_index!$Z$1=1,"2020: Contas de gerência da RAA e da RAM; 2021: execução orçamental de dezembro.","2020: Azores Autonomous Region Budget and Treasury Regional Directorate (RAA) and Madeira Autonomous Region (RAM) final accounts; 2021: December budget execution.")</f>
        <v>2020: Azores Autonomous Region Budget and Treasury Regional Directorate (RAA) and Madeira Autonomous Region (RAM) final accounts; 2021: December budget execution.</v>
      </c>
      <c r="I74" s="139"/>
      <c r="J74" s="139"/>
      <c r="K74" s="139"/>
      <c r="L74" s="139"/>
      <c r="M74" s="52"/>
      <c r="N74" s="404"/>
      <c r="Q74" s="147"/>
      <c r="R74" s="148"/>
      <c r="S74" s="149"/>
      <c r="T74" s="149"/>
      <c r="U74" s="149"/>
      <c r="X74" s="150"/>
      <c r="Y74" s="150"/>
      <c r="Z74" s="150"/>
      <c r="AA74" s="150"/>
      <c r="AB74" s="150"/>
      <c r="AC74" s="150"/>
      <c r="AD74" s="150"/>
      <c r="AE74" s="150"/>
      <c r="AF74" s="150"/>
      <c r="AG74" s="150"/>
    </row>
    <row r="75" spans="2:33" ht="20.25">
      <c r="B75" s="99"/>
      <c r="C75" s="1093" t="str">
        <f>IF(Indice_index!$Z$1=1,"Fonte: DROT/RAM; DROT/RAA.","Source: DROT/RAM; DROT/RAA.")</f>
        <v>Source: DROT/RAM; DROT/RAA.</v>
      </c>
      <c r="D75" s="99"/>
      <c r="E75" s="579"/>
      <c r="F75" s="99"/>
      <c r="G75" s="99"/>
      <c r="H75" s="99"/>
      <c r="I75" s="99"/>
      <c r="J75" s="99"/>
      <c r="K75" s="99"/>
      <c r="L75" s="99"/>
      <c r="M75" s="99"/>
      <c r="N75" s="404"/>
      <c r="Q75" s="147"/>
      <c r="R75" s="148"/>
      <c r="S75" s="149"/>
      <c r="T75" s="149"/>
      <c r="U75" s="149"/>
      <c r="X75" s="150"/>
      <c r="Y75" s="150"/>
      <c r="Z75" s="150"/>
      <c r="AA75" s="150"/>
      <c r="AB75" s="150"/>
      <c r="AC75" s="150"/>
      <c r="AD75" s="150"/>
      <c r="AE75" s="150"/>
      <c r="AF75" s="150"/>
      <c r="AG75" s="150"/>
    </row>
    <row r="76" spans="2:33">
      <c r="B76" s="99"/>
      <c r="D76" s="99"/>
      <c r="E76" s="99"/>
      <c r="F76" s="99"/>
      <c r="G76" s="99"/>
      <c r="H76" s="99"/>
      <c r="I76" s="99"/>
      <c r="J76" s="99"/>
      <c r="K76" s="99"/>
      <c r="L76" s="99"/>
      <c r="M76" s="99"/>
      <c r="N76" s="404"/>
      <c r="Q76" s="147"/>
      <c r="R76" s="148"/>
      <c r="S76" s="149"/>
      <c r="T76" s="149"/>
      <c r="U76" s="149"/>
      <c r="X76" s="150"/>
      <c r="Y76" s="150"/>
      <c r="Z76" s="150"/>
      <c r="AA76" s="150"/>
      <c r="AB76" s="150"/>
      <c r="AC76" s="150"/>
      <c r="AD76" s="150"/>
      <c r="AE76" s="150"/>
      <c r="AF76" s="150"/>
      <c r="AG76" s="150"/>
    </row>
    <row r="77" spans="2:33">
      <c r="B77" s="99"/>
      <c r="C77" s="99"/>
      <c r="D77" s="99"/>
      <c r="E77" s="99"/>
      <c r="F77" s="99"/>
      <c r="G77" s="99"/>
      <c r="H77" s="99"/>
      <c r="I77" s="99"/>
      <c r="J77" s="99"/>
      <c r="K77" s="99"/>
      <c r="L77" s="99"/>
      <c r="M77" s="99"/>
      <c r="X77" s="150"/>
      <c r="Y77" s="150"/>
      <c r="Z77" s="150"/>
      <c r="AA77" s="150"/>
      <c r="AB77" s="150"/>
      <c r="AC77" s="150"/>
      <c r="AD77" s="150"/>
      <c r="AE77" s="150"/>
      <c r="AF77" s="150"/>
      <c r="AG77" s="150"/>
    </row>
    <row r="78" spans="2:33">
      <c r="B78" s="99"/>
      <c r="C78" s="99"/>
      <c r="D78" s="99"/>
      <c r="E78" s="99"/>
      <c r="F78" s="99"/>
      <c r="G78" s="99"/>
      <c r="H78" s="99"/>
      <c r="I78" s="99"/>
      <c r="J78" s="99"/>
      <c r="K78" s="99"/>
      <c r="L78" s="99"/>
      <c r="M78" s="99"/>
      <c r="X78" s="150"/>
      <c r="Y78" s="150"/>
      <c r="Z78" s="150"/>
      <c r="AA78" s="150"/>
      <c r="AB78" s="150"/>
      <c r="AC78" s="150"/>
      <c r="AD78" s="150"/>
      <c r="AE78" s="150"/>
      <c r="AF78" s="150"/>
      <c r="AG78" s="150"/>
    </row>
    <row r="79" spans="2:33">
      <c r="B79" s="99"/>
      <c r="C79" s="99"/>
      <c r="D79" s="99"/>
      <c r="E79" s="99"/>
      <c r="F79" s="99"/>
      <c r="G79" s="99"/>
      <c r="H79" s="99"/>
      <c r="I79" s="99"/>
      <c r="J79" s="99"/>
      <c r="K79" s="99"/>
      <c r="L79" s="99"/>
      <c r="M79" s="99"/>
      <c r="X79" s="150"/>
      <c r="Y79" s="150"/>
      <c r="Z79" s="150"/>
      <c r="AA79" s="150"/>
      <c r="AB79" s="150"/>
      <c r="AC79" s="150"/>
      <c r="AD79" s="150"/>
      <c r="AE79" s="150"/>
      <c r="AF79" s="150"/>
      <c r="AG79" s="150"/>
    </row>
    <row r="80" spans="2:33">
      <c r="C80" s="99"/>
      <c r="D80" s="169"/>
      <c r="E80" s="169"/>
      <c r="F80" s="169"/>
      <c r="G80" s="169"/>
      <c r="H80" s="169"/>
      <c r="I80" s="169"/>
      <c r="J80" s="169"/>
      <c r="K80" s="169"/>
      <c r="L80" s="169"/>
      <c r="M80" s="439"/>
      <c r="X80" s="150"/>
      <c r="Y80" s="150"/>
      <c r="Z80" s="150"/>
      <c r="AA80" s="150"/>
      <c r="AB80" s="150"/>
      <c r="AC80" s="150"/>
      <c r="AD80" s="150"/>
      <c r="AE80" s="150"/>
      <c r="AF80" s="150"/>
      <c r="AG80" s="150"/>
    </row>
    <row r="81" spans="3:33">
      <c r="C81" s="169"/>
      <c r="D81" s="169"/>
      <c r="E81" s="169"/>
      <c r="F81" s="169"/>
      <c r="G81" s="169"/>
      <c r="H81" s="169"/>
      <c r="I81" s="169"/>
      <c r="J81" s="169"/>
      <c r="K81" s="169"/>
      <c r="L81" s="169"/>
      <c r="M81" s="439"/>
      <c r="X81" s="150"/>
      <c r="Y81" s="150"/>
      <c r="Z81" s="150"/>
      <c r="AA81" s="150"/>
      <c r="AB81" s="150"/>
      <c r="AC81" s="150"/>
      <c r="AD81" s="150"/>
      <c r="AE81" s="150"/>
      <c r="AF81" s="150"/>
      <c r="AG81" s="150"/>
    </row>
    <row r="82" spans="3:33">
      <c r="C82" s="169"/>
      <c r="D82" s="169"/>
      <c r="E82" s="169"/>
      <c r="F82" s="169"/>
      <c r="G82" s="169"/>
      <c r="H82" s="169"/>
      <c r="I82" s="169"/>
      <c r="J82" s="169"/>
      <c r="K82" s="169"/>
      <c r="L82" s="169"/>
      <c r="M82" s="439"/>
      <c r="X82" s="150"/>
      <c r="Y82" s="150"/>
      <c r="Z82" s="150"/>
      <c r="AA82" s="150"/>
      <c r="AB82" s="150"/>
      <c r="AC82" s="150"/>
      <c r="AD82" s="150"/>
      <c r="AE82" s="150"/>
      <c r="AF82" s="150"/>
      <c r="AG82" s="150"/>
    </row>
    <row r="83" spans="3:33">
      <c r="C83" s="169"/>
      <c r="D83" s="169"/>
      <c r="E83" s="169"/>
      <c r="F83" s="169"/>
      <c r="G83" s="169"/>
      <c r="H83" s="169"/>
      <c r="I83" s="169"/>
      <c r="J83" s="169"/>
      <c r="K83" s="169"/>
      <c r="L83" s="169"/>
      <c r="M83" s="439"/>
      <c r="X83" s="150"/>
      <c r="Y83" s="150"/>
      <c r="Z83" s="150"/>
      <c r="AA83" s="150"/>
      <c r="AB83" s="150"/>
      <c r="AC83" s="150"/>
      <c r="AD83" s="150"/>
      <c r="AE83" s="150"/>
      <c r="AF83" s="150"/>
      <c r="AG83" s="150"/>
    </row>
    <row r="84" spans="3:33">
      <c r="C84" s="169"/>
      <c r="D84" s="169"/>
      <c r="E84" s="169"/>
      <c r="F84" s="169"/>
      <c r="G84" s="169"/>
      <c r="H84" s="169"/>
      <c r="I84" s="169"/>
      <c r="J84" s="169"/>
      <c r="K84" s="169"/>
      <c r="L84" s="169"/>
      <c r="M84" s="439"/>
      <c r="X84" s="150"/>
      <c r="Y84" s="150"/>
      <c r="Z84" s="150"/>
      <c r="AA84" s="150"/>
      <c r="AB84" s="150"/>
      <c r="AC84" s="150"/>
      <c r="AD84" s="150"/>
      <c r="AE84" s="150"/>
      <c r="AF84" s="150"/>
      <c r="AG84" s="150"/>
    </row>
    <row r="85" spans="3:33">
      <c r="C85" s="169"/>
      <c r="D85" s="169"/>
      <c r="E85" s="169"/>
      <c r="F85" s="169"/>
      <c r="G85" s="169"/>
      <c r="H85" s="169"/>
      <c r="I85" s="169"/>
      <c r="J85" s="169"/>
      <c r="K85" s="169"/>
      <c r="L85" s="169"/>
      <c r="M85" s="439"/>
      <c r="X85" s="150"/>
      <c r="Y85" s="150"/>
      <c r="Z85" s="150"/>
      <c r="AA85" s="150"/>
      <c r="AB85" s="150"/>
      <c r="AC85" s="150"/>
      <c r="AD85" s="150"/>
      <c r="AE85" s="150"/>
      <c r="AF85" s="150"/>
      <c r="AG85" s="150"/>
    </row>
    <row r="86" spans="3:33">
      <c r="C86" s="169"/>
      <c r="D86" s="169"/>
      <c r="E86" s="169"/>
      <c r="F86" s="169"/>
      <c r="G86" s="169"/>
      <c r="H86" s="169"/>
      <c r="I86" s="169"/>
      <c r="J86" s="169"/>
      <c r="K86" s="169"/>
      <c r="L86" s="169"/>
      <c r="M86" s="439"/>
      <c r="X86" s="150"/>
      <c r="Y86" s="150"/>
      <c r="Z86" s="150"/>
      <c r="AA86" s="150"/>
      <c r="AB86" s="150"/>
      <c r="AC86" s="150"/>
      <c r="AD86" s="150"/>
      <c r="AE86" s="150"/>
      <c r="AF86" s="150"/>
      <c r="AG86" s="150"/>
    </row>
    <row r="87" spans="3:33">
      <c r="C87" s="169"/>
      <c r="D87" s="169"/>
      <c r="E87" s="169"/>
      <c r="F87" s="169"/>
      <c r="G87" s="169"/>
      <c r="H87" s="169"/>
      <c r="I87" s="169"/>
      <c r="J87" s="169"/>
      <c r="K87" s="169"/>
      <c r="L87" s="169"/>
      <c r="M87" s="439"/>
      <c r="X87" s="150"/>
      <c r="Y87" s="150"/>
      <c r="Z87" s="150"/>
      <c r="AA87" s="150"/>
      <c r="AB87" s="150"/>
      <c r="AC87" s="150"/>
      <c r="AD87" s="150"/>
      <c r="AE87" s="150"/>
      <c r="AF87" s="150"/>
      <c r="AG87" s="150"/>
    </row>
    <row r="88" spans="3:33">
      <c r="C88" s="169"/>
      <c r="D88" s="169"/>
      <c r="E88" s="169"/>
      <c r="F88" s="169"/>
      <c r="G88" s="169"/>
      <c r="H88" s="169"/>
      <c r="I88" s="169"/>
      <c r="J88" s="169"/>
      <c r="K88" s="169"/>
      <c r="L88" s="169"/>
      <c r="M88" s="439"/>
      <c r="X88" s="150"/>
      <c r="Y88" s="150"/>
      <c r="Z88" s="150"/>
      <c r="AA88" s="150"/>
      <c r="AB88" s="150"/>
      <c r="AC88" s="150"/>
      <c r="AD88" s="150"/>
      <c r="AE88" s="150"/>
      <c r="AF88" s="150"/>
      <c r="AG88" s="150"/>
    </row>
    <row r="89" spans="3:33">
      <c r="C89" s="169"/>
      <c r="D89" s="169"/>
      <c r="E89" s="169"/>
      <c r="F89" s="169"/>
      <c r="G89" s="169"/>
      <c r="H89" s="169"/>
      <c r="I89" s="169"/>
      <c r="J89" s="169"/>
      <c r="K89" s="169"/>
      <c r="L89" s="169"/>
      <c r="M89" s="439"/>
      <c r="X89" s="150"/>
      <c r="Y89" s="150"/>
      <c r="Z89" s="150"/>
      <c r="AA89" s="150"/>
      <c r="AB89" s="150"/>
      <c r="AC89" s="150"/>
      <c r="AD89" s="150"/>
      <c r="AE89" s="150"/>
      <c r="AF89" s="150"/>
      <c r="AG89" s="150"/>
    </row>
    <row r="90" spans="3:33">
      <c r="C90" s="169"/>
      <c r="D90" s="169"/>
      <c r="E90" s="169"/>
      <c r="F90" s="169"/>
      <c r="G90" s="169"/>
      <c r="H90" s="169"/>
      <c r="I90" s="169"/>
      <c r="J90" s="169"/>
      <c r="K90" s="169"/>
      <c r="L90" s="169"/>
      <c r="M90" s="439"/>
      <c r="X90" s="150"/>
      <c r="Y90" s="150"/>
      <c r="Z90" s="150"/>
      <c r="AA90" s="150"/>
      <c r="AB90" s="150"/>
      <c r="AC90" s="150"/>
      <c r="AD90" s="150"/>
      <c r="AE90" s="150"/>
      <c r="AF90" s="150"/>
      <c r="AG90" s="150"/>
    </row>
    <row r="91" spans="3:33">
      <c r="C91" s="169"/>
      <c r="D91" s="169"/>
      <c r="E91" s="169"/>
      <c r="F91" s="169"/>
      <c r="G91" s="169"/>
      <c r="H91" s="169"/>
      <c r="I91" s="169"/>
      <c r="J91" s="169"/>
      <c r="K91" s="169"/>
      <c r="L91" s="169"/>
      <c r="M91" s="439"/>
      <c r="X91" s="150"/>
      <c r="Y91" s="150"/>
      <c r="Z91" s="150"/>
      <c r="AA91" s="150"/>
      <c r="AB91" s="150"/>
      <c r="AC91" s="150"/>
      <c r="AD91" s="150"/>
      <c r="AE91" s="150"/>
      <c r="AF91" s="150"/>
      <c r="AG91" s="150"/>
    </row>
    <row r="92" spans="3:33">
      <c r="C92" s="169"/>
      <c r="D92" s="169"/>
      <c r="E92" s="169"/>
      <c r="F92" s="169"/>
      <c r="G92" s="169"/>
      <c r="H92" s="169"/>
      <c r="I92" s="169"/>
      <c r="J92" s="169"/>
      <c r="K92" s="169"/>
      <c r="L92" s="169"/>
      <c r="M92" s="439"/>
      <c r="X92" s="150"/>
      <c r="Y92" s="150"/>
      <c r="Z92" s="150"/>
      <c r="AA92" s="150"/>
      <c r="AB92" s="150"/>
      <c r="AC92" s="150"/>
      <c r="AD92" s="150"/>
      <c r="AE92" s="150"/>
      <c r="AF92" s="150"/>
      <c r="AG92" s="150"/>
    </row>
    <row r="93" spans="3:33">
      <c r="C93" s="169"/>
      <c r="D93" s="169"/>
      <c r="E93" s="169"/>
      <c r="F93" s="169"/>
      <c r="G93" s="169"/>
      <c r="H93" s="169"/>
      <c r="I93" s="169"/>
      <c r="J93" s="169"/>
      <c r="K93" s="169"/>
      <c r="L93" s="169"/>
      <c r="M93" s="439"/>
      <c r="X93" s="150"/>
      <c r="Y93" s="150"/>
      <c r="Z93" s="150"/>
      <c r="AA93" s="150"/>
      <c r="AB93" s="150"/>
      <c r="AC93" s="150"/>
      <c r="AD93" s="150"/>
      <c r="AE93" s="150"/>
      <c r="AF93" s="150"/>
      <c r="AG93" s="150"/>
    </row>
    <row r="94" spans="3:33">
      <c r="C94" s="169"/>
      <c r="D94" s="169"/>
      <c r="E94" s="169"/>
      <c r="F94" s="169"/>
      <c r="G94" s="169"/>
      <c r="H94" s="169"/>
      <c r="I94" s="169"/>
      <c r="J94" s="169"/>
      <c r="K94" s="169"/>
      <c r="L94" s="169"/>
      <c r="M94" s="439"/>
      <c r="X94" s="150"/>
      <c r="Y94" s="150"/>
      <c r="Z94" s="150"/>
      <c r="AA94" s="150"/>
      <c r="AB94" s="150"/>
      <c r="AC94" s="150"/>
      <c r="AD94" s="150"/>
      <c r="AE94" s="150"/>
      <c r="AF94" s="150"/>
      <c r="AG94" s="150"/>
    </row>
    <row r="95" spans="3:33">
      <c r="C95" s="169"/>
      <c r="D95" s="169"/>
      <c r="E95" s="169"/>
      <c r="F95" s="169"/>
      <c r="G95" s="169"/>
      <c r="H95" s="169"/>
      <c r="I95" s="169"/>
      <c r="J95" s="169"/>
      <c r="K95" s="169"/>
      <c r="L95" s="169"/>
      <c r="M95" s="439"/>
      <c r="X95" s="150"/>
      <c r="Y95" s="150"/>
      <c r="Z95" s="150"/>
      <c r="AA95" s="150"/>
      <c r="AB95" s="150"/>
      <c r="AC95" s="150"/>
      <c r="AD95" s="150"/>
      <c r="AE95" s="150"/>
      <c r="AF95" s="150"/>
      <c r="AG95" s="150"/>
    </row>
    <row r="96" spans="3:33">
      <c r="C96" s="169"/>
      <c r="D96" s="169"/>
      <c r="E96" s="169"/>
      <c r="F96" s="169"/>
      <c r="G96" s="169"/>
      <c r="H96" s="169"/>
      <c r="I96" s="169"/>
      <c r="J96" s="169"/>
      <c r="K96" s="169"/>
      <c r="L96" s="169"/>
      <c r="M96" s="439"/>
      <c r="X96" s="150"/>
      <c r="Y96" s="150"/>
      <c r="Z96" s="150"/>
      <c r="AA96" s="150"/>
      <c r="AB96" s="150"/>
      <c r="AC96" s="150"/>
      <c r="AD96" s="150"/>
      <c r="AE96" s="150"/>
      <c r="AF96" s="150"/>
      <c r="AG96" s="150"/>
    </row>
    <row r="97" spans="3:33">
      <c r="C97" s="169"/>
      <c r="D97" s="169"/>
      <c r="E97" s="169"/>
      <c r="F97" s="169"/>
      <c r="G97" s="169"/>
      <c r="H97" s="169"/>
      <c r="I97" s="169"/>
      <c r="J97" s="169"/>
      <c r="K97" s="169"/>
      <c r="L97" s="169"/>
      <c r="M97" s="439"/>
      <c r="X97" s="150"/>
      <c r="Y97" s="150"/>
      <c r="Z97" s="150"/>
      <c r="AA97" s="150"/>
      <c r="AB97" s="150"/>
      <c r="AC97" s="150"/>
      <c r="AD97" s="150"/>
      <c r="AE97" s="150"/>
      <c r="AF97" s="150"/>
      <c r="AG97" s="150"/>
    </row>
    <row r="98" spans="3:33">
      <c r="C98" s="169"/>
      <c r="D98" s="169"/>
      <c r="E98" s="169"/>
      <c r="F98" s="169"/>
      <c r="G98" s="169"/>
      <c r="H98" s="169"/>
      <c r="I98" s="169"/>
      <c r="J98" s="169"/>
      <c r="K98" s="169"/>
      <c r="L98" s="169"/>
      <c r="M98" s="439"/>
      <c r="X98" s="150"/>
      <c r="Y98" s="150"/>
      <c r="Z98" s="150"/>
      <c r="AA98" s="150"/>
      <c r="AB98" s="150"/>
      <c r="AC98" s="150"/>
      <c r="AD98" s="150"/>
      <c r="AE98" s="150"/>
      <c r="AF98" s="150"/>
      <c r="AG98" s="150"/>
    </row>
    <row r="99" spans="3:33">
      <c r="C99" s="169"/>
      <c r="D99" s="169"/>
      <c r="E99" s="169"/>
      <c r="F99" s="169"/>
      <c r="G99" s="169"/>
      <c r="H99" s="169"/>
      <c r="I99" s="169"/>
      <c r="J99" s="169"/>
      <c r="K99" s="169"/>
      <c r="L99" s="169"/>
      <c r="M99" s="439"/>
    </row>
    <row r="100" spans="3:33">
      <c r="C100" s="169"/>
      <c r="D100" s="169"/>
      <c r="E100" s="169"/>
      <c r="F100" s="169"/>
      <c r="G100" s="169"/>
      <c r="H100" s="169"/>
      <c r="I100" s="169"/>
      <c r="J100" s="169"/>
      <c r="K100" s="169"/>
      <c r="L100" s="169"/>
      <c r="M100" s="439"/>
    </row>
    <row r="101" spans="3:33">
      <c r="C101" s="169"/>
      <c r="D101" s="169"/>
      <c r="E101" s="169"/>
      <c r="F101" s="169"/>
      <c r="G101" s="169"/>
      <c r="H101" s="169"/>
      <c r="I101" s="382"/>
      <c r="J101" s="382"/>
      <c r="K101" s="382"/>
      <c r="L101" s="382"/>
      <c r="M101" s="383"/>
    </row>
    <row r="102" spans="3:33">
      <c r="C102" s="169"/>
      <c r="D102" s="169"/>
      <c r="E102" s="169"/>
      <c r="F102" s="169"/>
      <c r="G102" s="169"/>
      <c r="H102" s="169"/>
      <c r="I102" s="382"/>
      <c r="J102" s="382"/>
      <c r="K102" s="382"/>
      <c r="L102" s="382"/>
      <c r="M102" s="383"/>
    </row>
    <row r="103" spans="3:33">
      <c r="C103" s="169"/>
      <c r="D103" s="169"/>
      <c r="E103" s="169"/>
      <c r="F103" s="169"/>
      <c r="G103" s="169"/>
      <c r="H103" s="169"/>
      <c r="I103" s="382"/>
      <c r="J103" s="382"/>
      <c r="K103" s="382"/>
      <c r="L103" s="382"/>
      <c r="M103" s="383"/>
    </row>
    <row r="104" spans="3:33">
      <c r="C104" s="169"/>
      <c r="D104" s="169"/>
      <c r="E104" s="169"/>
      <c r="F104" s="169"/>
      <c r="G104" s="169"/>
      <c r="H104" s="169"/>
      <c r="I104" s="382"/>
      <c r="J104" s="382"/>
      <c r="K104" s="382"/>
      <c r="L104" s="382"/>
      <c r="M104" s="383"/>
    </row>
    <row r="105" spans="3:33">
      <c r="C105" s="169"/>
      <c r="D105" s="169"/>
      <c r="E105" s="169"/>
      <c r="F105" s="169"/>
      <c r="G105" s="169"/>
      <c r="H105" s="169"/>
      <c r="I105" s="382"/>
      <c r="J105" s="382"/>
      <c r="K105" s="382"/>
      <c r="L105" s="382"/>
      <c r="M105" s="383"/>
    </row>
    <row r="106" spans="3:33">
      <c r="C106" s="169"/>
      <c r="D106" s="169"/>
      <c r="E106" s="169"/>
      <c r="F106" s="169"/>
      <c r="G106" s="169"/>
      <c r="H106" s="169"/>
      <c r="I106" s="382"/>
      <c r="J106" s="382"/>
      <c r="K106" s="382"/>
      <c r="L106" s="382"/>
      <c r="M106" s="383"/>
    </row>
    <row r="107" spans="3:33">
      <c r="C107" s="169"/>
      <c r="D107" s="169"/>
      <c r="E107" s="169"/>
      <c r="F107" s="169"/>
      <c r="G107" s="169"/>
      <c r="H107" s="169"/>
      <c r="I107" s="382"/>
      <c r="J107" s="382"/>
      <c r="K107" s="382"/>
      <c r="L107" s="382"/>
      <c r="M107" s="383"/>
    </row>
    <row r="108" spans="3:33">
      <c r="C108" s="169"/>
      <c r="D108" s="169"/>
      <c r="E108" s="169"/>
      <c r="F108" s="169"/>
      <c r="G108" s="169"/>
      <c r="H108" s="169"/>
      <c r="I108" s="382"/>
      <c r="J108" s="382"/>
      <c r="K108" s="382"/>
      <c r="L108" s="382"/>
      <c r="M108" s="383"/>
    </row>
    <row r="109" spans="3:33">
      <c r="C109" s="169"/>
      <c r="D109" s="169"/>
      <c r="E109" s="169"/>
      <c r="F109" s="169"/>
      <c r="G109" s="169"/>
      <c r="H109" s="169"/>
      <c r="I109" s="382"/>
      <c r="J109" s="382"/>
      <c r="K109" s="382"/>
      <c r="L109" s="382"/>
      <c r="M109" s="383"/>
    </row>
    <row r="110" spans="3:33">
      <c r="C110" s="169"/>
      <c r="D110" s="169"/>
      <c r="E110" s="169"/>
      <c r="F110" s="169"/>
      <c r="G110" s="169"/>
      <c r="H110" s="169"/>
      <c r="I110" s="382"/>
      <c r="J110" s="382"/>
      <c r="K110" s="382"/>
      <c r="L110" s="382"/>
      <c r="M110" s="383"/>
    </row>
    <row r="111" spans="3:33">
      <c r="C111" s="169"/>
      <c r="D111" s="169"/>
      <c r="E111" s="169"/>
      <c r="F111" s="169"/>
      <c r="G111" s="169"/>
      <c r="H111" s="169"/>
      <c r="I111" s="382"/>
      <c r="J111" s="382"/>
      <c r="K111" s="382"/>
      <c r="L111" s="382"/>
      <c r="M111" s="383"/>
    </row>
    <row r="112" spans="3:33">
      <c r="C112" s="169"/>
      <c r="D112" s="169"/>
      <c r="E112" s="169"/>
      <c r="F112" s="169"/>
      <c r="G112" s="169"/>
      <c r="H112" s="169"/>
      <c r="I112" s="382"/>
      <c r="J112" s="382"/>
      <c r="K112" s="382"/>
      <c r="L112" s="382"/>
      <c r="M112" s="383"/>
    </row>
    <row r="113" spans="3:13">
      <c r="C113" s="169"/>
      <c r="D113" s="169"/>
      <c r="E113" s="169"/>
      <c r="F113" s="169"/>
      <c r="G113" s="169"/>
      <c r="H113" s="169"/>
      <c r="I113" s="382"/>
      <c r="J113" s="382"/>
      <c r="K113" s="382"/>
      <c r="L113" s="382"/>
      <c r="M113" s="383"/>
    </row>
    <row r="114" spans="3:13">
      <c r="C114" s="169"/>
      <c r="D114" s="169"/>
      <c r="E114" s="169"/>
      <c r="F114" s="169"/>
      <c r="G114" s="169"/>
      <c r="H114" s="169"/>
      <c r="I114" s="382"/>
      <c r="J114" s="382"/>
      <c r="K114" s="382"/>
      <c r="L114" s="382"/>
      <c r="M114" s="383"/>
    </row>
    <row r="115" spans="3:13">
      <c r="C115" s="169"/>
      <c r="D115" s="169"/>
      <c r="E115" s="169"/>
      <c r="F115" s="169"/>
      <c r="G115" s="169"/>
      <c r="H115" s="169"/>
      <c r="I115" s="382"/>
      <c r="J115" s="382"/>
      <c r="K115" s="382"/>
      <c r="L115" s="382"/>
      <c r="M115" s="383"/>
    </row>
    <row r="116" spans="3:13">
      <c r="C116" s="169"/>
      <c r="D116" s="169"/>
      <c r="E116" s="169"/>
      <c r="F116" s="169"/>
      <c r="G116" s="169"/>
      <c r="H116" s="169"/>
      <c r="I116" s="382"/>
      <c r="J116" s="382"/>
      <c r="K116" s="382"/>
      <c r="L116" s="382"/>
      <c r="M116" s="383"/>
    </row>
    <row r="117" spans="3:13">
      <c r="C117" s="169"/>
      <c r="F117" s="169"/>
      <c r="G117" s="169"/>
      <c r="I117" s="382"/>
      <c r="J117" s="382"/>
      <c r="K117" s="382"/>
      <c r="L117" s="382"/>
      <c r="M117" s="383"/>
    </row>
    <row r="118" spans="3:13">
      <c r="C118" s="169"/>
      <c r="D118" s="169"/>
      <c r="E118" s="169"/>
      <c r="F118" s="169"/>
      <c r="G118" s="169"/>
      <c r="H118" s="169"/>
      <c r="I118" s="382"/>
      <c r="J118" s="382"/>
      <c r="K118" s="382"/>
      <c r="L118" s="382"/>
      <c r="M118" s="383"/>
    </row>
    <row r="119" spans="3:13">
      <c r="C119" s="169"/>
      <c r="D119" s="169"/>
      <c r="E119" s="169"/>
      <c r="F119" s="169"/>
      <c r="G119" s="169"/>
      <c r="H119" s="169"/>
      <c r="I119" s="382"/>
      <c r="J119" s="382"/>
      <c r="K119" s="382"/>
      <c r="L119" s="382"/>
      <c r="M119" s="383"/>
    </row>
    <row r="120" spans="3:13">
      <c r="C120" s="169"/>
      <c r="D120" s="169"/>
      <c r="E120" s="169"/>
      <c r="F120" s="169"/>
      <c r="G120" s="169"/>
      <c r="H120" s="169"/>
      <c r="I120" s="382"/>
      <c r="J120" s="382"/>
      <c r="K120" s="382"/>
      <c r="L120" s="382"/>
      <c r="M120" s="383"/>
    </row>
    <row r="121" spans="3:13">
      <c r="C121" s="169"/>
      <c r="D121" s="169"/>
      <c r="E121" s="169"/>
      <c r="F121" s="169"/>
      <c r="G121" s="169"/>
      <c r="H121" s="169"/>
      <c r="I121" s="382"/>
      <c r="J121" s="382"/>
      <c r="K121" s="382"/>
      <c r="L121" s="382"/>
      <c r="M121" s="383"/>
    </row>
    <row r="122" spans="3:13">
      <c r="C122" s="169"/>
      <c r="D122" s="169"/>
      <c r="E122" s="169"/>
      <c r="F122" s="169"/>
      <c r="G122" s="169"/>
      <c r="H122" s="169"/>
      <c r="I122" s="382"/>
      <c r="J122" s="382"/>
      <c r="K122" s="382"/>
      <c r="L122" s="382"/>
      <c r="M122" s="383"/>
    </row>
    <row r="123" spans="3:13">
      <c r="C123" s="169"/>
      <c r="D123" s="169"/>
      <c r="E123" s="169"/>
      <c r="F123" s="169"/>
      <c r="G123" s="169"/>
      <c r="H123" s="169"/>
      <c r="I123" s="382"/>
      <c r="J123" s="382"/>
      <c r="K123" s="382"/>
      <c r="L123" s="382"/>
      <c r="M123" s="383"/>
    </row>
    <row r="124" spans="3:13">
      <c r="C124" s="169"/>
      <c r="D124" s="169"/>
      <c r="E124" s="169"/>
      <c r="F124" s="169"/>
      <c r="G124" s="169"/>
      <c r="H124" s="169"/>
      <c r="I124" s="382"/>
      <c r="J124" s="382"/>
      <c r="K124" s="382"/>
      <c r="L124" s="382"/>
      <c r="M124" s="383"/>
    </row>
    <row r="125" spans="3:13">
      <c r="C125" s="169"/>
      <c r="D125" s="169"/>
      <c r="E125" s="169"/>
      <c r="F125" s="169"/>
      <c r="G125" s="169"/>
      <c r="H125" s="169"/>
      <c r="I125" s="382"/>
      <c r="J125" s="382"/>
      <c r="K125" s="382"/>
      <c r="L125" s="382"/>
      <c r="M125" s="383"/>
    </row>
    <row r="126" spans="3:13">
      <c r="C126" s="169"/>
      <c r="D126" s="169"/>
      <c r="E126" s="169"/>
      <c r="F126" s="169"/>
      <c r="G126" s="169"/>
      <c r="H126" s="169"/>
      <c r="I126" s="382"/>
      <c r="J126" s="382"/>
      <c r="K126" s="382"/>
      <c r="L126" s="382"/>
      <c r="M126" s="383"/>
    </row>
    <row r="127" spans="3:13">
      <c r="C127" s="169"/>
      <c r="D127" s="169"/>
      <c r="E127" s="169"/>
      <c r="F127" s="169"/>
      <c r="G127" s="169"/>
      <c r="H127" s="169"/>
      <c r="I127" s="382"/>
      <c r="J127" s="382"/>
      <c r="K127" s="382"/>
      <c r="L127" s="382"/>
      <c r="M127" s="383"/>
    </row>
    <row r="128" spans="3:13">
      <c r="C128" s="169"/>
      <c r="D128" s="169"/>
      <c r="E128" s="169"/>
      <c r="F128" s="169"/>
      <c r="G128" s="169"/>
      <c r="H128" s="169"/>
      <c r="I128" s="382"/>
      <c r="J128" s="382"/>
      <c r="K128" s="382"/>
      <c r="L128" s="382"/>
      <c r="M128" s="383"/>
    </row>
    <row r="129" spans="3:13">
      <c r="C129" s="169"/>
      <c r="D129" s="169"/>
      <c r="E129" s="169"/>
      <c r="F129" s="169"/>
      <c r="G129" s="169"/>
      <c r="H129" s="169"/>
      <c r="I129" s="382"/>
      <c r="J129" s="382"/>
      <c r="K129" s="382"/>
      <c r="L129" s="382"/>
      <c r="M129" s="383"/>
    </row>
    <row r="130" spans="3:13">
      <c r="C130" s="169"/>
      <c r="D130" s="169"/>
      <c r="E130" s="169"/>
      <c r="F130" s="169"/>
      <c r="G130" s="169"/>
      <c r="H130" s="169"/>
      <c r="I130" s="382"/>
      <c r="J130" s="382"/>
      <c r="K130" s="382"/>
      <c r="L130" s="382"/>
      <c r="M130" s="383"/>
    </row>
    <row r="131" spans="3:13">
      <c r="C131" s="169"/>
      <c r="D131" s="169"/>
      <c r="E131" s="169"/>
      <c r="F131" s="169"/>
      <c r="G131" s="169"/>
      <c r="H131" s="169"/>
      <c r="I131" s="382"/>
      <c r="J131" s="382"/>
      <c r="K131" s="382"/>
      <c r="L131" s="382"/>
      <c r="M131" s="383"/>
    </row>
    <row r="132" spans="3:13">
      <c r="C132" s="169"/>
      <c r="D132" s="169"/>
      <c r="E132" s="169"/>
      <c r="F132" s="169"/>
      <c r="G132" s="169"/>
      <c r="H132" s="169"/>
      <c r="I132" s="382"/>
      <c r="J132" s="382"/>
      <c r="K132" s="382"/>
      <c r="L132" s="382"/>
      <c r="M132" s="383"/>
    </row>
    <row r="133" spans="3:13">
      <c r="C133" s="169"/>
      <c r="D133" s="169"/>
      <c r="E133" s="169"/>
      <c r="F133" s="169"/>
      <c r="G133" s="169"/>
      <c r="H133" s="169"/>
      <c r="I133" s="382"/>
      <c r="J133" s="382"/>
      <c r="K133" s="382"/>
      <c r="L133" s="382"/>
      <c r="M133" s="383"/>
    </row>
    <row r="134" spans="3:13">
      <c r="C134" s="169"/>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9">
    <pageSetUpPr fitToPage="1"/>
  </sheetPr>
  <dimension ref="B1:V181"/>
  <sheetViews>
    <sheetView showGridLines="0" zoomScaleNormal="100" zoomScaleSheetLayoutView="100" workbookViewId="0">
      <selection activeCell="B2" sqref="B2"/>
    </sheetView>
  </sheetViews>
  <sheetFormatPr defaultColWidth="9.140625" defaultRowHeight="12.75"/>
  <cols>
    <col min="1" max="1" width="2.5703125" style="99" customWidth="1"/>
    <col min="2" max="2" width="4.42578125" style="99" customWidth="1"/>
    <col min="3" max="3" width="40.42578125" style="99" customWidth="1"/>
    <col min="4" max="7" width="9.42578125" style="99" customWidth="1"/>
    <col min="8" max="8" width="10.140625" style="99" customWidth="1"/>
    <col min="9" max="9" width="9.5703125" style="99" bestFit="1" customWidth="1"/>
    <col min="10" max="10" width="11.5703125" style="99" bestFit="1" customWidth="1"/>
    <col min="11" max="12" width="8.5703125" style="99" customWidth="1"/>
    <col min="13" max="13" width="15.42578125" style="99" customWidth="1"/>
    <col min="14" max="15" width="8.5703125" style="99" customWidth="1"/>
    <col min="16" max="18" width="9.140625" style="99"/>
    <col min="19" max="21" width="9.140625" style="52" customWidth="1"/>
    <col min="22" max="16384" width="9.140625" style="99"/>
  </cols>
  <sheetData>
    <row r="1" spans="2:22" s="52" customFormat="1" ht="15" customHeight="1">
      <c r="B1" s="51"/>
      <c r="C1" s="51"/>
      <c r="F1" s="158"/>
      <c r="G1" s="158"/>
    </row>
    <row r="2" spans="2:22" ht="24" customHeight="1">
      <c r="B2" s="8"/>
      <c r="C2" s="53" t="str">
        <f>IF(Indice_index!$Z$1=1,"14 - Execução Orçamental da Administração Local","14 - Local Government Budget Execution")</f>
        <v>14 - Local Government Budget Execution</v>
      </c>
      <c r="D2" s="53"/>
      <c r="E2" s="53"/>
      <c r="F2" s="53"/>
      <c r="G2" s="53"/>
      <c r="S2" s="83"/>
      <c r="U2" s="83"/>
    </row>
    <row r="3" spans="2:22" ht="15" customHeight="1">
      <c r="S3" s="83"/>
    </row>
    <row r="4" spans="2:22" ht="15" customHeight="1">
      <c r="S4" s="83"/>
    </row>
    <row r="5" spans="2:22" s="258" customFormat="1" ht="15" customHeight="1">
      <c r="C5" s="770" t="str">
        <f>+'4 - Conta AC + SS'!C5</f>
        <v>Period: January to December</v>
      </c>
      <c r="D5" s="1261"/>
      <c r="E5" s="1261"/>
      <c r="F5" s="1262"/>
      <c r="G5" s="967" t="str">
        <f>IF(Indice_index!$Z$1=1,"€ Milhões","€ Millions")</f>
        <v>€ Millions</v>
      </c>
      <c r="S5" s="256"/>
      <c r="T5" s="256"/>
      <c r="U5" s="256"/>
    </row>
    <row r="6" spans="2:22" ht="12.75" hidden="1" customHeight="1">
      <c r="C6" s="1069"/>
      <c r="D6" s="1263"/>
      <c r="E6" s="1263"/>
      <c r="F6" s="1263"/>
      <c r="G6" s="1263"/>
    </row>
    <row r="7" spans="2:22" ht="24" customHeight="1">
      <c r="C7" s="1619"/>
      <c r="D7" s="1621" t="str">
        <f>IF(Indice_index!$Z$1=1,"Execução Acumulada","Accumulated Execution")</f>
        <v>Accumulated Execution</v>
      </c>
      <c r="E7" s="1621"/>
      <c r="F7" s="1622" t="str">
        <f>IF(Indice_index!$Z$1=1,"Variação Homóloga Acumulada","YOY Change Rate (%)")</f>
        <v>YOY Change Rate (%)</v>
      </c>
      <c r="G7" s="1623"/>
    </row>
    <row r="8" spans="2:22" ht="37.5" customHeight="1">
      <c r="C8" s="1620"/>
      <c r="D8" s="1264">
        <v>2020</v>
      </c>
      <c r="E8" s="1264">
        <v>2021</v>
      </c>
      <c r="F8" s="1181" t="str">
        <f>IF(Indice_index!$Z$1=1,"TVH (%)","YOY Change Rate (%)")</f>
        <v>YOY Change Rate (%)</v>
      </c>
      <c r="G8" s="1164" t="str">
        <f>IF(Indice_index!$Z$1=1,"Contributo    VH (p.p.)","YOY Change Contrib. (p.p.)")</f>
        <v>YOY Change Contrib. (p.p.)</v>
      </c>
      <c r="H8" s="254"/>
      <c r="I8" s="254"/>
      <c r="J8"/>
    </row>
    <row r="9" spans="2:22" s="258" customFormat="1" ht="15" customHeight="1">
      <c r="C9" s="1265" t="str">
        <f>IF(Indice_index!$Z$1=1,"Receita corrente","Current revenue")</f>
        <v>Current revenue</v>
      </c>
      <c r="D9" s="1266">
        <v>7641.5278991693667</v>
      </c>
      <c r="E9" s="1266">
        <v>8382.9182774463061</v>
      </c>
      <c r="F9" s="310">
        <f t="shared" ref="F9:F20" si="0">IFERROR(IF(ABS((E9-D9)/D9)*100&gt;500,"n.r.",((E9-D9)/D9)*100),0)</f>
        <v>9.702122246488539</v>
      </c>
      <c r="G9" s="162">
        <f>IFERROR((E9-D9)/D44*100,"-")</f>
        <v>8.6588084436404085</v>
      </c>
      <c r="H9" s="469"/>
      <c r="I9" s="469"/>
      <c r="J9" s="470"/>
      <c r="K9" s="469"/>
      <c r="L9" s="310"/>
      <c r="M9" s="319"/>
      <c r="N9" s="319"/>
      <c r="O9" s="162"/>
      <c r="P9" s="162"/>
      <c r="Q9" s="320"/>
      <c r="R9" s="320"/>
      <c r="S9" s="321"/>
      <c r="T9" s="321"/>
      <c r="U9" s="321"/>
      <c r="V9" s="322"/>
    </row>
    <row r="10" spans="2:22" ht="15" customHeight="1">
      <c r="C10" s="1267" t="str">
        <f>IF(Indice_index!$Z$1=1,"Receita Fiscal","Tax income")</f>
        <v>Tax income</v>
      </c>
      <c r="D10" s="1268">
        <v>3154.055907357837</v>
      </c>
      <c r="E10" s="1268">
        <v>3468.7675074679519</v>
      </c>
      <c r="F10" s="1083">
        <f t="shared" si="0"/>
        <v>9.9779968825520857</v>
      </c>
      <c r="G10" s="1269">
        <f>IFERROR((E10-D10)/D44*100,"-")</f>
        <v>3.6755635629885908</v>
      </c>
      <c r="H10" s="469"/>
      <c r="I10" s="469"/>
      <c r="J10" s="470"/>
      <c r="K10" s="221"/>
      <c r="L10" s="159"/>
      <c r="M10" s="160"/>
      <c r="N10" s="160"/>
      <c r="O10" s="161"/>
      <c r="P10" s="162"/>
      <c r="Q10" s="163"/>
      <c r="R10" s="163"/>
      <c r="S10" s="164"/>
      <c r="T10" s="164"/>
      <c r="U10" s="164"/>
      <c r="V10" s="114"/>
    </row>
    <row r="11" spans="2:22" ht="15" customHeight="1">
      <c r="C11" s="1267" t="str">
        <f>IF(Indice_index!$Z$1=1,"Impostos diretos","Direct taxes")</f>
        <v>Direct taxes</v>
      </c>
      <c r="D11" s="1268">
        <v>3113.4311379647793</v>
      </c>
      <c r="E11" s="1268">
        <v>3439.5752852461551</v>
      </c>
      <c r="F11" s="1083">
        <f t="shared" si="0"/>
        <v>10.475392993421822</v>
      </c>
      <c r="G11" s="1269">
        <f>IFERROR((E11-D11)/D44*100,"-")</f>
        <v>3.8090859809742388</v>
      </c>
      <c r="H11" s="469"/>
      <c r="I11" s="469"/>
      <c r="J11" s="470"/>
      <c r="K11" s="221"/>
      <c r="L11" s="159"/>
      <c r="M11" s="160"/>
      <c r="N11" s="160"/>
      <c r="O11" s="161"/>
      <c r="P11" s="162"/>
      <c r="Q11" s="163"/>
      <c r="R11" s="163"/>
      <c r="S11" s="164"/>
      <c r="T11" s="164"/>
      <c r="U11" s="164"/>
      <c r="V11" s="114"/>
    </row>
    <row r="12" spans="2:22" ht="15" customHeight="1">
      <c r="C12" s="1270" t="str">
        <f>IF(Indice_index!$Z$1=1,"Imposto Municipal sobre Transmissões","Municipal Property Transfer Tax")</f>
        <v>Municipal Property Transfer Tax</v>
      </c>
      <c r="D12" s="1268">
        <v>983.1648881581566</v>
      </c>
      <c r="E12" s="1268">
        <v>1354.4899717055164</v>
      </c>
      <c r="F12" s="1083">
        <f t="shared" si="0"/>
        <v>37.768342626941603</v>
      </c>
      <c r="G12" s="1269">
        <f>IFERROR((E12-D12)/D44*100,"-")</f>
        <v>4.3367608522622874</v>
      </c>
      <c r="H12" s="469"/>
      <c r="I12" s="469"/>
      <c r="J12" s="470"/>
      <c r="K12" s="221"/>
      <c r="L12" s="159"/>
      <c r="M12" s="160"/>
      <c r="N12" s="160"/>
      <c r="O12" s="161"/>
      <c r="P12" s="162"/>
      <c r="Q12" s="163"/>
      <c r="R12" s="163"/>
      <c r="S12" s="164"/>
      <c r="T12" s="164"/>
      <c r="U12" s="164"/>
      <c r="V12" s="114"/>
    </row>
    <row r="13" spans="2:22" ht="15" customHeight="1">
      <c r="C13" s="1270" t="str">
        <f>IF(Indice_index!$Z$1=1,"Imposto Municipal sobre Imóveis","Municipal Real Estate Tax")</f>
        <v>Municipal Real Estate Tax</v>
      </c>
      <c r="D13" s="1268">
        <v>1497.8197261700277</v>
      </c>
      <c r="E13" s="1268">
        <v>1494.3253058332884</v>
      </c>
      <c r="F13" s="1083">
        <f t="shared" si="0"/>
        <v>-0.23330046171007576</v>
      </c>
      <c r="G13" s="1269">
        <f>IFERROR((E13-D13)/D44*100,"-")</f>
        <v>-4.0811854596370711E-2</v>
      </c>
      <c r="H13" s="469"/>
      <c r="I13" s="469"/>
      <c r="J13" s="470"/>
      <c r="K13" s="221"/>
      <c r="L13" s="159"/>
      <c r="M13" s="160"/>
      <c r="N13" s="160"/>
      <c r="O13" s="161"/>
      <c r="P13" s="162"/>
      <c r="Q13" s="163"/>
      <c r="R13" s="163"/>
      <c r="S13" s="164"/>
      <c r="T13" s="164"/>
      <c r="U13" s="164"/>
      <c r="V13" s="114"/>
    </row>
    <row r="14" spans="2:22" ht="15" customHeight="1">
      <c r="C14" s="1270" t="str">
        <f>IF(Indice_index!$Z$1=1,"Imposto Único de Circulação","Municipal Vehicle Tax")</f>
        <v>Municipal Vehicle Tax</v>
      </c>
      <c r="D14" s="1268">
        <v>283.65511415452016</v>
      </c>
      <c r="E14" s="1268">
        <v>292.18217639343118</v>
      </c>
      <c r="F14" s="1083">
        <f t="shared" si="0"/>
        <v>3.0061373172584247</v>
      </c>
      <c r="G14" s="1269">
        <f>IFERROR((E14-D14)/D44*100,"-")</f>
        <v>9.9588827528794707E-2</v>
      </c>
      <c r="H14" s="469"/>
      <c r="I14" s="469"/>
      <c r="J14" s="470"/>
      <c r="K14" s="221"/>
      <c r="L14" s="159"/>
      <c r="M14" s="160"/>
      <c r="N14" s="160"/>
      <c r="O14" s="161"/>
      <c r="P14" s="162"/>
      <c r="Q14" s="163"/>
      <c r="R14" s="163"/>
      <c r="S14" s="164"/>
      <c r="T14" s="164"/>
      <c r="U14" s="164"/>
      <c r="V14" s="114"/>
    </row>
    <row r="15" spans="2:22" ht="15" customHeight="1">
      <c r="C15" s="1270" t="str">
        <f>IF(Indice_index!$Z$1=1,"Derrama","Overtax")</f>
        <v>Overtax</v>
      </c>
      <c r="D15" s="1268">
        <v>347.26825961986884</v>
      </c>
      <c r="E15" s="1268">
        <v>297.55701597207349</v>
      </c>
      <c r="F15" s="1083">
        <f t="shared" si="0"/>
        <v>-14.314940185495473</v>
      </c>
      <c r="G15" s="1269">
        <f>IFERROR((E15-D15)/D44*100,"-")</f>
        <v>-0.58058500467969276</v>
      </c>
      <c r="H15" s="469"/>
      <c r="I15" s="469"/>
      <c r="J15" s="470"/>
      <c r="K15" s="221"/>
      <c r="L15" s="159"/>
      <c r="M15" s="160"/>
      <c r="N15" s="160"/>
      <c r="O15" s="161"/>
      <c r="P15" s="162"/>
      <c r="Q15" s="163"/>
      <c r="R15" s="163"/>
      <c r="S15" s="164"/>
      <c r="T15" s="164"/>
      <c r="U15" s="164"/>
      <c r="V15" s="114"/>
    </row>
    <row r="16" spans="2:22" ht="15" customHeight="1">
      <c r="C16" s="1270" t="str">
        <f>IF(Indice_index!$Z$1=1,"Outros ","Others")</f>
        <v>Others</v>
      </c>
      <c r="D16" s="1268">
        <v>1.5231498622059769</v>
      </c>
      <c r="E16" s="1268">
        <v>1.0208153418456274</v>
      </c>
      <c r="F16" s="1083">
        <f t="shared" si="0"/>
        <v>-32.979980028545505</v>
      </c>
      <c r="G16" s="1269">
        <f>IFERROR((E16-D16)/D44*100,"-")</f>
        <v>-5.8668395407790019E-3</v>
      </c>
      <c r="H16" s="469"/>
      <c r="I16" s="469"/>
      <c r="J16" s="470"/>
      <c r="K16" s="221"/>
      <c r="L16" s="159"/>
      <c r="M16" s="160"/>
      <c r="N16" s="160"/>
      <c r="O16" s="161"/>
      <c r="P16" s="162"/>
      <c r="Q16" s="163"/>
      <c r="R16" s="163"/>
      <c r="S16" s="164"/>
      <c r="T16" s="164"/>
      <c r="U16" s="164"/>
      <c r="V16" s="114"/>
    </row>
    <row r="17" spans="3:22" ht="15" customHeight="1">
      <c r="C17" s="1267" t="str">
        <f>IF(Indice_index!$Z$1=1,"Impostos indiretos","Indirect taxes")</f>
        <v>Indirect taxes</v>
      </c>
      <c r="D17" s="1268">
        <v>40.624769393057925</v>
      </c>
      <c r="E17" s="1268">
        <v>29.192222221796658</v>
      </c>
      <c r="F17" s="1083">
        <f t="shared" si="0"/>
        <v>-28.14181432181838</v>
      </c>
      <c r="G17" s="1269">
        <f>IFERROR((E17-D17)/D44*100,"-")</f>
        <v>-0.13352241798565223</v>
      </c>
      <c r="H17" s="469"/>
      <c r="I17" s="469"/>
      <c r="J17" s="470"/>
      <c r="K17" s="221"/>
      <c r="L17" s="159"/>
      <c r="M17" s="160"/>
      <c r="N17" s="160"/>
      <c r="O17" s="161"/>
      <c r="P17" s="162"/>
      <c r="Q17" s="163"/>
      <c r="R17" s="163"/>
      <c r="S17" s="164"/>
      <c r="T17" s="164"/>
      <c r="U17" s="164"/>
      <c r="V17" s="114"/>
    </row>
    <row r="18" spans="3:22" ht="15" customHeight="1">
      <c r="C18" s="1267" t="str">
        <f>IF(Indice_index!$Z$1=1,"Taxas, Multas e Outras Penalidades","Taxes, fines and other penalties")</f>
        <v>Taxes, fines and other penalties</v>
      </c>
      <c r="D18" s="1268">
        <v>303.84942175441063</v>
      </c>
      <c r="E18" s="1268">
        <v>364.18955424628723</v>
      </c>
      <c r="F18" s="1083">
        <f t="shared" si="0"/>
        <v>19.858564200476618</v>
      </c>
      <c r="G18" s="1269">
        <f>IFERROR((E18-D18)/D44*100,"-")</f>
        <v>0.70472137758965758</v>
      </c>
      <c r="H18" s="469"/>
      <c r="I18" s="469"/>
      <c r="J18" s="470"/>
      <c r="K18" s="221"/>
      <c r="L18" s="159"/>
      <c r="M18" s="160"/>
      <c r="N18" s="160"/>
      <c r="O18" s="161"/>
      <c r="P18" s="162"/>
      <c r="Q18" s="163"/>
      <c r="R18" s="163"/>
      <c r="S18" s="164"/>
      <c r="T18" s="164"/>
      <c r="U18" s="164"/>
      <c r="V18" s="114"/>
    </row>
    <row r="19" spans="3:22" ht="15" customHeight="1">
      <c r="C19" s="1267" t="str">
        <f>IF(Indice_index!$Z$1=1,"Transferências Correntes","Current transfers")</f>
        <v>Current transfers</v>
      </c>
      <c r="D19" s="1268">
        <v>3044.1036210734719</v>
      </c>
      <c r="E19" s="1268">
        <v>3371.1455107592528</v>
      </c>
      <c r="F19" s="1083">
        <f t="shared" si="0"/>
        <v>10.74345457302314</v>
      </c>
      <c r="G19" s="1269">
        <f>IFERROR((E19-D19)/D44*100,"-")</f>
        <v>3.8195708479744601</v>
      </c>
      <c r="H19" s="469"/>
      <c r="I19" s="469"/>
      <c r="J19" s="470"/>
      <c r="K19" s="221"/>
      <c r="L19" s="159"/>
      <c r="M19" s="160"/>
      <c r="N19" s="160"/>
      <c r="O19" s="161"/>
      <c r="P19" s="162"/>
      <c r="Q19" s="163"/>
      <c r="R19" s="163"/>
      <c r="S19" s="164"/>
      <c r="T19" s="164"/>
      <c r="U19" s="164"/>
      <c r="V19" s="114"/>
    </row>
    <row r="20" spans="3:22" ht="15" customHeight="1">
      <c r="C20" s="1084" t="str">
        <f>IF(Indice_index!$Z$1=1,"Administração Central","Central Administration")</f>
        <v>Central Administration</v>
      </c>
      <c r="D20" s="1268">
        <v>2962.4682528912663</v>
      </c>
      <c r="E20" s="1268">
        <v>3271.7773154512724</v>
      </c>
      <c r="F20" s="1083">
        <f t="shared" si="0"/>
        <v>10.440924126634311</v>
      </c>
      <c r="G20" s="1269">
        <f>IFERROR((E20-D20)/D44*100,"-")</f>
        <v>3.6124665237948994</v>
      </c>
      <c r="H20" s="469"/>
      <c r="I20" s="469"/>
      <c r="J20" s="470"/>
      <c r="K20" s="221"/>
      <c r="L20" s="159"/>
      <c r="M20" s="160"/>
      <c r="N20" s="160"/>
      <c r="O20" s="161"/>
      <c r="P20" s="162"/>
      <c r="Q20" s="163"/>
      <c r="R20" s="163"/>
      <c r="S20" s="164"/>
      <c r="T20" s="164"/>
      <c r="U20" s="164"/>
      <c r="V20" s="114"/>
    </row>
    <row r="21" spans="3:22" ht="15" customHeight="1">
      <c r="C21" s="1271"/>
      <c r="D21" s="1268">
        <v>501.03472342126634</v>
      </c>
      <c r="E21" s="1268">
        <v>634.41666045127249</v>
      </c>
      <c r="F21" s="1083"/>
      <c r="G21" s="1269"/>
      <c r="H21" s="469"/>
      <c r="I21" s="469"/>
      <c r="J21" s="470"/>
      <c r="K21" s="221"/>
      <c r="L21" s="159"/>
      <c r="M21" s="160"/>
      <c r="N21" s="160"/>
      <c r="O21" s="161"/>
      <c r="P21" s="162"/>
      <c r="Q21" s="163"/>
      <c r="R21" s="163"/>
      <c r="S21" s="164"/>
      <c r="T21" s="164"/>
      <c r="U21" s="164"/>
      <c r="V21" s="114"/>
    </row>
    <row r="22" spans="3:22" ht="15" customHeight="1">
      <c r="C22" s="998" t="str">
        <f>IF(Indice_index!$Z$1=1,"Transferências do OE","State Budget transfers")</f>
        <v>State Budget transfers</v>
      </c>
      <c r="D22" s="1268">
        <v>2461.4335294699999</v>
      </c>
      <c r="E22" s="1268">
        <v>2637.360655</v>
      </c>
      <c r="F22" s="1083">
        <f t="shared" ref="F22:F34" si="1">IFERROR(IF(ABS((E22-D22)/D22)*100&gt;500,"n.r.",((E22-D22)/D22)*100),0)</f>
        <v>7.1473441563088214</v>
      </c>
      <c r="G22" s="1269">
        <f>IFERROR((E22-D22)/D44*100,"-")</f>
        <v>2.0546790525456866</v>
      </c>
      <c r="H22" s="469"/>
      <c r="I22" s="469"/>
      <c r="J22" s="470"/>
      <c r="K22" s="221"/>
      <c r="L22" s="159"/>
      <c r="M22" s="160"/>
      <c r="N22" s="160"/>
      <c r="O22" s="161"/>
      <c r="P22" s="162"/>
      <c r="Q22" s="163"/>
      <c r="R22" s="163"/>
      <c r="S22" s="164"/>
      <c r="T22" s="164"/>
      <c r="U22" s="164"/>
      <c r="V22" s="114"/>
    </row>
    <row r="23" spans="3:22" ht="15" customHeight="1">
      <c r="C23" s="1272" t="str">
        <f>IF(Indice_index!$Z$1=1,"Fundo de Equilíbrio Financeiro","Financial Balance Fund")</f>
        <v>Financial Balance Fund</v>
      </c>
      <c r="D23" s="1268">
        <v>1797.1262202400001</v>
      </c>
      <c r="E23" s="1268">
        <v>1941.8446750000001</v>
      </c>
      <c r="F23" s="1083">
        <f t="shared" si="1"/>
        <v>8.0527707586767789</v>
      </c>
      <c r="G23" s="1269">
        <f>IFERROR((E23-D23)/D44*100,"-")</f>
        <v>1.6901883471144814</v>
      </c>
      <c r="H23" s="469"/>
      <c r="I23" s="469"/>
      <c r="J23" s="470"/>
      <c r="K23" s="221"/>
      <c r="L23" s="159"/>
      <c r="M23" s="160"/>
      <c r="N23" s="160"/>
      <c r="O23" s="161"/>
      <c r="P23" s="162"/>
      <c r="Q23" s="163"/>
      <c r="R23" s="163"/>
      <c r="S23" s="164"/>
      <c r="T23" s="164"/>
      <c r="U23" s="164"/>
      <c r="V23" s="114"/>
    </row>
    <row r="24" spans="3:22" ht="15" customHeight="1">
      <c r="C24" s="1272" t="str">
        <f>IF(Indice_index!$Z$1=1,"Fundo Social Municipal","Municipal Social Fund")</f>
        <v>Municipal Social Fund</v>
      </c>
      <c r="D24" s="1268">
        <v>163.32596699999999</v>
      </c>
      <c r="E24" s="1268">
        <v>163.32596699999999</v>
      </c>
      <c r="F24" s="1083">
        <f t="shared" si="1"/>
        <v>0</v>
      </c>
      <c r="G24" s="1269">
        <f>IFERROR((E24-D24)/D44*100,"-")</f>
        <v>0</v>
      </c>
      <c r="H24" s="469"/>
      <c r="I24" s="469"/>
      <c r="J24" s="470"/>
      <c r="K24" s="221"/>
      <c r="L24" s="159"/>
      <c r="M24" s="160"/>
      <c r="N24" s="160"/>
      <c r="O24" s="161"/>
      <c r="P24" s="162"/>
      <c r="Q24" s="163"/>
      <c r="R24" s="163"/>
      <c r="S24" s="164"/>
      <c r="T24" s="164"/>
      <c r="U24" s="164"/>
      <c r="V24" s="114"/>
    </row>
    <row r="25" spans="3:22" ht="15" customHeight="1">
      <c r="C25" s="1272" t="str">
        <f>IF(Indice_index!$Z$1=1,"Participação IRS","Personal income tax (IRS) participation")</f>
        <v>Personal income tax (IRS) participation</v>
      </c>
      <c r="D25" s="1268">
        <v>438.82327627999996</v>
      </c>
      <c r="E25" s="1268">
        <v>475.18479500000001</v>
      </c>
      <c r="F25" s="1083">
        <f t="shared" si="1"/>
        <v>8.2861417535196686</v>
      </c>
      <c r="G25" s="1269">
        <f>IFERROR((E25-D25)/D44*100,"-")</f>
        <v>0.42467158266615229</v>
      </c>
      <c r="H25" s="469"/>
      <c r="I25" s="469"/>
      <c r="J25" s="470"/>
      <c r="K25" s="221"/>
      <c r="L25" s="159"/>
      <c r="M25" s="160"/>
      <c r="N25" s="160"/>
      <c r="O25" s="161"/>
      <c r="P25" s="162"/>
      <c r="Q25" s="163"/>
      <c r="R25" s="163"/>
      <c r="S25" s="164"/>
      <c r="T25" s="164"/>
      <c r="U25" s="165"/>
      <c r="V25" s="114"/>
    </row>
    <row r="26" spans="3:22" ht="15" customHeight="1">
      <c r="C26" s="1272" t="str">
        <f>IF(Indice_index!$Z$1=1,"Participação no IVA","Value-added tax (IVA) participation")</f>
        <v>Value-added tax (IVA) participation</v>
      </c>
      <c r="D26" s="1268">
        <v>62.158065950000001</v>
      </c>
      <c r="E26" s="1268">
        <v>57.005217999999999</v>
      </c>
      <c r="F26" s="1083">
        <f t="shared" ref="F26" si="2">IFERROR(IF(ABS((E26-D26)/D26)*100&gt;500,"n.r.",((E26-D26)/D26)*100),0)</f>
        <v>-8.2899103619873831</v>
      </c>
      <c r="G26" s="1269">
        <f>IFERROR((E26-D26)/D44*100,"-")</f>
        <v>-6.0180877234946709E-2</v>
      </c>
      <c r="H26" s="469"/>
      <c r="I26" s="469"/>
      <c r="J26" s="470"/>
      <c r="K26" s="221"/>
      <c r="L26" s="159"/>
      <c r="M26" s="160"/>
      <c r="N26" s="160"/>
      <c r="O26" s="161"/>
      <c r="P26" s="162"/>
      <c r="Q26" s="163"/>
      <c r="R26" s="163"/>
      <c r="S26" s="164"/>
      <c r="T26" s="164"/>
      <c r="U26" s="165"/>
      <c r="V26" s="114"/>
    </row>
    <row r="27" spans="3:22" ht="15" customHeight="1">
      <c r="C27" s="1270" t="str">
        <f>IF(Indice_index!$Z$1=1,"Outros subsectores das AP","Other General Government subsectors")</f>
        <v>Other General Government subsectors</v>
      </c>
      <c r="D27" s="1268">
        <v>6.2028807600003057</v>
      </c>
      <c r="E27" s="1268">
        <v>7.8101239800003057</v>
      </c>
      <c r="F27" s="1083">
        <f t="shared" si="1"/>
        <v>25.911238377568306</v>
      </c>
      <c r="G27" s="1269">
        <f>IFERROR((E27-D27)/D44*100,"-")</f>
        <v>1.8771232500567073E-2</v>
      </c>
      <c r="H27" s="469"/>
      <c r="I27" s="469"/>
      <c r="J27" s="470"/>
      <c r="K27" s="221"/>
      <c r="L27" s="159"/>
      <c r="M27" s="160"/>
      <c r="N27" s="160"/>
      <c r="O27" s="161"/>
      <c r="P27" s="162"/>
      <c r="Q27" s="163"/>
      <c r="R27" s="163"/>
      <c r="S27" s="164"/>
      <c r="T27" s="164"/>
      <c r="U27" s="164"/>
      <c r="V27" s="114"/>
    </row>
    <row r="28" spans="3:22" ht="15" customHeight="1">
      <c r="C28" s="1270" t="str">
        <f>IF(Indice_index!$Z$1=1,"União Europeia","European Union")</f>
        <v>European Union</v>
      </c>
      <c r="D28" s="1268">
        <v>56.825356100402274</v>
      </c>
      <c r="E28" s="1268">
        <v>72.272814652748337</v>
      </c>
      <c r="F28" s="1083">
        <f t="shared" si="1"/>
        <v>27.184094588078977</v>
      </c>
      <c r="G28" s="1269">
        <f>IFERROR((E28-D28)/D44*100,"-")</f>
        <v>0.18041316486558964</v>
      </c>
      <c r="H28" s="469"/>
      <c r="I28" s="469"/>
      <c r="J28" s="470"/>
      <c r="K28" s="221"/>
      <c r="L28" s="159"/>
      <c r="M28" s="160"/>
      <c r="N28" s="160"/>
      <c r="O28" s="161"/>
      <c r="P28" s="162"/>
      <c r="Q28" s="163"/>
      <c r="R28" s="163"/>
      <c r="S28" s="164"/>
      <c r="T28" s="164"/>
      <c r="U28" s="164"/>
      <c r="V28" s="114"/>
    </row>
    <row r="29" spans="3:22" ht="15" customHeight="1">
      <c r="C29" s="1270" t="str">
        <f>IF(Indice_index!$Z$1=1,"Outras transferências","Other transfers")</f>
        <v>Other transfers</v>
      </c>
      <c r="D29" s="1268">
        <v>18.607131321803308</v>
      </c>
      <c r="E29" s="1268">
        <v>19.28525667523175</v>
      </c>
      <c r="F29" s="1083">
        <f t="shared" si="1"/>
        <v>3.6444379399517306</v>
      </c>
      <c r="G29" s="1269">
        <f>IFERROR((E29-D29)/D44*100,"-")</f>
        <v>7.9199268134007104E-3</v>
      </c>
      <c r="H29" s="469"/>
      <c r="I29" s="469"/>
      <c r="J29" s="470"/>
      <c r="K29" s="221"/>
      <c r="L29" s="159"/>
      <c r="M29" s="160"/>
      <c r="N29" s="160"/>
      <c r="O29" s="161"/>
      <c r="P29" s="162"/>
      <c r="Q29" s="163"/>
      <c r="R29" s="163"/>
      <c r="S29" s="164"/>
      <c r="T29" s="164"/>
      <c r="U29" s="164"/>
      <c r="V29" s="114"/>
    </row>
    <row r="30" spans="3:22" ht="15" customHeight="1">
      <c r="C30" s="1267" t="str">
        <f>IF(Indice_index!$Z$1=1,"Outras receitas correntes","Other current revenue")</f>
        <v>Other current revenue</v>
      </c>
      <c r="D30" s="1268">
        <v>1139.5189489836469</v>
      </c>
      <c r="E30" s="1268">
        <v>1178.8157049728138</v>
      </c>
      <c r="F30" s="1083">
        <f t="shared" si="1"/>
        <v>3.4485390545033328</v>
      </c>
      <c r="G30" s="1269">
        <f>IFERROR((E30-D30)/D44*100,"-")</f>
        <v>0.45895265508770022</v>
      </c>
      <c r="H30" s="469"/>
      <c r="I30" s="469"/>
      <c r="J30" s="470"/>
      <c r="K30" s="221"/>
      <c r="L30" s="159"/>
      <c r="M30" s="160"/>
      <c r="N30" s="160"/>
      <c r="O30" s="161"/>
      <c r="P30" s="162"/>
      <c r="Q30" s="163"/>
      <c r="R30" s="163"/>
      <c r="S30" s="164"/>
      <c r="T30" s="164"/>
      <c r="U30" s="164"/>
      <c r="V30" s="114"/>
    </row>
    <row r="31" spans="3:22" s="258" customFormat="1" ht="15" customHeight="1">
      <c r="C31" s="1273" t="str">
        <f>IF(Indice_index!$Z$1=1,"Receita de capital","Capital revenue")</f>
        <v>Capital revenue</v>
      </c>
      <c r="D31" s="1266">
        <v>920.74002837053206</v>
      </c>
      <c r="E31" s="1266">
        <v>1158.724687176518</v>
      </c>
      <c r="F31" s="310">
        <f t="shared" si="1"/>
        <v>25.847106835048361</v>
      </c>
      <c r="G31" s="162">
        <f>IFERROR((E31-D31)/D44*100,"-")</f>
        <v>2.7794582092032649</v>
      </c>
      <c r="H31" s="469"/>
      <c r="I31" s="469"/>
      <c r="J31" s="470"/>
      <c r="K31" s="318"/>
      <c r="L31" s="310"/>
      <c r="M31" s="319"/>
      <c r="N31" s="319"/>
      <c r="O31" s="162"/>
      <c r="P31" s="162"/>
      <c r="Q31" s="320"/>
      <c r="R31" s="320"/>
      <c r="S31" s="321"/>
      <c r="T31" s="321"/>
      <c r="U31" s="321"/>
      <c r="V31" s="322"/>
    </row>
    <row r="32" spans="3:22" ht="15" customHeight="1">
      <c r="C32" s="1267" t="str">
        <f>IF(Indice_index!$Z$1=1,"Venda de Bens de Investimento","Sale of investment goods")</f>
        <v>Sale of investment goods</v>
      </c>
      <c r="D32" s="1268">
        <v>67.0664357084447</v>
      </c>
      <c r="E32" s="1268">
        <v>88.058265811778824</v>
      </c>
      <c r="F32" s="1083">
        <f t="shared" si="1"/>
        <v>31.300053270448259</v>
      </c>
      <c r="G32" s="1269">
        <f>IFERROR((E32-D32)/D44*100,"-")</f>
        <v>0.24516670444071786</v>
      </c>
      <c r="H32" s="469"/>
      <c r="I32" s="469"/>
      <c r="J32" s="470"/>
      <c r="K32" s="221"/>
      <c r="L32" s="159"/>
      <c r="M32" s="160"/>
      <c r="N32" s="160"/>
      <c r="O32" s="161"/>
      <c r="P32" s="162"/>
      <c r="Q32" s="163"/>
      <c r="R32" s="163"/>
      <c r="S32" s="164"/>
      <c r="T32" s="164"/>
      <c r="U32" s="164"/>
      <c r="V32" s="114"/>
    </row>
    <row r="33" spans="3:22" ht="15" customHeight="1">
      <c r="C33" s="1267" t="str">
        <f>IF(Indice_index!$Z$1=1,"Transferências de Capital","Capital transfers")</f>
        <v>Capital transfers</v>
      </c>
      <c r="D33" s="1268">
        <v>834.71049278454348</v>
      </c>
      <c r="E33" s="1268">
        <v>1056.5791369830019</v>
      </c>
      <c r="F33" s="1083">
        <f t="shared" si="1"/>
        <v>26.580310912148491</v>
      </c>
      <c r="G33" s="1269">
        <f>IFERROR((E33-D33)/D44*100,"-")</f>
        <v>2.5912368787810816</v>
      </c>
      <c r="H33" s="469"/>
      <c r="I33" s="469"/>
      <c r="J33" s="470"/>
      <c r="K33" s="221"/>
      <c r="L33" s="159"/>
      <c r="M33" s="160"/>
      <c r="N33" s="160"/>
      <c r="O33" s="161"/>
      <c r="P33" s="162"/>
      <c r="Q33" s="163"/>
      <c r="R33" s="163"/>
      <c r="S33" s="164"/>
      <c r="T33" s="164"/>
      <c r="U33" s="164"/>
      <c r="V33" s="114"/>
    </row>
    <row r="34" spans="3:22" ht="15" customHeight="1">
      <c r="C34" s="1084" t="str">
        <f>IF(Indice_index!$Z$1=1,"Administração Central","Central Administration")</f>
        <v>Central Administration</v>
      </c>
      <c r="D34" s="1268">
        <v>403.1487779369819</v>
      </c>
      <c r="E34" s="1268">
        <v>446.95849219275777</v>
      </c>
      <c r="F34" s="1083">
        <f t="shared" si="1"/>
        <v>10.866885044266208</v>
      </c>
      <c r="G34" s="1269">
        <f>IFERROR((E34-D34)/D44*100,"-")</f>
        <v>0.5116601655837606</v>
      </c>
      <c r="H34" s="469"/>
      <c r="I34" s="469"/>
      <c r="J34" s="470"/>
      <c r="K34" s="221"/>
      <c r="L34" s="159"/>
      <c r="M34" s="160"/>
      <c r="N34" s="160"/>
      <c r="O34" s="161"/>
      <c r="P34" s="162"/>
      <c r="Q34" s="163"/>
      <c r="R34" s="163"/>
      <c r="S34" s="164"/>
      <c r="T34" s="164"/>
      <c r="U34" s="164"/>
      <c r="V34" s="114"/>
    </row>
    <row r="35" spans="3:22" ht="15" customHeight="1">
      <c r="C35" s="1271" t="str">
        <f>IF(Indice_index!$Z$1=1,"das quais:","of which:")</f>
        <v>of which:</v>
      </c>
      <c r="D35" s="1268">
        <v>51.902463566981908</v>
      </c>
      <c r="E35" s="1268">
        <v>59.684280042757791</v>
      </c>
      <c r="F35" s="1083"/>
      <c r="G35" s="1269"/>
      <c r="H35" s="469"/>
      <c r="I35" s="469"/>
      <c r="J35" s="470"/>
      <c r="K35" s="221"/>
      <c r="L35" s="159"/>
      <c r="M35" s="160"/>
      <c r="N35" s="160"/>
      <c r="O35" s="161"/>
      <c r="P35" s="162"/>
      <c r="Q35" s="163"/>
      <c r="R35" s="163"/>
      <c r="S35" s="164"/>
      <c r="T35" s="164"/>
      <c r="U35" s="164"/>
      <c r="V35" s="114"/>
    </row>
    <row r="36" spans="3:22" ht="15" customHeight="1">
      <c r="C36" s="998" t="str">
        <f>IF(Indice_index!$Z$1=1,"Transferências do OE","State Budget transfers")</f>
        <v>State Budget transfers</v>
      </c>
      <c r="D36" s="1268">
        <v>351.24631436999999</v>
      </c>
      <c r="E36" s="1268">
        <v>387.27421214999998</v>
      </c>
      <c r="F36" s="1083">
        <f t="shared" ref="F36:F42" si="3">IFERROR(IF(ABS((E36-D36)/D36)*100&gt;500,"n.r.",((E36-D36)/D36)*100),0)</f>
        <v>10.257160376079703</v>
      </c>
      <c r="G36" s="1269">
        <f>IFERROR((E36-D36)/D44*100,"-")</f>
        <v>0.42077517411151</v>
      </c>
      <c r="H36" s="469"/>
      <c r="I36" s="469"/>
      <c r="J36" s="470"/>
      <c r="K36" s="221"/>
      <c r="L36" s="159"/>
      <c r="M36" s="160"/>
      <c r="N36" s="160"/>
      <c r="O36" s="161"/>
      <c r="P36" s="162"/>
      <c r="Q36" s="163"/>
      <c r="R36" s="163"/>
      <c r="S36" s="164"/>
      <c r="T36" s="164"/>
      <c r="U36" s="164"/>
      <c r="V36" s="114"/>
    </row>
    <row r="37" spans="3:22" ht="15" customHeight="1">
      <c r="C37" s="1272" t="str">
        <f>IF(Indice_index!$Z$1=1,"Fundo de Equilíbrio Financeiro","Financial Balance Fund")</f>
        <v>Financial Balance Fund</v>
      </c>
      <c r="D37" s="1268">
        <v>204.37288637</v>
      </c>
      <c r="E37" s="1268">
        <v>220.69769314999999</v>
      </c>
      <c r="F37" s="1083">
        <f t="shared" si="3"/>
        <v>7.9877556509356591</v>
      </c>
      <c r="G37" s="1269">
        <f>IFERROR((E37-D37)/D44*100,"-")</f>
        <v>0.19065984524371704</v>
      </c>
      <c r="H37" s="469"/>
      <c r="I37" s="469"/>
      <c r="J37" s="470"/>
      <c r="K37" s="221"/>
      <c r="L37" s="159"/>
      <c r="M37" s="160"/>
      <c r="N37" s="160"/>
      <c r="O37" s="161"/>
      <c r="P37" s="162"/>
      <c r="Q37" s="163"/>
      <c r="R37" s="163"/>
      <c r="S37" s="164"/>
      <c r="T37" s="164"/>
      <c r="U37" s="164"/>
      <c r="V37" s="114"/>
    </row>
    <row r="38" spans="3:22" ht="15" customHeight="1">
      <c r="C38" s="1272" t="str">
        <f>IF(Indice_index!$Z$1=1,"Adicional 2018","Additional 2018")</f>
        <v>Additional 2018</v>
      </c>
      <c r="D38" s="1268">
        <v>146.87342799999999</v>
      </c>
      <c r="E38" s="1268">
        <v>166.57651899999999</v>
      </c>
      <c r="F38" s="1083">
        <f t="shared" si="3"/>
        <v>13.415014048695046</v>
      </c>
      <c r="G38" s="1269">
        <f>IFERROR((E38-D38)/D44*100,"-")</f>
        <v>0.23011532886779298</v>
      </c>
      <c r="H38" s="469"/>
      <c r="I38" s="469"/>
      <c r="J38" s="470"/>
      <c r="K38" s="221"/>
      <c r="L38" s="159"/>
      <c r="M38" s="160"/>
      <c r="N38" s="160"/>
      <c r="O38" s="161"/>
      <c r="P38" s="162"/>
      <c r="Q38" s="163"/>
      <c r="R38" s="163"/>
      <c r="S38" s="164"/>
      <c r="T38" s="164"/>
      <c r="U38" s="164"/>
      <c r="V38" s="114"/>
    </row>
    <row r="39" spans="3:22" ht="15" customHeight="1">
      <c r="C39" s="1270" t="str">
        <f>IF(Indice_index!$Z$1=1,"Outros subsectores das AP","Other General Government subsectors")</f>
        <v>Other General Government subsectors</v>
      </c>
      <c r="D39" s="1268">
        <v>10.40409577999991</v>
      </c>
      <c r="E39" s="1268">
        <v>11.523774089999909</v>
      </c>
      <c r="F39" s="1083">
        <f t="shared" si="3"/>
        <v>10.761899291165591</v>
      </c>
      <c r="G39" s="1269">
        <f>IFERROR((E39-D39)/D44*100,"-")</f>
        <v>1.3076889434849817E-2</v>
      </c>
      <c r="H39" s="469"/>
      <c r="I39" s="469"/>
      <c r="J39" s="470"/>
      <c r="K39" s="221"/>
      <c r="L39" s="159"/>
      <c r="M39" s="160"/>
      <c r="N39" s="160"/>
      <c r="O39" s="161"/>
      <c r="P39" s="162"/>
      <c r="Q39" s="163"/>
      <c r="R39" s="163"/>
      <c r="S39" s="164"/>
      <c r="T39" s="164"/>
      <c r="U39" s="164"/>
      <c r="V39" s="114"/>
    </row>
    <row r="40" spans="3:22" ht="15" customHeight="1">
      <c r="C40" s="1270" t="str">
        <f>IF(Indice_index!$Z$1=1,"União Europeia","European Union")</f>
        <v>European Union</v>
      </c>
      <c r="D40" s="1268">
        <v>412.47615729756171</v>
      </c>
      <c r="E40" s="1268">
        <v>588.44477275844167</v>
      </c>
      <c r="F40" s="1083">
        <f t="shared" si="3"/>
        <v>42.661524150579105</v>
      </c>
      <c r="G40" s="1269">
        <f>IFERROR((E40-D40)/D44*100,"-")</f>
        <v>2.0551636196163634</v>
      </c>
      <c r="H40" s="469"/>
      <c r="I40" s="469"/>
      <c r="J40" s="470"/>
      <c r="K40" s="221"/>
      <c r="L40" s="159"/>
      <c r="M40" s="160"/>
      <c r="N40" s="160"/>
      <c r="O40" s="161"/>
      <c r="P40" s="162"/>
      <c r="Q40" s="163"/>
      <c r="R40" s="163"/>
      <c r="S40" s="164"/>
      <c r="T40" s="164"/>
      <c r="U40" s="164"/>
      <c r="V40" s="114"/>
    </row>
    <row r="41" spans="3:22" ht="15" customHeight="1">
      <c r="C41" s="1270" t="str">
        <f>IF(Indice_index!$Z$1=1,"Outras transferências","Other transfers")</f>
        <v>Other transfers</v>
      </c>
      <c r="D41" s="1268">
        <v>8.6814617699999985</v>
      </c>
      <c r="E41" s="1268">
        <v>9.6520979418025785</v>
      </c>
      <c r="F41" s="1083">
        <f t="shared" si="3"/>
        <v>11.180561494341294</v>
      </c>
      <c r="G41" s="1269">
        <f>IFERROR((E41-D41)/D44*100,"-")</f>
        <v>1.1336204146107141E-2</v>
      </c>
      <c r="H41" s="469"/>
      <c r="I41" s="469"/>
      <c r="J41" s="470"/>
      <c r="K41" s="221"/>
      <c r="L41" s="159"/>
      <c r="M41" s="160"/>
      <c r="N41" s="160"/>
      <c r="O41" s="161"/>
      <c r="P41" s="162"/>
      <c r="Q41" s="163"/>
      <c r="R41" s="163"/>
      <c r="S41" s="164"/>
      <c r="T41" s="164"/>
      <c r="U41" s="164"/>
      <c r="V41" s="114"/>
    </row>
    <row r="42" spans="3:22" ht="15" customHeight="1">
      <c r="C42" s="1267" t="str">
        <f>IF(Indice_index!$Z$1=1,"Outras receitas de capital","Other capital revenue")</f>
        <v>Other capital revenue</v>
      </c>
      <c r="D42" s="1268">
        <v>18.963099877543904</v>
      </c>
      <c r="E42" s="1268">
        <v>14.087284381737199</v>
      </c>
      <c r="F42" s="1083">
        <f t="shared" si="3"/>
        <v>-25.712122634446725</v>
      </c>
      <c r="G42" s="1269">
        <f>IFERROR((E42-D42)/D44*100,"-")</f>
        <v>-5.694537401853552E-2</v>
      </c>
      <c r="H42" s="469"/>
      <c r="I42" s="469"/>
      <c r="J42" s="470"/>
      <c r="K42" s="221"/>
      <c r="L42" s="159"/>
      <c r="M42" s="160"/>
      <c r="N42" s="160"/>
      <c r="O42" s="161"/>
      <c r="P42" s="162"/>
      <c r="Q42" s="163"/>
      <c r="R42" s="163"/>
      <c r="S42" s="164"/>
      <c r="T42" s="164"/>
      <c r="U42" s="164"/>
      <c r="V42" s="114"/>
    </row>
    <row r="43" spans="3:22" ht="4.5" customHeight="1">
      <c r="C43" s="1267"/>
      <c r="D43" s="1268"/>
      <c r="E43" s="1268"/>
      <c r="F43" s="1274"/>
      <c r="G43" s="1275"/>
      <c r="H43" s="469"/>
      <c r="I43" s="469"/>
      <c r="J43" s="470"/>
      <c r="K43" s="221"/>
      <c r="L43" s="159"/>
      <c r="M43" s="160"/>
      <c r="N43" s="160"/>
      <c r="O43" s="161"/>
      <c r="P43" s="162"/>
      <c r="Q43" s="163"/>
      <c r="R43" s="163"/>
      <c r="S43" s="164"/>
      <c r="T43" s="164"/>
      <c r="U43" s="164"/>
      <c r="V43" s="114"/>
    </row>
    <row r="44" spans="3:22" s="258" customFormat="1" ht="15" customHeight="1">
      <c r="C44" s="1273" t="str">
        <f>IF(Indice_index!$Z$1=1,"Receita Efetiva","Effective revenue")</f>
        <v>Effective revenue</v>
      </c>
      <c r="D44" s="1266">
        <v>8562.2679275398987</v>
      </c>
      <c r="E44" s="1266">
        <v>9541.6429646228244</v>
      </c>
      <c r="F44" s="310">
        <f>IFERROR(IF(ABS((E44-D44)/D44)*100&gt;500,"n.r.",((E44-D44)/D44)*100),0)</f>
        <v>11.438266652843678</v>
      </c>
      <c r="G44" s="1276">
        <f>IFERROR((E44-D44)/D44*100,"-")</f>
        <v>11.438266652843678</v>
      </c>
      <c r="H44" s="469"/>
      <c r="I44" s="469"/>
      <c r="J44" s="470"/>
      <c r="K44" s="318"/>
      <c r="L44" s="310"/>
      <c r="M44" s="319"/>
      <c r="N44" s="319"/>
      <c r="O44" s="162"/>
      <c r="P44" s="162"/>
      <c r="Q44" s="320"/>
      <c r="R44" s="320"/>
      <c r="S44" s="321"/>
      <c r="T44" s="321"/>
      <c r="U44" s="321"/>
      <c r="V44" s="322"/>
    </row>
    <row r="45" spans="3:22" ht="4.5" customHeight="1">
      <c r="C45" s="1090"/>
      <c r="D45" s="1268"/>
      <c r="E45" s="1268"/>
      <c r="F45" s="1083"/>
      <c r="G45" s="1275"/>
      <c r="H45" s="469"/>
      <c r="I45" s="469"/>
      <c r="J45" s="470"/>
      <c r="K45" s="221"/>
      <c r="L45" s="159"/>
      <c r="M45" s="160"/>
      <c r="N45" s="160"/>
      <c r="O45" s="161"/>
      <c r="P45" s="162"/>
      <c r="Q45" s="163"/>
      <c r="R45" s="163"/>
      <c r="S45" s="164"/>
      <c r="T45" s="164"/>
      <c r="U45" s="164"/>
      <c r="V45" s="114"/>
    </row>
    <row r="46" spans="3:22" s="258" customFormat="1" ht="15" customHeight="1">
      <c r="C46" s="1277" t="str">
        <f>IF(Indice_index!$Z$1=1,"Despesa Corrente","Current expenditure")</f>
        <v>Current expenditure</v>
      </c>
      <c r="D46" s="1266">
        <v>6165.8712501583022</v>
      </c>
      <c r="E46" s="1266">
        <v>6728.307474389042</v>
      </c>
      <c r="F46" s="310">
        <f t="shared" ref="F46:F63" si="4">IFERROR(IF(ABS((E46-D46)/D46)*100&gt;500,"n.r.",((E46-D46)/D46)*100),0)</f>
        <v>9.1217640040132171</v>
      </c>
      <c r="G46" s="1276">
        <f>IFERROR((E46-D46)/D65*100,"-")</f>
        <v>6.7288279322617646</v>
      </c>
      <c r="H46" s="469"/>
      <c r="I46" s="469"/>
      <c r="J46" s="470"/>
      <c r="K46" s="318"/>
      <c r="L46" s="310"/>
      <c r="M46" s="319"/>
      <c r="N46" s="319"/>
      <c r="O46" s="162"/>
      <c r="P46" s="162"/>
      <c r="Q46" s="320"/>
      <c r="R46" s="320"/>
      <c r="S46" s="321"/>
      <c r="T46" s="321"/>
      <c r="U46" s="321"/>
      <c r="V46" s="322"/>
    </row>
    <row r="47" spans="3:22" ht="15" customHeight="1">
      <c r="C47" s="1267" t="str">
        <f>IF(Indice_index!$Z$1=1,"Despesas com o pessoal","Employees")</f>
        <v>Employees</v>
      </c>
      <c r="D47" s="1268">
        <v>2737.0217847414165</v>
      </c>
      <c r="E47" s="1268">
        <v>2951.4881855114809</v>
      </c>
      <c r="F47" s="1083">
        <f t="shared" si="4"/>
        <v>7.8357579017342891</v>
      </c>
      <c r="G47" s="1275">
        <f>IFERROR((E47-D47)/D65*100,"-")</f>
        <v>2.5658153686794183</v>
      </c>
      <c r="H47" s="469"/>
      <c r="I47" s="469"/>
      <c r="J47" s="470"/>
      <c r="K47" s="221"/>
      <c r="L47" s="159"/>
      <c r="M47" s="160"/>
      <c r="N47" s="160"/>
      <c r="O47" s="161"/>
      <c r="P47" s="162"/>
      <c r="Q47" s="163"/>
      <c r="R47" s="163"/>
      <c r="S47" s="164"/>
      <c r="T47" s="164"/>
      <c r="U47" s="164"/>
      <c r="V47" s="114"/>
    </row>
    <row r="48" spans="3:22" ht="15" customHeight="1">
      <c r="C48" s="751" t="str">
        <f>IF(Indice_index!$Z$1=1,"Remunerações Certas e Permanentes","Certain and permanent wages")</f>
        <v>Certain and permanent wages</v>
      </c>
      <c r="D48" s="1268">
        <v>2029.2303886348748</v>
      </c>
      <c r="E48" s="1268">
        <v>2192.0688999780295</v>
      </c>
      <c r="F48" s="1083">
        <f t="shared" si="4"/>
        <v>8.0246438381351659</v>
      </c>
      <c r="G48" s="1275">
        <f>IFERROR((E48-D48)/D65*100,"-")</f>
        <v>1.9481538997108188</v>
      </c>
      <c r="H48" s="469"/>
      <c r="I48" s="469"/>
      <c r="J48" s="470"/>
      <c r="K48" s="221"/>
      <c r="L48" s="159"/>
      <c r="M48" s="160"/>
      <c r="N48" s="160"/>
      <c r="O48" s="161"/>
      <c r="P48" s="162"/>
      <c r="Q48" s="163"/>
      <c r="R48" s="163"/>
      <c r="S48" s="164"/>
      <c r="T48" s="164"/>
      <c r="U48" s="164"/>
      <c r="V48" s="114"/>
    </row>
    <row r="49" spans="3:22" ht="15" customHeight="1">
      <c r="C49" s="751" t="str">
        <f>IF(Indice_index!$Z$1=1,"Abonos Variáveis ou Eventuais","Variable or contingent bonuses")</f>
        <v>Variable or contingent bonuses</v>
      </c>
      <c r="D49" s="1268">
        <v>104.34007171731891</v>
      </c>
      <c r="E49" s="1268">
        <v>116.55857278998451</v>
      </c>
      <c r="F49" s="1083">
        <f t="shared" si="4"/>
        <v>11.710267082974903</v>
      </c>
      <c r="G49" s="1275">
        <f>IFERROR((E49-D49)/D65*100,"-")</f>
        <v>0.14617869149621737</v>
      </c>
      <c r="H49" s="469"/>
      <c r="I49" s="469"/>
      <c r="J49" s="470"/>
      <c r="K49" s="221"/>
      <c r="L49" s="159"/>
      <c r="M49" s="160"/>
      <c r="N49" s="160"/>
      <c r="O49" s="161"/>
      <c r="P49" s="162"/>
      <c r="Q49" s="163"/>
      <c r="R49" s="163"/>
      <c r="S49" s="164"/>
      <c r="T49" s="164"/>
      <c r="U49" s="164"/>
      <c r="V49" s="114"/>
    </row>
    <row r="50" spans="3:22" ht="15" customHeight="1">
      <c r="C50" s="751" t="str">
        <f>IF(Indice_index!$Z$1=1,"Segurança social","Social security")</f>
        <v>Social security</v>
      </c>
      <c r="D50" s="1268">
        <v>603.45132438922292</v>
      </c>
      <c r="E50" s="1268">
        <v>642.86071274346705</v>
      </c>
      <c r="F50" s="1083">
        <f t="shared" si="4"/>
        <v>6.5306656496498601</v>
      </c>
      <c r="G50" s="1275">
        <f>IFERROR((E50-D50)/D65*100,"-")</f>
        <v>0.47148277747238343</v>
      </c>
      <c r="H50" s="469"/>
      <c r="I50" s="469"/>
      <c r="J50" s="470"/>
      <c r="K50" s="221"/>
      <c r="L50" s="159"/>
      <c r="M50" s="160"/>
      <c r="N50" s="160"/>
      <c r="O50" s="161"/>
      <c r="P50" s="162"/>
      <c r="Q50" s="163"/>
      <c r="R50" s="163"/>
      <c r="S50" s="164"/>
      <c r="T50" s="164"/>
      <c r="U50" s="164"/>
      <c r="V50" s="114"/>
    </row>
    <row r="51" spans="3:22" ht="15" customHeight="1">
      <c r="C51" s="1267" t="str">
        <f>IF(Indice_index!$Z$1=1,"Aquisição de bens e serviços","Purchase of goods and services")</f>
        <v>Purchase of goods and services</v>
      </c>
      <c r="D51" s="1268">
        <v>2204.6992157496111</v>
      </c>
      <c r="E51" s="1268">
        <v>2384.1188251777417</v>
      </c>
      <c r="F51" s="1083">
        <f t="shared" si="4"/>
        <v>8.1380538509025957</v>
      </c>
      <c r="G51" s="1275">
        <f>IFERROR((E51-D51)/D65*100,"-")</f>
        <v>2.1465254681394996</v>
      </c>
      <c r="H51" s="469"/>
      <c r="I51" s="469"/>
      <c r="J51" s="470"/>
      <c r="K51" s="221"/>
      <c r="L51" s="159"/>
      <c r="M51" s="160"/>
      <c r="N51" s="160"/>
      <c r="O51" s="161"/>
      <c r="P51" s="162"/>
      <c r="Q51" s="163"/>
      <c r="R51" s="163"/>
      <c r="S51" s="164"/>
      <c r="T51" s="164"/>
      <c r="U51" s="164"/>
      <c r="V51" s="114"/>
    </row>
    <row r="52" spans="3:22" ht="15" customHeight="1">
      <c r="C52" s="1267" t="str">
        <f>IF(Indice_index!$Z$1=1,"Juros e outros encargos","Interests and other charges")</f>
        <v>Interests and other charges</v>
      </c>
      <c r="D52" s="1268">
        <v>47.806264340192755</v>
      </c>
      <c r="E52" s="1268">
        <v>39.306821283912505</v>
      </c>
      <c r="F52" s="1083">
        <f t="shared" si="4"/>
        <v>-17.778931639162625</v>
      </c>
      <c r="G52" s="1275">
        <f>IFERROR((E52-D52)/D65*100,"-")</f>
        <v>-0.10168493312106457</v>
      </c>
      <c r="H52" s="469"/>
      <c r="I52" s="469"/>
      <c r="J52" s="470"/>
      <c r="K52" s="221"/>
      <c r="L52" s="159"/>
      <c r="M52" s="160"/>
      <c r="N52" s="160"/>
      <c r="O52" s="161"/>
      <c r="P52" s="162"/>
      <c r="Q52" s="163"/>
      <c r="R52" s="163"/>
      <c r="S52" s="164"/>
      <c r="T52" s="164"/>
      <c r="U52" s="164"/>
      <c r="V52" s="114"/>
    </row>
    <row r="53" spans="3:22" ht="15" customHeight="1">
      <c r="C53" s="1267" t="str">
        <f>IF(Indice_index!$Z$1=1,"Transferências correntes","Current transfers")</f>
        <v>Current transfers</v>
      </c>
      <c r="D53" s="1268">
        <v>890.55437563746455</v>
      </c>
      <c r="E53" s="1268">
        <v>998.64501756735376</v>
      </c>
      <c r="F53" s="1083">
        <f t="shared" si="4"/>
        <v>12.137455599217875</v>
      </c>
      <c r="G53" s="1275">
        <f>IFERROR((E53-D53)/D65*100,"-")</f>
        <v>1.2931658725017656</v>
      </c>
      <c r="H53" s="469"/>
      <c r="I53" s="469"/>
      <c r="J53" s="470"/>
      <c r="K53" s="221"/>
      <c r="L53" s="159"/>
      <c r="M53" s="160"/>
      <c r="N53" s="160"/>
      <c r="O53" s="161"/>
      <c r="P53" s="162"/>
      <c r="Q53" s="163"/>
      <c r="R53" s="163"/>
      <c r="S53" s="164"/>
      <c r="T53" s="164"/>
      <c r="U53" s="164"/>
      <c r="V53" s="114"/>
    </row>
    <row r="54" spans="3:22" ht="15" customHeight="1">
      <c r="C54" s="1270" t="str">
        <f>IF(Indice_index!$Z$1=1,"Subsectores das AP","General Government subsectors")</f>
        <v>General Government subsectors</v>
      </c>
      <c r="D54" s="1268">
        <v>418.68323123253197</v>
      </c>
      <c r="E54" s="1268">
        <v>431.49793768253204</v>
      </c>
      <c r="F54" s="1083">
        <f t="shared" si="4"/>
        <v>3.0607164304803338</v>
      </c>
      <c r="G54" s="1275">
        <f>IFERROR((E54-D54)/D65*100,"-")</f>
        <v>0.15331152402644754</v>
      </c>
      <c r="H54" s="469"/>
      <c r="I54" s="469"/>
      <c r="J54" s="470"/>
      <c r="K54" s="221"/>
      <c r="L54" s="159"/>
      <c r="M54" s="160"/>
      <c r="N54" s="160"/>
      <c r="O54" s="161"/>
      <c r="P54" s="162"/>
      <c r="Q54" s="163"/>
      <c r="R54" s="163"/>
      <c r="S54" s="164"/>
      <c r="T54" s="164"/>
      <c r="U54" s="164"/>
      <c r="V54" s="114"/>
    </row>
    <row r="55" spans="3:22" ht="15" customHeight="1">
      <c r="C55" s="1270" t="str">
        <f>IF(Indice_index!$Z$1=1,"Outras transferências","Other transfers")</f>
        <v>Other transfers</v>
      </c>
      <c r="D55" s="1268">
        <v>471.87114440493264</v>
      </c>
      <c r="E55" s="1268">
        <v>567.14707988482178</v>
      </c>
      <c r="F55" s="1083">
        <f t="shared" si="4"/>
        <v>20.191091701536386</v>
      </c>
      <c r="G55" s="1275">
        <f>IFERROR((E55-D55)/D65*100,"-")</f>
        <v>1.1398543484753181</v>
      </c>
      <c r="H55" s="469"/>
      <c r="I55" s="469"/>
      <c r="J55" s="470"/>
      <c r="K55" s="221"/>
      <c r="L55" s="159"/>
      <c r="M55" s="160"/>
      <c r="N55" s="160"/>
      <c r="O55" s="161"/>
      <c r="P55" s="162"/>
      <c r="Q55" s="163"/>
      <c r="R55" s="163"/>
      <c r="S55" s="164"/>
      <c r="T55" s="164"/>
      <c r="U55" s="164"/>
      <c r="V55" s="114"/>
    </row>
    <row r="56" spans="3:22" ht="15" customHeight="1">
      <c r="C56" s="1267" t="str">
        <f>IF(Indice_index!$Z$1=1,"Subsídios","Subsidies")</f>
        <v>Subsidies</v>
      </c>
      <c r="D56" s="1268">
        <v>187.56395529964686</v>
      </c>
      <c r="E56" s="1268">
        <v>255.45034925396479</v>
      </c>
      <c r="F56" s="1083">
        <f t="shared" si="4"/>
        <v>36.193731277347261</v>
      </c>
      <c r="G56" s="1275">
        <f>IFERROR((E56-D56)/D65*100,"-")</f>
        <v>0.81217361930255028</v>
      </c>
      <c r="H56" s="469"/>
      <c r="I56" s="469"/>
      <c r="J56" s="470"/>
      <c r="K56" s="221"/>
      <c r="L56" s="159"/>
      <c r="M56" s="160"/>
      <c r="N56" s="160"/>
      <c r="O56" s="161"/>
      <c r="P56" s="162"/>
      <c r="Q56" s="163"/>
      <c r="R56" s="163"/>
      <c r="S56" s="164"/>
      <c r="T56" s="164"/>
      <c r="U56" s="164"/>
      <c r="V56" s="114"/>
    </row>
    <row r="57" spans="3:22" ht="15" customHeight="1">
      <c r="C57" s="1267" t="str">
        <f>IF(Indice_index!$Z$1=1,"Outras despesas correntes","Other current expenditure")</f>
        <v>Other current expenditure</v>
      </c>
      <c r="D57" s="1268">
        <v>98.225654389970174</v>
      </c>
      <c r="E57" s="1268">
        <v>99.298275594588532</v>
      </c>
      <c r="F57" s="1083">
        <f t="shared" si="4"/>
        <v>1.0919970055479549</v>
      </c>
      <c r="G57" s="1275">
        <f>IFERROR((E57-D57)/D65*100,"-")</f>
        <v>1.2832536759601191E-2</v>
      </c>
      <c r="H57" s="469"/>
      <c r="I57" s="469"/>
      <c r="J57" s="470"/>
      <c r="K57" s="221"/>
      <c r="L57" s="159"/>
      <c r="M57" s="160"/>
      <c r="N57" s="160"/>
      <c r="O57" s="161"/>
      <c r="P57" s="162"/>
      <c r="Q57" s="163"/>
      <c r="R57" s="163"/>
      <c r="S57" s="164"/>
      <c r="T57" s="164"/>
      <c r="U57" s="164"/>
      <c r="V57" s="114"/>
    </row>
    <row r="58" spans="3:22" s="258" customFormat="1" ht="15" customHeight="1">
      <c r="C58" s="1277" t="str">
        <f>IF(Indice_index!$Z$1=1,"Despesa de Capital","Capital expenditure")</f>
        <v>Capital expenditure</v>
      </c>
      <c r="D58" s="1266">
        <v>2192.7348829262719</v>
      </c>
      <c r="E58" s="1266">
        <v>2796.3790216198931</v>
      </c>
      <c r="F58" s="310">
        <f t="shared" si="4"/>
        <v>27.529280598119531</v>
      </c>
      <c r="G58" s="1276">
        <f>IFERROR((E58-D58)/D65*100,"-")</f>
        <v>7.2218277674827895</v>
      </c>
      <c r="H58" s="469"/>
      <c r="I58" s="469"/>
      <c r="J58" s="470"/>
      <c r="K58" s="318"/>
      <c r="L58" s="310"/>
      <c r="M58" s="319"/>
      <c r="N58" s="319"/>
      <c r="O58" s="162"/>
      <c r="P58" s="162"/>
      <c r="Q58" s="320"/>
      <c r="R58" s="320"/>
      <c r="S58" s="321"/>
      <c r="T58" s="321"/>
      <c r="U58" s="321"/>
      <c r="V58" s="322"/>
    </row>
    <row r="59" spans="3:22" ht="15" customHeight="1">
      <c r="C59" s="1267" t="str">
        <f>IF(Indice_index!$Z$1=1,"Aquisição de bens de capital","Purchase of capital goods")</f>
        <v>Purchase of capital goods</v>
      </c>
      <c r="D59" s="1268">
        <v>1846.0550694087474</v>
      </c>
      <c r="E59" s="1268">
        <v>2464.7138764484266</v>
      </c>
      <c r="F59" s="1083">
        <f t="shared" si="4"/>
        <v>33.512478435316808</v>
      </c>
      <c r="G59" s="1275">
        <f>IFERROR((E59-D59)/D65*100,"-")</f>
        <v>7.4014590134943452</v>
      </c>
      <c r="H59" s="469"/>
      <c r="I59" s="469"/>
      <c r="J59" s="470"/>
      <c r="K59" s="221"/>
      <c r="L59" s="159"/>
      <c r="M59" s="160"/>
      <c r="N59" s="160"/>
      <c r="O59" s="161"/>
      <c r="P59" s="162"/>
      <c r="Q59" s="163"/>
      <c r="R59" s="163"/>
      <c r="S59" s="164"/>
      <c r="T59" s="164"/>
      <c r="U59" s="164"/>
      <c r="V59" s="114"/>
    </row>
    <row r="60" spans="3:22" ht="15" customHeight="1">
      <c r="C60" s="1267" t="str">
        <f>IF(Indice_index!$Z$1=1,"Transferências de capital","Capital transfers")</f>
        <v>Capital transfers</v>
      </c>
      <c r="D60" s="1268">
        <v>332.68153260153156</v>
      </c>
      <c r="E60" s="1268">
        <v>324.54950501563877</v>
      </c>
      <c r="F60" s="1083">
        <f t="shared" si="4"/>
        <v>-2.4443880375027911</v>
      </c>
      <c r="G60" s="1275">
        <f>IFERROR((E60-D60)/D65*100,"-")</f>
        <v>-9.7289278336791629E-2</v>
      </c>
      <c r="H60" s="469"/>
      <c r="I60" s="469"/>
      <c r="J60" s="470"/>
      <c r="K60" s="221"/>
      <c r="L60" s="159"/>
      <c r="M60" s="160"/>
      <c r="N60" s="160"/>
      <c r="O60" s="161"/>
      <c r="P60" s="162"/>
      <c r="Q60" s="163"/>
      <c r="R60" s="163"/>
      <c r="S60" s="164"/>
      <c r="T60" s="164"/>
      <c r="U60" s="164"/>
      <c r="V60" s="114"/>
    </row>
    <row r="61" spans="3:22" ht="15" customHeight="1">
      <c r="C61" s="1270" t="str">
        <f>IF(Indice_index!$Z$1=1,"Subsectores das AP","General Government subsectors")</f>
        <v>General Government subsectors</v>
      </c>
      <c r="D61" s="1268">
        <v>183.42465789000002</v>
      </c>
      <c r="E61" s="1268">
        <v>186.32711577000003</v>
      </c>
      <c r="F61" s="1083">
        <f t="shared" si="4"/>
        <v>1.5823706111206826</v>
      </c>
      <c r="G61" s="1275">
        <f>IFERROR((E61-D61)/D65*100,"-")</f>
        <v>3.4724185274284738E-2</v>
      </c>
      <c r="H61" s="469"/>
      <c r="I61" s="469"/>
      <c r="J61" s="470"/>
      <c r="K61" s="221"/>
      <c r="L61" s="159"/>
      <c r="M61" s="160"/>
      <c r="N61" s="160"/>
      <c r="O61" s="161"/>
      <c r="P61" s="162"/>
      <c r="Q61" s="163"/>
      <c r="R61" s="163"/>
      <c r="S61" s="164"/>
      <c r="T61" s="164"/>
      <c r="U61" s="164"/>
      <c r="V61" s="114"/>
    </row>
    <row r="62" spans="3:22" ht="15" customHeight="1">
      <c r="C62" s="1270" t="str">
        <f>IF(Indice_index!$Z$1=1,"Outras transferências","Other transfers")</f>
        <v>Other transfers</v>
      </c>
      <c r="D62" s="1268">
        <v>149.25687471153151</v>
      </c>
      <c r="E62" s="1268">
        <v>138.22238924563874</v>
      </c>
      <c r="F62" s="1083">
        <f t="shared" si="4"/>
        <v>-7.3929495624366393</v>
      </c>
      <c r="G62" s="1275">
        <f>IFERROR((E62-D62)/D65*100,"-")</f>
        <v>-0.13201346361107602</v>
      </c>
      <c r="H62" s="469"/>
      <c r="I62" s="469"/>
      <c r="J62" s="470"/>
      <c r="K62" s="221"/>
      <c r="L62" s="159"/>
      <c r="M62" s="160"/>
      <c r="N62" s="160"/>
      <c r="O62" s="161"/>
      <c r="P62" s="162"/>
      <c r="Q62" s="163"/>
      <c r="R62" s="163"/>
      <c r="S62" s="164"/>
      <c r="T62" s="164"/>
      <c r="U62" s="164"/>
      <c r="V62" s="114"/>
    </row>
    <row r="63" spans="3:22" ht="15" customHeight="1">
      <c r="C63" s="1267" t="str">
        <f>IF(Indice_index!$Z$1=1,"Outras despesas de capital","Other capital expenditure")</f>
        <v>Other capital expenditure</v>
      </c>
      <c r="D63" s="1268">
        <v>13.998280915992947</v>
      </c>
      <c r="E63" s="1268">
        <v>7.1156401558276778</v>
      </c>
      <c r="F63" s="1083">
        <f t="shared" si="4"/>
        <v>-49.167757108673939</v>
      </c>
      <c r="G63" s="1275">
        <f>IFERROR((E63-D63)/D65*100,"-")</f>
        <v>-8.2341967674763136E-2</v>
      </c>
      <c r="H63" s="469"/>
      <c r="I63" s="469"/>
      <c r="J63" s="470"/>
      <c r="K63" s="221"/>
      <c r="L63" s="159"/>
      <c r="M63" s="160"/>
      <c r="N63" s="160"/>
      <c r="O63" s="161"/>
      <c r="P63" s="162"/>
      <c r="Q63" s="163"/>
      <c r="R63" s="163"/>
      <c r="S63" s="164"/>
      <c r="T63" s="164"/>
      <c r="U63" s="164"/>
      <c r="V63" s="114"/>
    </row>
    <row r="64" spans="3:22" ht="4.5" customHeight="1">
      <c r="C64" s="1267"/>
      <c r="D64" s="1268"/>
      <c r="E64" s="1268"/>
      <c r="F64" s="1083"/>
      <c r="G64" s="1275"/>
      <c r="H64" s="469"/>
      <c r="I64" s="469"/>
      <c r="J64" s="470"/>
      <c r="K64" s="221"/>
      <c r="L64" s="159"/>
      <c r="M64" s="160"/>
      <c r="N64" s="160"/>
      <c r="O64" s="161"/>
      <c r="P64" s="162"/>
      <c r="Q64" s="163"/>
      <c r="R64" s="163"/>
      <c r="S64" s="164"/>
      <c r="T64" s="164"/>
      <c r="U64" s="164"/>
      <c r="V64" s="114"/>
    </row>
    <row r="65" spans="3:22" s="258" customFormat="1" ht="15" customHeight="1">
      <c r="C65" s="1277" t="str">
        <f>IF(Indice_index!$Z$1=1,"Despesa efetiva","Effective expenditure")</f>
        <v>Effective expenditure</v>
      </c>
      <c r="D65" s="1266">
        <v>8358.6061330845732</v>
      </c>
      <c r="E65" s="1266">
        <v>9524.6864960089351</v>
      </c>
      <c r="F65" s="310">
        <f>IFERROR(IF(ABS((E65-D65)/D65)*100&gt;500,"n.r.",((E65-D65)/D65)*100),0)</f>
        <v>13.950655699744566</v>
      </c>
      <c r="G65" s="1276">
        <f>IFERROR((E65-D65)/D65*100,"-")</f>
        <v>13.950655699744566</v>
      </c>
      <c r="H65" s="469"/>
      <c r="I65" s="469"/>
      <c r="J65" s="470"/>
      <c r="K65" s="318"/>
      <c r="L65" s="310"/>
      <c r="M65" s="319"/>
      <c r="N65" s="319"/>
      <c r="O65" s="162"/>
      <c r="P65" s="162"/>
      <c r="Q65" s="320"/>
      <c r="R65" s="320"/>
      <c r="S65" s="321"/>
      <c r="T65" s="321"/>
      <c r="U65" s="321"/>
      <c r="V65" s="322"/>
    </row>
    <row r="66" spans="3:22" ht="4.5" customHeight="1">
      <c r="C66" s="1090"/>
      <c r="D66" s="1268"/>
      <c r="E66" s="1268"/>
      <c r="F66" s="1278"/>
      <c r="G66" s="1275"/>
      <c r="H66" s="469"/>
      <c r="I66" s="469"/>
      <c r="J66" s="470"/>
      <c r="K66" s="221"/>
      <c r="L66" s="159"/>
      <c r="M66" s="160"/>
      <c r="N66" s="160"/>
      <c r="O66" s="161"/>
      <c r="P66" s="162"/>
      <c r="Q66" s="163"/>
      <c r="R66" s="163"/>
      <c r="S66" s="164"/>
      <c r="T66" s="164"/>
      <c r="U66" s="164"/>
      <c r="V66" s="114"/>
    </row>
    <row r="67" spans="3:22" s="258" customFormat="1" ht="15" customHeight="1">
      <c r="C67" s="1279" t="str">
        <f>IF(Indice_index!$Z$1=1,"Saldo global","Overall balance")</f>
        <v>Overall balance</v>
      </c>
      <c r="D67" s="1280">
        <v>203.66179445532543</v>
      </c>
      <c r="E67" s="1280">
        <v>16.956468613889228</v>
      </c>
      <c r="F67" s="1098"/>
      <c r="G67" s="1098"/>
      <c r="H67" s="469"/>
      <c r="I67" s="469"/>
      <c r="J67" s="468"/>
      <c r="K67" s="318"/>
      <c r="L67" s="323"/>
      <c r="M67" s="319"/>
      <c r="N67" s="319"/>
      <c r="O67" s="162"/>
      <c r="P67" s="162"/>
      <c r="Q67" s="320"/>
      <c r="R67" s="320"/>
      <c r="S67" s="321"/>
      <c r="T67" s="321"/>
      <c r="U67" s="321"/>
      <c r="V67" s="322"/>
    </row>
    <row r="68" spans="3:22" ht="4.5" customHeight="1">
      <c r="C68" s="1281"/>
      <c r="D68" s="1282"/>
      <c r="E68" s="1282"/>
      <c r="F68" s="1278"/>
      <c r="G68" s="1283"/>
      <c r="H68" s="469"/>
      <c r="I68" s="469"/>
      <c r="J68" s="470"/>
      <c r="K68" s="221"/>
      <c r="L68" s="159"/>
      <c r="M68" s="160"/>
      <c r="N68" s="160"/>
      <c r="O68" s="161"/>
      <c r="P68" s="162"/>
      <c r="Q68" s="163"/>
      <c r="R68" s="163"/>
      <c r="S68" s="164"/>
      <c r="T68" s="164"/>
      <c r="U68" s="164"/>
      <c r="V68" s="114"/>
    </row>
    <row r="69" spans="3:22" ht="15" customHeight="1">
      <c r="C69" s="1090" t="str">
        <f>IF(Indice_index!$Z$1=1,"Despesa  primária","Primary Expenditure")</f>
        <v>Primary Expenditure</v>
      </c>
      <c r="D69" s="1268">
        <v>8310.7998687443796</v>
      </c>
      <c r="E69" s="1268">
        <v>9485.3796747250235</v>
      </c>
      <c r="F69" s="1278">
        <f>IFERROR(IF(ABS((E69-D69)/D69)*100&gt;500,"n.r.",((E69-D69)/D69)*100),0)</f>
        <v>14.133173996862263</v>
      </c>
      <c r="G69" s="1083">
        <f>IFERROR((E69-D69)/D65*100,"-")</f>
        <v>14.052340632865651</v>
      </c>
      <c r="H69" s="469"/>
      <c r="I69" s="469"/>
      <c r="J69" s="470"/>
      <c r="K69" s="221"/>
      <c r="L69" s="159"/>
      <c r="M69" s="160"/>
      <c r="N69" s="160"/>
      <c r="O69" s="161"/>
      <c r="P69" s="162"/>
      <c r="Q69" s="163"/>
      <c r="R69" s="163"/>
      <c r="S69" s="164"/>
      <c r="T69" s="164"/>
      <c r="U69" s="114"/>
      <c r="V69" s="114"/>
    </row>
    <row r="70" spans="3:22" ht="15" customHeight="1">
      <c r="C70" s="1284" t="str">
        <f>IF(Indice_index!$Z$1=1,"Saldo primário","Primary balance")</f>
        <v>Primary balance</v>
      </c>
      <c r="D70" s="1268">
        <v>251.46805879551817</v>
      </c>
      <c r="E70" s="1268">
        <v>56.263289897801734</v>
      </c>
      <c r="F70" s="1285"/>
      <c r="G70" s="1274"/>
      <c r="H70" s="469"/>
      <c r="I70" s="469"/>
      <c r="J70" s="470"/>
      <c r="K70" s="216"/>
      <c r="L70" s="159"/>
      <c r="M70" s="160"/>
      <c r="N70" s="160"/>
      <c r="O70" s="161"/>
      <c r="P70" s="162"/>
      <c r="Q70" s="163"/>
      <c r="R70" s="163"/>
      <c r="S70" s="164"/>
      <c r="T70" s="164"/>
      <c r="U70" s="164"/>
      <c r="V70" s="114"/>
    </row>
    <row r="71" spans="3:22" ht="15" customHeight="1">
      <c r="C71" s="1284" t="str">
        <f>IF(Indice_index!$Z$1=1,"Saldo corrente","Current balance")</f>
        <v>Current balance</v>
      </c>
      <c r="D71" s="1268">
        <v>1475.6566490110645</v>
      </c>
      <c r="E71" s="1268">
        <v>1654.6108030572641</v>
      </c>
      <c r="F71" s="1274"/>
      <c r="G71" s="1274"/>
      <c r="H71" s="469"/>
      <c r="I71" s="469"/>
      <c r="J71" s="470"/>
      <c r="K71" s="216"/>
      <c r="L71" s="159"/>
      <c r="M71" s="160"/>
      <c r="N71" s="160"/>
      <c r="O71" s="161"/>
      <c r="P71" s="162"/>
      <c r="Q71" s="163"/>
      <c r="R71" s="163"/>
      <c r="S71" s="164"/>
      <c r="T71" s="164"/>
      <c r="U71" s="164"/>
      <c r="V71" s="114"/>
    </row>
    <row r="72" spans="3:22" ht="15" customHeight="1">
      <c r="C72" s="1284" t="str">
        <f>IF(Indice_index!$Z$1=1,"Saldo de capital","Capital balance")</f>
        <v>Capital balance</v>
      </c>
      <c r="D72" s="1268">
        <v>-1271.9948545557399</v>
      </c>
      <c r="E72" s="1268">
        <v>-1637.6543344433751</v>
      </c>
      <c r="F72" s="1274"/>
      <c r="G72" s="1274"/>
      <c r="H72" s="469"/>
      <c r="I72" s="469"/>
      <c r="J72" s="470"/>
      <c r="K72" s="216"/>
      <c r="L72" s="159"/>
      <c r="M72" s="160"/>
      <c r="N72" s="160"/>
      <c r="O72" s="161"/>
      <c r="P72" s="162"/>
      <c r="Q72" s="163"/>
      <c r="R72" s="163"/>
      <c r="S72" s="164"/>
      <c r="T72" s="164"/>
      <c r="U72" s="164"/>
      <c r="V72" s="114"/>
    </row>
    <row r="73" spans="3:22" ht="15" customHeight="1">
      <c r="C73" s="1090" t="str">
        <f>IF(Indice_index!$Z$1=1,"Ativos financeiros líquidos de reembolsos","Financial assets net of reimbursements")</f>
        <v>Financial assets net of reimbursements</v>
      </c>
      <c r="D73" s="1268">
        <v>47.704325786255829</v>
      </c>
      <c r="E73" s="1268">
        <v>40.666214156255833</v>
      </c>
      <c r="F73" s="1274"/>
      <c r="G73" s="1274"/>
      <c r="H73" s="469"/>
      <c r="I73" s="469"/>
      <c r="J73" s="470"/>
      <c r="K73" s="216"/>
      <c r="L73" s="159"/>
      <c r="M73" s="160"/>
      <c r="N73" s="160"/>
      <c r="O73" s="161"/>
      <c r="P73" s="162"/>
      <c r="Q73" s="163"/>
      <c r="R73" s="163"/>
      <c r="S73" s="164"/>
      <c r="T73" s="164"/>
      <c r="U73" s="164"/>
      <c r="V73" s="114"/>
    </row>
    <row r="74" spans="3:22" ht="15" customHeight="1">
      <c r="C74" s="1286" t="str">
        <f>IF(Indice_index!$Z$1=1,"dos quais Receitas de:","of which Revenues of")</f>
        <v>of which Revenues of</v>
      </c>
      <c r="D74" s="1268">
        <v>0</v>
      </c>
      <c r="E74" s="1268"/>
      <c r="F74" s="1274"/>
      <c r="G74" s="1274"/>
      <c r="H74" s="469"/>
      <c r="I74" s="469"/>
      <c r="J74" s="470"/>
      <c r="K74" s="216"/>
      <c r="L74" s="159"/>
      <c r="M74" s="160"/>
      <c r="N74" s="160"/>
      <c r="O74" s="161"/>
      <c r="P74" s="162"/>
      <c r="Q74" s="163"/>
      <c r="R74" s="163"/>
      <c r="S74" s="164"/>
      <c r="T74" s="164"/>
      <c r="U74" s="164"/>
      <c r="V74" s="114"/>
    </row>
    <row r="75" spans="3:22" ht="15" customHeight="1">
      <c r="C75" s="1287" t="str">
        <f>IF(Indice_index!$Z$1=1,"Alienação de partes de Capital","Divestment of company shares")</f>
        <v>Divestment of company shares</v>
      </c>
      <c r="D75" s="1268">
        <v>0.46586555999999996</v>
      </c>
      <c r="E75" s="1268">
        <v>0.40472543999999999</v>
      </c>
      <c r="F75" s="1274"/>
      <c r="G75" s="1274"/>
      <c r="H75" s="469"/>
      <c r="I75" s="469"/>
      <c r="J75" s="470"/>
      <c r="K75" s="216"/>
      <c r="L75" s="159"/>
      <c r="M75" s="160"/>
      <c r="N75" s="160"/>
      <c r="O75" s="161"/>
      <c r="P75" s="162"/>
      <c r="Q75" s="163"/>
      <c r="R75" s="163"/>
      <c r="S75" s="164"/>
      <c r="T75" s="164"/>
      <c r="U75" s="164"/>
      <c r="V75" s="114"/>
    </row>
    <row r="76" spans="3:22" ht="15" customHeight="1">
      <c r="C76" s="1288" t="str">
        <f>IF(Indice_index!$Z$1=1,"Outros Ativos","Other Financial assets")</f>
        <v>Other Financial assets</v>
      </c>
      <c r="D76" s="1268">
        <v>6.9354990000000005E-2</v>
      </c>
      <c r="E76" s="1268">
        <v>4.1418854299999994</v>
      </c>
      <c r="F76" s="1274"/>
      <c r="G76" s="1274"/>
      <c r="H76" s="469"/>
      <c r="I76" s="469"/>
      <c r="J76" s="470"/>
      <c r="K76" s="216"/>
      <c r="L76" s="159"/>
      <c r="M76" s="160"/>
      <c r="N76" s="160"/>
      <c r="O76" s="161"/>
      <c r="P76" s="162"/>
      <c r="Q76" s="163"/>
      <c r="R76" s="163"/>
      <c r="S76" s="164"/>
      <c r="T76" s="164"/>
      <c r="U76" s="164"/>
      <c r="V76" s="114"/>
    </row>
    <row r="77" spans="3:22" ht="15" customHeight="1">
      <c r="C77" s="1090" t="str">
        <f>IF(Indice_index!$Z$1=1,"Passivos financeiros líquidos de amortizações","Financial liabilities net of amortizations")</f>
        <v>Financial liabilities net of amortizations</v>
      </c>
      <c r="D77" s="1268">
        <v>-197.59786533772504</v>
      </c>
      <c r="E77" s="1268">
        <v>-128.78045443772487</v>
      </c>
      <c r="F77" s="1274"/>
      <c r="G77" s="1274"/>
      <c r="H77" s="469"/>
      <c r="I77" s="469"/>
      <c r="J77" s="470"/>
      <c r="K77" s="216"/>
      <c r="L77" s="159"/>
      <c r="M77" s="160"/>
      <c r="N77" s="160"/>
      <c r="O77" s="161"/>
      <c r="P77" s="162"/>
      <c r="Q77" s="163"/>
      <c r="R77" s="163"/>
      <c r="S77" s="164"/>
      <c r="T77" s="164"/>
      <c r="U77" s="164"/>
      <c r="V77" s="114"/>
    </row>
    <row r="78" spans="3:22" ht="15" customHeight="1">
      <c r="C78" s="1090" t="str">
        <f>IF(Indice_index!$Z$1=1,"Poupança (+) / Utilização (-) de saldo da gerência anterior","Saving (+) / Usage (-) of balance from previous management")</f>
        <v>Saving (+) / Usage (-) of balance from previous management</v>
      </c>
      <c r="D78" s="1268">
        <v>-41.640396668655427</v>
      </c>
      <c r="E78" s="1268">
        <v>-152.49019998009146</v>
      </c>
      <c r="F78" s="1274"/>
      <c r="G78" s="1274"/>
      <c r="H78" s="469"/>
      <c r="I78" s="469"/>
      <c r="J78" s="470"/>
      <c r="K78" s="216"/>
      <c r="L78" s="159"/>
      <c r="M78" s="160"/>
      <c r="N78" s="160"/>
      <c r="O78" s="161"/>
      <c r="P78" s="162"/>
      <c r="Q78" s="163"/>
      <c r="R78" s="163"/>
      <c r="S78" s="164"/>
      <c r="T78" s="164"/>
      <c r="U78" s="164"/>
      <c r="V78" s="114"/>
    </row>
    <row r="79" spans="3:22" ht="15" customHeight="1">
      <c r="C79" s="1289" t="str">
        <f>IF(Indice_index!$Z$1=1,"Taxa de comparticip. financiam. comunitário","Community financing rate")</f>
        <v>Community financing rate</v>
      </c>
      <c r="D79" s="1290">
        <v>0.22343653996717938</v>
      </c>
      <c r="E79" s="1290">
        <v>0.2387477014599243</v>
      </c>
      <c r="F79" s="1291"/>
      <c r="G79" s="1291"/>
      <c r="H79" s="469"/>
      <c r="I79" s="469"/>
      <c r="J79" s="470"/>
      <c r="K79" s="216"/>
      <c r="L79" s="159"/>
      <c r="M79" s="160"/>
      <c r="N79" s="160"/>
      <c r="O79" s="161"/>
      <c r="P79" s="162"/>
      <c r="Q79" s="163"/>
      <c r="R79" s="163"/>
      <c r="S79" s="164"/>
      <c r="T79" s="164"/>
      <c r="U79" s="164"/>
      <c r="V79" s="114"/>
    </row>
    <row r="80" spans="3:22" ht="4.5" customHeight="1">
      <c r="C80" s="1090"/>
      <c r="D80" s="1292"/>
      <c r="E80" s="1292"/>
      <c r="F80" s="1293"/>
      <c r="G80" s="1293"/>
      <c r="H80" s="469"/>
      <c r="I80" s="469"/>
      <c r="J80" s="470"/>
      <c r="K80" s="216"/>
      <c r="L80" s="159"/>
      <c r="M80" s="160"/>
      <c r="N80" s="160"/>
      <c r="O80" s="161"/>
      <c r="P80" s="162"/>
      <c r="Q80" s="163"/>
      <c r="R80" s="163"/>
      <c r="S80" s="164"/>
      <c r="T80" s="164"/>
      <c r="U80" s="164"/>
      <c r="V80" s="114"/>
    </row>
    <row r="81" spans="3:13" ht="15" customHeight="1">
      <c r="C81" s="1294" t="str">
        <f>IF(Indice_index!$Z$1=1,"Notas:","Notes:")</f>
        <v>Notes:</v>
      </c>
      <c r="D81" s="1295"/>
      <c r="E81" s="1295"/>
      <c r="F81" s="1296"/>
      <c r="G81" s="1296"/>
      <c r="H81" s="254"/>
      <c r="I81"/>
      <c r="J81"/>
      <c r="K81" s="216"/>
      <c r="L81" s="159"/>
    </row>
    <row r="82" spans="3:13" ht="24" customHeight="1">
      <c r="C82" s="1624"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2" s="1625"/>
      <c r="E82" s="1625"/>
      <c r="F82" s="1625"/>
      <c r="G82" s="1625"/>
      <c r="H82" s="254"/>
      <c r="I82"/>
      <c r="J82"/>
      <c r="K82" s="159"/>
      <c r="L82" s="159"/>
    </row>
    <row r="83" spans="3:13" ht="21.75" customHeight="1">
      <c r="C83" s="1624"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3" s="1624"/>
      <c r="E83" s="1624"/>
      <c r="F83" s="1624"/>
      <c r="G83" s="1624"/>
      <c r="H83" s="254"/>
      <c r="I83"/>
      <c r="J83"/>
      <c r="K83" s="159"/>
      <c r="L83" s="159"/>
    </row>
    <row r="84" spans="3:13" ht="15" customHeight="1">
      <c r="C84" s="1297">
        <v>2020</v>
      </c>
      <c r="D84" s="1298"/>
      <c r="E84" s="1298"/>
      <c r="F84" s="1298"/>
      <c r="G84" s="1298"/>
      <c r="H84" s="254"/>
      <c r="I84" s="254"/>
      <c r="J84"/>
      <c r="K84" s="159"/>
      <c r="L84" s="159"/>
    </row>
    <row r="85" spans="3:13" ht="18" customHeight="1">
      <c r="C85" s="1618" t="str">
        <f>IF(Indice_index!$Z$1=1,"Dados reportados de 2020: 300 municipios; Em falta: 8.","Entities in default (8 municipalities) in the reporting of budget execution, in the month under review:")</f>
        <v>Entities in default (8 municipalities) in the reporting of budget execution, in the month under review:</v>
      </c>
      <c r="D85" s="1618"/>
      <c r="E85" s="1618"/>
      <c r="F85" s="1618"/>
      <c r="G85" s="1618"/>
      <c r="H85" s="254"/>
      <c r="I85" s="254"/>
      <c r="J85"/>
      <c r="K85" s="159"/>
      <c r="L85" s="159"/>
    </row>
    <row r="86" spans="3:13" ht="4.5" customHeight="1">
      <c r="C86" s="1627"/>
      <c r="D86" s="1627"/>
      <c r="E86" s="1627"/>
      <c r="F86" s="1627"/>
      <c r="G86" s="1627"/>
      <c r="H86" s="254"/>
      <c r="I86" s="254"/>
      <c r="J86"/>
      <c r="K86" s="159"/>
      <c r="L86" s="159"/>
    </row>
    <row r="87" spans="3:13" ht="15" customHeight="1">
      <c r="C87" s="1628">
        <v>2021</v>
      </c>
      <c r="D87" s="1628"/>
      <c r="E87" s="1628"/>
      <c r="F87" s="1299"/>
      <c r="G87" s="1299"/>
      <c r="H87" s="254"/>
      <c r="I87" s="254"/>
      <c r="J87"/>
    </row>
    <row r="88" spans="3:13" ht="15" customHeight="1">
      <c r="C88" s="1618" t="str">
        <f>IF(Indice_index!$Z$1=1,"Dados reportados de 2021: 76 municipios; Em falta: 232.","Entities in default (232 municipalities) in the reporting of budget execution, in the month under review:")</f>
        <v>Entities in default (232 municipalities) in the reporting of budget execution, in the month under review:</v>
      </c>
      <c r="D88" s="1618"/>
      <c r="E88" s="1618"/>
      <c r="F88" s="1618"/>
      <c r="G88" s="1618"/>
      <c r="H88" s="254"/>
      <c r="I88" s="254"/>
    </row>
    <row r="89" spans="3:13" ht="4.5" customHeight="1">
      <c r="C89" s="1299"/>
      <c r="D89" s="1299"/>
      <c r="E89" s="1299"/>
      <c r="F89" s="1299"/>
      <c r="G89" s="1299"/>
      <c r="H89" s="254"/>
      <c r="I89" s="254"/>
    </row>
    <row r="90" spans="3:13" ht="26.25" customHeight="1">
      <c r="C90" s="1635"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90" s="1625"/>
      <c r="E90" s="1625"/>
      <c r="F90" s="1625"/>
      <c r="G90" s="1625"/>
      <c r="H90" s="254"/>
      <c r="I90" s="1629"/>
      <c r="J90" s="1618"/>
      <c r="K90" s="1618"/>
      <c r="L90" s="1618"/>
      <c r="M90" s="1618"/>
    </row>
    <row r="91" spans="3:13" ht="4.5" customHeight="1">
      <c r="C91" s="1300"/>
      <c r="D91" s="1301"/>
      <c r="E91" s="1301"/>
      <c r="F91" s="1301"/>
      <c r="G91" s="1301"/>
      <c r="H91" s="254"/>
      <c r="I91" s="507"/>
      <c r="J91" s="508"/>
      <c r="K91" s="508"/>
      <c r="L91" s="508"/>
      <c r="M91" s="508"/>
    </row>
    <row r="92" spans="3:13" ht="15" customHeight="1">
      <c r="C92" s="1090" t="str">
        <f>IF(Indice_index!$Z$1=1,"Fonte: BIORC - DGO com base nos dados da execução orçamental dos municípios reportada na DGAL/SIIAL/SISAL","Source: BIORC - DGO based on the data of budget execution of municipalities reported in DGAL / SIIAL/SISAL")</f>
        <v>Source: BIORC - DGO based on the data of budget execution of municipalities reported in DGAL / SIIAL/SISAL</v>
      </c>
      <c r="H92" s="254"/>
      <c r="I92" s="254"/>
    </row>
    <row r="93" spans="3:13">
      <c r="D93" s="583"/>
      <c r="E93" s="583"/>
      <c r="F93" s="583"/>
      <c r="G93" s="583"/>
      <c r="H93" s="167"/>
    </row>
    <row r="94" spans="3:13" ht="26.25" customHeight="1">
      <c r="C94" s="1630"/>
      <c r="D94" s="1631"/>
      <c r="E94" s="1631"/>
      <c r="F94" s="1631"/>
      <c r="G94" s="1631"/>
      <c r="H94" s="167"/>
    </row>
    <row r="95" spans="3:13" ht="6.75" customHeight="1">
      <c r="C95" s="1115"/>
      <c r="D95" s="1116"/>
      <c r="E95" s="1116"/>
      <c r="F95" s="1116"/>
      <c r="G95" s="1116"/>
      <c r="H95" s="167"/>
    </row>
    <row r="96" spans="3:13" ht="13.5" customHeight="1">
      <c r="D96" s="218"/>
      <c r="E96" s="218"/>
      <c r="F96" s="218"/>
      <c r="G96" s="218"/>
      <c r="H96" s="166"/>
    </row>
    <row r="97" spans="3:17" ht="12.75" customHeight="1">
      <c r="C97" s="219"/>
      <c r="D97" s="219"/>
      <c r="E97" s="219"/>
      <c r="F97" s="219"/>
      <c r="G97" s="219"/>
      <c r="H97" s="166"/>
      <c r="I97" s="168"/>
      <c r="J97" s="168"/>
      <c r="K97" s="168"/>
      <c r="L97" s="168"/>
      <c r="M97" s="168"/>
      <c r="N97" s="168"/>
      <c r="O97" s="166"/>
      <c r="P97" s="166"/>
      <c r="Q97" s="166"/>
    </row>
    <row r="98" spans="3:17" ht="27" customHeight="1">
      <c r="C98" s="1632"/>
      <c r="D98" s="1632"/>
      <c r="E98" s="1632"/>
      <c r="F98" s="1632"/>
      <c r="G98" s="1632"/>
      <c r="H98" s="168"/>
    </row>
    <row r="100" spans="3:17" ht="12.75" customHeight="1">
      <c r="C100" s="220"/>
      <c r="D100" s="255"/>
      <c r="E100" s="255"/>
      <c r="F100" s="255"/>
      <c r="G100" s="255"/>
      <c r="H100" s="255"/>
    </row>
    <row r="101" spans="3:17" ht="12.75" customHeight="1">
      <c r="C101" s="1633"/>
      <c r="D101" s="1634"/>
      <c r="E101" s="1634"/>
      <c r="F101" s="1634"/>
      <c r="G101" s="1634"/>
      <c r="H101" s="1634"/>
    </row>
    <row r="102" spans="3:17" ht="12.75" customHeight="1"/>
    <row r="103" spans="3:17">
      <c r="C103" s="1626"/>
      <c r="D103" s="1626"/>
      <c r="E103" s="1626"/>
      <c r="F103" s="1626"/>
      <c r="G103" s="1626"/>
    </row>
    <row r="104" spans="3:17">
      <c r="C104" s="169"/>
      <c r="D104" s="169"/>
      <c r="E104" s="169"/>
      <c r="F104" s="169"/>
      <c r="G104" s="169"/>
    </row>
    <row r="105" spans="3:17">
      <c r="C105" s="169"/>
      <c r="D105" s="169"/>
      <c r="E105" s="169"/>
      <c r="F105" s="169"/>
      <c r="G105" s="169"/>
    </row>
    <row r="106" spans="3:17">
      <c r="C106" s="169"/>
      <c r="D106" s="169"/>
      <c r="E106" s="169"/>
      <c r="F106" s="169"/>
      <c r="G106" s="169"/>
    </row>
    <row r="107" spans="3:17">
      <c r="C107" s="169"/>
      <c r="D107" s="169"/>
      <c r="E107" s="169"/>
      <c r="F107" s="169"/>
      <c r="G107" s="169"/>
    </row>
    <row r="108" spans="3:17">
      <c r="C108" s="169"/>
      <c r="D108" s="169"/>
      <c r="E108" s="169"/>
      <c r="F108" s="169"/>
      <c r="G108" s="169"/>
    </row>
    <row r="109" spans="3:17">
      <c r="C109" s="169"/>
      <c r="D109" s="169"/>
      <c r="E109" s="169"/>
      <c r="F109" s="169"/>
      <c r="G109" s="169"/>
    </row>
    <row r="110" spans="3:17">
      <c r="C110" s="169"/>
      <c r="D110" s="169"/>
      <c r="E110" s="169"/>
      <c r="F110" s="169"/>
      <c r="G110" s="169"/>
    </row>
    <row r="111" spans="3:17">
      <c r="C111" s="169"/>
      <c r="D111" s="169"/>
      <c r="E111" s="169"/>
      <c r="F111" s="169"/>
      <c r="G111" s="169"/>
    </row>
    <row r="112" spans="3:17">
      <c r="C112" s="169"/>
      <c r="D112" s="169"/>
      <c r="E112" s="169"/>
      <c r="F112" s="169"/>
      <c r="G112" s="169"/>
    </row>
    <row r="113" spans="3:7">
      <c r="C113" s="169"/>
      <c r="D113" s="169"/>
      <c r="E113" s="169"/>
      <c r="F113" s="169"/>
      <c r="G113" s="169"/>
    </row>
    <row r="114" spans="3:7">
      <c r="C114" s="169"/>
      <c r="D114" s="169"/>
      <c r="E114" s="169"/>
      <c r="F114" s="169"/>
      <c r="G114" s="169"/>
    </row>
    <row r="115" spans="3:7">
      <c r="C115" s="169"/>
      <c r="D115" s="169"/>
      <c r="E115" s="169"/>
      <c r="F115" s="169"/>
      <c r="G115" s="169"/>
    </row>
    <row r="116" spans="3:7">
      <c r="C116" s="169"/>
      <c r="D116" s="169"/>
      <c r="E116" s="169"/>
      <c r="F116" s="169"/>
      <c r="G116" s="169"/>
    </row>
    <row r="117" spans="3:7">
      <c r="C117" s="169"/>
      <c r="D117" s="169"/>
      <c r="E117" s="169"/>
      <c r="F117" s="169"/>
      <c r="G117" s="169"/>
    </row>
    <row r="118" spans="3:7">
      <c r="C118" s="169"/>
      <c r="D118" s="169"/>
      <c r="E118" s="169"/>
      <c r="F118" s="169"/>
      <c r="G118" s="169"/>
    </row>
    <row r="119" spans="3:7">
      <c r="C119" s="169"/>
      <c r="D119" s="169"/>
      <c r="E119" s="169"/>
      <c r="F119" s="169"/>
      <c r="G119" s="169"/>
    </row>
    <row r="120" spans="3:7">
      <c r="C120" s="169"/>
      <c r="D120" s="169"/>
      <c r="E120" s="169"/>
      <c r="F120" s="169"/>
      <c r="G120" s="169"/>
    </row>
    <row r="121" spans="3:7">
      <c r="C121" s="169"/>
      <c r="D121" s="169"/>
      <c r="E121" s="169"/>
      <c r="F121" s="169"/>
      <c r="G121" s="169"/>
    </row>
    <row r="122" spans="3:7">
      <c r="C122" s="169"/>
      <c r="D122" s="169"/>
      <c r="E122" s="169"/>
      <c r="F122" s="169"/>
      <c r="G122" s="169"/>
    </row>
    <row r="123" spans="3:7">
      <c r="C123" s="169"/>
      <c r="D123" s="169"/>
      <c r="E123" s="169"/>
      <c r="F123" s="169"/>
      <c r="G123" s="169"/>
    </row>
    <row r="124" spans="3:7">
      <c r="C124" s="169"/>
      <c r="D124" s="169"/>
      <c r="E124" s="169"/>
      <c r="F124" s="169"/>
      <c r="G124" s="169"/>
    </row>
    <row r="125" spans="3:7">
      <c r="C125" s="169"/>
      <c r="D125" s="169"/>
      <c r="E125" s="169"/>
      <c r="F125" s="169"/>
      <c r="G125" s="169"/>
    </row>
    <row r="126" spans="3:7">
      <c r="C126" s="169"/>
      <c r="D126" s="169"/>
      <c r="E126" s="169"/>
      <c r="F126" s="169"/>
      <c r="G126" s="169"/>
    </row>
    <row r="127" spans="3:7">
      <c r="C127" s="169"/>
      <c r="D127" s="169"/>
      <c r="E127" s="169"/>
      <c r="F127" s="169"/>
      <c r="G127" s="169"/>
    </row>
    <row r="128" spans="3:7">
      <c r="C128" s="169"/>
      <c r="D128" s="169"/>
      <c r="E128" s="169"/>
      <c r="F128" s="169"/>
      <c r="G128" s="169"/>
    </row>
    <row r="129" spans="3:7">
      <c r="C129" s="169"/>
      <c r="D129" s="169"/>
      <c r="E129" s="169"/>
      <c r="F129" s="169"/>
      <c r="G129" s="169"/>
    </row>
    <row r="130" spans="3:7">
      <c r="C130" s="169"/>
      <c r="D130" s="169"/>
      <c r="E130" s="169"/>
      <c r="F130" s="169"/>
      <c r="G130" s="169"/>
    </row>
    <row r="131" spans="3:7">
      <c r="C131" s="169"/>
      <c r="D131" s="169"/>
      <c r="E131" s="169"/>
      <c r="F131" s="169"/>
      <c r="G131" s="169"/>
    </row>
    <row r="132" spans="3:7">
      <c r="C132" s="169"/>
      <c r="D132" s="169"/>
      <c r="E132" s="169"/>
      <c r="F132" s="169"/>
      <c r="G132" s="169"/>
    </row>
    <row r="133" spans="3:7">
      <c r="C133" s="169"/>
      <c r="D133" s="169"/>
      <c r="E133" s="169"/>
      <c r="F133" s="169"/>
      <c r="G133" s="169"/>
    </row>
    <row r="134" spans="3:7">
      <c r="C134" s="169"/>
      <c r="D134" s="169"/>
      <c r="E134" s="169"/>
      <c r="F134" s="169"/>
      <c r="G134" s="169"/>
    </row>
    <row r="135" spans="3:7">
      <c r="C135" s="169"/>
      <c r="D135" s="169"/>
      <c r="E135" s="169"/>
      <c r="F135" s="169"/>
      <c r="G135" s="169"/>
    </row>
    <row r="136" spans="3:7">
      <c r="C136" s="169"/>
      <c r="D136" s="169"/>
      <c r="E136" s="169"/>
      <c r="F136" s="169"/>
      <c r="G136" s="169"/>
    </row>
    <row r="137" spans="3:7">
      <c r="C137" s="169"/>
      <c r="D137" s="169"/>
      <c r="E137" s="169"/>
      <c r="F137" s="169"/>
      <c r="G137" s="169"/>
    </row>
    <row r="138" spans="3:7">
      <c r="C138" s="169"/>
      <c r="D138" s="169"/>
      <c r="E138" s="169"/>
      <c r="F138" s="169"/>
      <c r="G138" s="169"/>
    </row>
    <row r="139" spans="3:7">
      <c r="C139" s="169"/>
      <c r="D139" s="169"/>
      <c r="E139" s="169"/>
      <c r="F139" s="169"/>
      <c r="G139" s="169"/>
    </row>
    <row r="140" spans="3:7">
      <c r="C140" s="169"/>
      <c r="D140" s="169"/>
      <c r="E140" s="169"/>
      <c r="F140" s="169"/>
      <c r="G140" s="169"/>
    </row>
    <row r="141" spans="3:7">
      <c r="C141" s="169"/>
      <c r="D141" s="169"/>
      <c r="E141" s="169"/>
      <c r="F141" s="169"/>
      <c r="G141" s="169"/>
    </row>
    <row r="142" spans="3:7">
      <c r="C142" s="169"/>
      <c r="D142" s="169"/>
      <c r="E142" s="169"/>
      <c r="F142" s="169"/>
      <c r="G142" s="169"/>
    </row>
    <row r="143" spans="3:7">
      <c r="C143" s="169"/>
      <c r="D143" s="169"/>
      <c r="E143" s="169"/>
      <c r="F143" s="169"/>
      <c r="G143" s="169"/>
    </row>
    <row r="144" spans="3:7">
      <c r="C144" s="169"/>
      <c r="D144" s="169"/>
      <c r="E144" s="169"/>
      <c r="F144" s="169"/>
      <c r="G144" s="169"/>
    </row>
    <row r="145" spans="3:7">
      <c r="C145" s="169"/>
      <c r="D145" s="169"/>
      <c r="E145" s="169"/>
      <c r="F145" s="169"/>
      <c r="G145" s="169"/>
    </row>
    <row r="146" spans="3:7">
      <c r="C146" s="169"/>
      <c r="D146" s="169"/>
      <c r="E146" s="169"/>
      <c r="F146" s="169"/>
      <c r="G146" s="169"/>
    </row>
    <row r="147" spans="3:7">
      <c r="C147" s="169"/>
      <c r="D147" s="169"/>
      <c r="E147" s="169"/>
      <c r="F147" s="169"/>
      <c r="G147" s="169"/>
    </row>
    <row r="148" spans="3:7">
      <c r="C148" s="169"/>
      <c r="D148" s="169"/>
      <c r="E148" s="169"/>
      <c r="F148" s="169"/>
      <c r="G148" s="169"/>
    </row>
    <row r="149" spans="3:7">
      <c r="C149" s="169"/>
      <c r="D149" s="169"/>
      <c r="E149" s="169"/>
      <c r="F149" s="169"/>
      <c r="G149" s="169"/>
    </row>
    <row r="150" spans="3:7">
      <c r="C150" s="169"/>
      <c r="D150" s="169"/>
      <c r="E150" s="169"/>
      <c r="F150" s="169"/>
      <c r="G150" s="169"/>
    </row>
    <row r="151" spans="3:7">
      <c r="C151" s="169"/>
      <c r="D151" s="169"/>
      <c r="E151" s="169"/>
      <c r="F151" s="169"/>
      <c r="G151" s="169"/>
    </row>
    <row r="152" spans="3:7">
      <c r="C152" s="169"/>
      <c r="D152" s="169"/>
      <c r="E152" s="169"/>
      <c r="F152" s="169"/>
      <c r="G152" s="169"/>
    </row>
    <row r="153" spans="3:7">
      <c r="C153" s="169"/>
      <c r="D153" s="169"/>
      <c r="E153" s="169"/>
      <c r="F153" s="169"/>
      <c r="G153" s="169"/>
    </row>
    <row r="154" spans="3:7">
      <c r="C154" s="169"/>
      <c r="D154" s="169"/>
      <c r="E154" s="169"/>
      <c r="F154" s="169"/>
      <c r="G154" s="169"/>
    </row>
    <row r="155" spans="3:7">
      <c r="C155" s="169"/>
      <c r="D155" s="169"/>
      <c r="E155" s="169"/>
      <c r="F155" s="169"/>
      <c r="G155" s="169"/>
    </row>
    <row r="156" spans="3:7">
      <c r="C156" s="169"/>
      <c r="D156" s="169"/>
      <c r="E156" s="169"/>
      <c r="F156" s="169"/>
      <c r="G156" s="169"/>
    </row>
    <row r="157" spans="3:7">
      <c r="C157" s="169"/>
      <c r="D157" s="169"/>
      <c r="E157" s="169"/>
      <c r="F157" s="169"/>
      <c r="G157" s="169"/>
    </row>
    <row r="158" spans="3:7">
      <c r="C158" s="169"/>
      <c r="D158" s="169"/>
      <c r="E158" s="169"/>
      <c r="F158" s="169"/>
      <c r="G158" s="169"/>
    </row>
    <row r="159" spans="3:7">
      <c r="C159" s="169"/>
      <c r="D159" s="169"/>
      <c r="E159" s="169"/>
      <c r="F159" s="169"/>
      <c r="G159" s="169"/>
    </row>
    <row r="160" spans="3:7">
      <c r="C160" s="169"/>
      <c r="D160" s="169"/>
      <c r="E160" s="169"/>
      <c r="F160" s="169"/>
      <c r="G160" s="169"/>
    </row>
    <row r="161" spans="3:7">
      <c r="C161" s="169"/>
      <c r="D161" s="169"/>
      <c r="E161" s="169"/>
      <c r="F161" s="169"/>
      <c r="G161" s="169"/>
    </row>
    <row r="162" spans="3:7">
      <c r="C162" s="169"/>
      <c r="D162" s="169"/>
      <c r="E162" s="169"/>
      <c r="F162" s="169"/>
      <c r="G162" s="169"/>
    </row>
    <row r="163" spans="3:7">
      <c r="C163" s="169"/>
      <c r="D163" s="169"/>
      <c r="E163" s="169"/>
      <c r="F163" s="169"/>
      <c r="G163" s="169"/>
    </row>
    <row r="164" spans="3:7">
      <c r="C164" s="169"/>
      <c r="D164" s="169"/>
      <c r="E164" s="169"/>
      <c r="F164" s="169"/>
      <c r="G164" s="169"/>
    </row>
    <row r="165" spans="3:7">
      <c r="C165" s="169"/>
      <c r="D165" s="169"/>
      <c r="E165" s="169"/>
      <c r="F165" s="169"/>
      <c r="G165" s="169"/>
    </row>
    <row r="166" spans="3:7">
      <c r="C166" s="169"/>
      <c r="D166" s="169"/>
      <c r="E166" s="169"/>
      <c r="F166" s="169"/>
      <c r="G166" s="169"/>
    </row>
    <row r="167" spans="3:7">
      <c r="C167" s="169"/>
      <c r="D167" s="169"/>
      <c r="E167" s="169"/>
      <c r="F167" s="169"/>
      <c r="G167" s="169"/>
    </row>
    <row r="168" spans="3:7">
      <c r="C168" s="169"/>
      <c r="D168" s="169"/>
      <c r="E168" s="169"/>
      <c r="F168" s="169"/>
      <c r="G168" s="169"/>
    </row>
    <row r="169" spans="3:7">
      <c r="C169" s="169"/>
      <c r="D169" s="169"/>
      <c r="E169" s="169"/>
      <c r="F169" s="169"/>
      <c r="G169" s="169"/>
    </row>
    <row r="170" spans="3:7">
      <c r="C170" s="169"/>
      <c r="D170" s="169"/>
      <c r="E170" s="169"/>
      <c r="F170" s="169"/>
      <c r="G170" s="169"/>
    </row>
    <row r="171" spans="3:7">
      <c r="C171" s="169"/>
      <c r="D171" s="169"/>
      <c r="E171" s="169"/>
      <c r="F171" s="169"/>
      <c r="G171" s="169"/>
    </row>
    <row r="172" spans="3:7">
      <c r="C172" s="169"/>
      <c r="D172" s="169"/>
      <c r="E172" s="169"/>
      <c r="F172" s="169"/>
      <c r="G172" s="169"/>
    </row>
    <row r="173" spans="3:7">
      <c r="C173" s="169"/>
      <c r="D173" s="169"/>
      <c r="E173" s="169"/>
      <c r="F173" s="169"/>
      <c r="G173" s="169"/>
    </row>
    <row r="174" spans="3:7">
      <c r="C174" s="169"/>
      <c r="D174" s="169"/>
      <c r="E174" s="169"/>
      <c r="F174" s="169"/>
      <c r="G174" s="169"/>
    </row>
    <row r="175" spans="3:7">
      <c r="C175" s="169"/>
      <c r="D175" s="169"/>
      <c r="E175" s="169"/>
      <c r="F175" s="169"/>
      <c r="G175" s="169"/>
    </row>
    <row r="176" spans="3:7">
      <c r="C176" s="169"/>
      <c r="D176" s="169"/>
      <c r="E176" s="169"/>
      <c r="F176" s="169"/>
      <c r="G176" s="169"/>
    </row>
    <row r="177" spans="3:7">
      <c r="C177" s="169"/>
      <c r="D177" s="169"/>
      <c r="E177" s="169"/>
      <c r="F177" s="169"/>
      <c r="G177" s="169"/>
    </row>
    <row r="178" spans="3:7">
      <c r="C178" s="169"/>
      <c r="D178" s="169"/>
      <c r="E178" s="169"/>
      <c r="F178" s="169"/>
      <c r="G178" s="169"/>
    </row>
    <row r="179" spans="3:7">
      <c r="C179" s="169"/>
      <c r="D179" s="169"/>
      <c r="E179" s="169"/>
      <c r="F179" s="169"/>
      <c r="G179" s="169"/>
    </row>
    <row r="180" spans="3:7">
      <c r="C180" s="169"/>
      <c r="D180" s="169"/>
      <c r="E180" s="169"/>
      <c r="F180" s="169"/>
      <c r="G180" s="169"/>
    </row>
    <row r="181" spans="3:7">
      <c r="C181" s="169"/>
      <c r="D181" s="169"/>
      <c r="E181" s="169"/>
      <c r="F181" s="169"/>
      <c r="G181" s="169"/>
    </row>
  </sheetData>
  <mergeCells count="15">
    <mergeCell ref="C103:G103"/>
    <mergeCell ref="C86:G86"/>
    <mergeCell ref="C87:E87"/>
    <mergeCell ref="I90:M90"/>
    <mergeCell ref="C94:G94"/>
    <mergeCell ref="C98:G98"/>
    <mergeCell ref="C101:H101"/>
    <mergeCell ref="C90:G90"/>
    <mergeCell ref="C88:G88"/>
    <mergeCell ref="C85:G85"/>
    <mergeCell ref="C7:C8"/>
    <mergeCell ref="D7:E7"/>
    <mergeCell ref="F7:G7"/>
    <mergeCell ref="C82:G82"/>
    <mergeCell ref="C83:G83"/>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dimension ref="A1:S73"/>
  <sheetViews>
    <sheetView showGridLines="0" zoomScaleNormal="100" zoomScaleSheetLayoutView="100" workbookViewId="0">
      <selection activeCell="B2" sqref="B2"/>
    </sheetView>
  </sheetViews>
  <sheetFormatPr defaultColWidth="9.140625" defaultRowHeight="12.75"/>
  <cols>
    <col min="1" max="1" width="1.5703125" style="409" customWidth="1"/>
    <col min="2" max="2" width="4.42578125" style="409" customWidth="1"/>
    <col min="3" max="3" width="44.5703125" style="409" customWidth="1"/>
    <col min="4" max="5" width="9.42578125" style="409" customWidth="1"/>
    <col min="6" max="6" width="1.140625" style="409" customWidth="1"/>
    <col min="7" max="8" width="9.42578125" style="409" customWidth="1"/>
    <col min="9" max="9" width="1.140625" style="409" customWidth="1"/>
    <col min="10" max="10" width="9.42578125" style="409" customWidth="1"/>
    <col min="11" max="11" width="9.5703125" style="409" customWidth="1"/>
    <col min="12" max="17" width="8.5703125" style="409" customWidth="1"/>
    <col min="18" max="16384" width="9.140625" style="409"/>
  </cols>
  <sheetData>
    <row r="1" spans="1:19" ht="15" customHeight="1"/>
    <row r="2" spans="1:19" ht="24" customHeight="1">
      <c r="B2" s="8"/>
      <c r="C2" s="343" t="str">
        <f>IF(Indice_index!$Z$1=1,"15 - Despesa com Ativos Financeiros do Estado","15 - State Financial assets expenditure")</f>
        <v>15 - State Financial assets expenditure</v>
      </c>
      <c r="D2" s="343"/>
      <c r="E2" s="343"/>
      <c r="F2" s="343"/>
      <c r="G2" s="343"/>
      <c r="H2" s="343"/>
      <c r="I2" s="343"/>
      <c r="J2" s="343"/>
      <c r="K2" s="343"/>
    </row>
    <row r="3" spans="1:19" ht="15" customHeight="1"/>
    <row r="4" spans="1:19" ht="15" customHeight="1"/>
    <row r="5" spans="1:19" s="410" customFormat="1" ht="15" customHeight="1">
      <c r="C5" s="1321" t="str">
        <f>+'4 - Conta AC + SS'!C5</f>
        <v>Period: January to December</v>
      </c>
      <c r="D5" s="1321"/>
      <c r="E5" s="1321"/>
      <c r="F5" s="496"/>
      <c r="G5" s="1321"/>
      <c r="H5" s="1321"/>
      <c r="I5" s="496"/>
      <c r="J5" s="1321"/>
      <c r="K5" s="1343" t="str">
        <f>IF(Indice_index!$Z$1=1,"€ Milhões","€ Millions")</f>
        <v>€ Millions</v>
      </c>
    </row>
    <row r="6" spans="1:19" ht="22.5">
      <c r="C6" s="1322"/>
      <c r="D6" s="1323" t="str">
        <f>IF(Indice_index!$Z$1=1,"CGE","Final execution")</f>
        <v>Final execution</v>
      </c>
      <c r="E6" s="1324" t="str">
        <f>IF(Indice_index!$Z$1=1,"Orçamento Inicial","Budget")</f>
        <v>Budget</v>
      </c>
      <c r="F6" s="1338"/>
      <c r="G6" s="1636" t="str">
        <f>IF(Indice_index!$Z$1=1,"Execução Mensal","Monthly Execution")</f>
        <v>Monthly Execution</v>
      </c>
      <c r="H6" s="1636"/>
      <c r="I6" s="1338"/>
      <c r="J6" s="1338" t="str">
        <f>IF(Indice_index!$Z$1=1,"Execução Acumulada","Accumulated Execution")</f>
        <v>Accumulated Execution</v>
      </c>
      <c r="K6" s="1637" t="str">
        <f>IF(Indice_index!$Z$1=1,"Grau de Execução (%)","Execution Degree (%)")</f>
        <v>Execution Degree (%)</v>
      </c>
      <c r="L6" s="411"/>
      <c r="M6" s="411"/>
      <c r="N6" s="411"/>
      <c r="O6" s="411"/>
      <c r="P6" s="411"/>
      <c r="Q6" s="411"/>
      <c r="R6" s="412"/>
      <c r="S6" s="412"/>
    </row>
    <row r="7" spans="1:19" ht="21.75" customHeight="1">
      <c r="C7" s="1325"/>
      <c r="D7" s="1326" t="s">
        <v>66</v>
      </c>
      <c r="E7" s="1326" t="s">
        <v>83</v>
      </c>
      <c r="F7" s="1339"/>
      <c r="G7" s="1337" t="str">
        <f>IF(Indice_index!$Z$1=1,"nov-21","Nov-21")</f>
        <v>Nov-21</v>
      </c>
      <c r="H7" s="1337" t="str">
        <f>IF(Indice_index!$Z$1=1,"dez-21","Dec-21")</f>
        <v>Dec-21</v>
      </c>
      <c r="I7" s="1339"/>
      <c r="J7" s="1326">
        <v>2021</v>
      </c>
      <c r="K7" s="1638"/>
      <c r="L7" s="413"/>
      <c r="M7" s="414"/>
      <c r="N7" s="408"/>
      <c r="O7" s="408"/>
      <c r="P7" s="415"/>
      <c r="Q7" s="416"/>
      <c r="R7" s="412"/>
      <c r="S7" s="412"/>
    </row>
    <row r="8" spans="1:19" s="417" customFormat="1" ht="4.5" customHeight="1">
      <c r="A8" s="409"/>
      <c r="C8" s="1327"/>
      <c r="D8" s="1327"/>
      <c r="E8" s="1327"/>
      <c r="F8" s="1327"/>
      <c r="G8" s="418"/>
      <c r="H8" s="418"/>
      <c r="I8" s="1327"/>
      <c r="J8" s="418"/>
      <c r="K8" s="418"/>
      <c r="L8" s="418"/>
      <c r="N8" s="418"/>
      <c r="P8" s="383"/>
    </row>
    <row r="9" spans="1:19" s="410" customFormat="1" ht="15" customHeight="1">
      <c r="C9" s="1328" t="str">
        <f>IF(Indice_index!$Z$1=1,"Empréstimos a curto prazo","Short term loans")</f>
        <v>Short term loans</v>
      </c>
      <c r="D9" s="1329">
        <v>99.320997970000008</v>
      </c>
      <c r="E9" s="1329">
        <v>32.872986999999995</v>
      </c>
      <c r="F9" s="419"/>
      <c r="G9" s="1329">
        <v>0</v>
      </c>
      <c r="H9" s="1329">
        <v>0</v>
      </c>
      <c r="I9" s="419"/>
      <c r="J9" s="419">
        <v>19.559999999999999</v>
      </c>
      <c r="K9" s="419">
        <v>59.50174226637818</v>
      </c>
      <c r="L9" s="420"/>
      <c r="M9" s="421"/>
      <c r="N9" s="420"/>
      <c r="O9" s="420"/>
      <c r="P9" s="420"/>
      <c r="Q9" s="422"/>
      <c r="R9" s="422"/>
    </row>
    <row r="10" spans="1:19" s="410" customFormat="1" ht="15" customHeight="1">
      <c r="C10" s="1328" t="str">
        <f>IF(Indice_index!$Z$1=1,"Empréstimos a médio e longo prazo","Medium-long term loans")</f>
        <v>Medium-long term loans</v>
      </c>
      <c r="D10" s="1329">
        <v>2594.7489402700003</v>
      </c>
      <c r="E10" s="1329">
        <v>5763.7945189999991</v>
      </c>
      <c r="F10" s="419"/>
      <c r="G10" s="1329">
        <v>7</v>
      </c>
      <c r="H10" s="1329">
        <v>107.35469635999995</v>
      </c>
      <c r="I10" s="419"/>
      <c r="J10" s="419">
        <v>911.62751165999975</v>
      </c>
      <c r="K10" s="419">
        <v>15.816447110577499</v>
      </c>
      <c r="L10" s="420"/>
      <c r="M10" s="421"/>
      <c r="N10" s="420"/>
      <c r="O10" s="420"/>
      <c r="P10" s="420"/>
      <c r="Q10" s="422"/>
      <c r="R10" s="422"/>
    </row>
    <row r="11" spans="1:19" ht="15" customHeight="1">
      <c r="C11" s="1330" t="str">
        <f>IF(Indice_index!$Z$1=1,"Entidades públicas","Public entities")</f>
        <v>Public entities</v>
      </c>
      <c r="D11" s="408">
        <v>1263.7830487599999</v>
      </c>
      <c r="E11" s="408">
        <v>3212.7473399999999</v>
      </c>
      <c r="F11" s="408"/>
      <c r="G11" s="408">
        <v>0</v>
      </c>
      <c r="H11" s="408">
        <v>0.85635249000000002</v>
      </c>
      <c r="I11" s="408"/>
      <c r="J11" s="408">
        <v>0.85635249000000002</v>
      </c>
      <c r="K11" s="408">
        <v>2.6654834612671412E-2</v>
      </c>
      <c r="L11" s="423"/>
      <c r="M11" s="424"/>
      <c r="N11" s="423"/>
      <c r="O11" s="423"/>
      <c r="P11" s="423"/>
      <c r="Q11" s="408"/>
      <c r="R11" s="408"/>
    </row>
    <row r="12" spans="1:19" ht="15" customHeight="1">
      <c r="C12" s="1330" t="str">
        <f>IF(Indice_index!$Z$1=1,"Entidades públicas reclassificadas","Reclassified public entities")</f>
        <v>Reclassified public entities</v>
      </c>
      <c r="D12" s="408">
        <v>1270.2586309999999</v>
      </c>
      <c r="E12" s="408">
        <v>1357.9471789999998</v>
      </c>
      <c r="F12" s="408"/>
      <c r="G12" s="408">
        <v>7</v>
      </c>
      <c r="H12" s="408">
        <v>106.00121233999994</v>
      </c>
      <c r="I12" s="408"/>
      <c r="J12" s="408">
        <v>823.68396933999986</v>
      </c>
      <c r="K12" s="408">
        <v>60.656554399013189</v>
      </c>
      <c r="L12" s="423"/>
      <c r="M12" s="424"/>
      <c r="N12" s="423"/>
      <c r="O12" s="423"/>
      <c r="P12" s="423"/>
      <c r="Q12" s="408"/>
      <c r="R12" s="408"/>
    </row>
    <row r="13" spans="1:19" ht="15" customHeight="1">
      <c r="C13" s="1330" t="str">
        <f>IF(Indice_index!$Z$1=1,"Administração Local - Continente Incêndios","Local Government - Continent Fires")</f>
        <v>Local Government - Continent Fires</v>
      </c>
      <c r="D13" s="408">
        <v>0</v>
      </c>
      <c r="E13" s="408">
        <v>5</v>
      </c>
      <c r="F13" s="408"/>
      <c r="G13" s="408">
        <v>0</v>
      </c>
      <c r="H13" s="408">
        <v>0.29347032000000001</v>
      </c>
      <c r="I13" s="408"/>
      <c r="J13" s="408">
        <v>0.29347032000000001</v>
      </c>
      <c r="K13" s="408">
        <v>5.8694064000000008</v>
      </c>
      <c r="L13" s="423"/>
      <c r="M13" s="424"/>
      <c r="N13" s="423"/>
      <c r="O13" s="423"/>
      <c r="P13" s="423"/>
      <c r="Q13" s="408"/>
      <c r="R13" s="408"/>
    </row>
    <row r="14" spans="1:19" ht="15" customHeight="1">
      <c r="C14" s="1331" t="str">
        <f>IF(Indice_index!$Z$1=1,"Países terceiros","Other countries")</f>
        <v>Other countries</v>
      </c>
      <c r="D14" s="408">
        <v>0</v>
      </c>
      <c r="E14" s="408">
        <v>2</v>
      </c>
      <c r="F14" s="408"/>
      <c r="G14" s="408">
        <v>0</v>
      </c>
      <c r="H14" s="408">
        <v>0</v>
      </c>
      <c r="I14" s="408"/>
      <c r="J14" s="408">
        <v>0</v>
      </c>
      <c r="K14" s="408">
        <v>0</v>
      </c>
      <c r="L14" s="423"/>
      <c r="M14" s="424"/>
      <c r="N14" s="423"/>
      <c r="O14" s="423"/>
      <c r="P14" s="423"/>
      <c r="Q14" s="408"/>
      <c r="R14" s="408"/>
    </row>
    <row r="15" spans="1:19" ht="15" customHeight="1">
      <c r="C15" s="1330" t="str">
        <f>IF(Indice_index!$Z$1=1,"Fundo de Resolução Europeu","European Resolution Fund")</f>
        <v>European Resolution Fund</v>
      </c>
      <c r="D15" s="408">
        <v>0</v>
      </c>
      <c r="E15" s="408">
        <v>852.5</v>
      </c>
      <c r="F15" s="408"/>
      <c r="G15" s="408">
        <v>0</v>
      </c>
      <c r="H15" s="408">
        <v>0</v>
      </c>
      <c r="I15" s="408"/>
      <c r="J15" s="408">
        <v>0</v>
      </c>
      <c r="K15" s="408">
        <v>0</v>
      </c>
      <c r="L15" s="423"/>
      <c r="M15" s="424"/>
      <c r="N15" s="423"/>
      <c r="O15" s="423"/>
      <c r="P15" s="423"/>
      <c r="Q15" s="408"/>
      <c r="R15" s="408"/>
    </row>
    <row r="16" spans="1:19" ht="15" customHeight="1">
      <c r="C16" s="1330" t="str">
        <f>IF(Indice_index!$Z$1=1,"Portugal 2020","Portugal 2020")</f>
        <v>Portugal 2020</v>
      </c>
      <c r="D16" s="408">
        <v>0</v>
      </c>
      <c r="E16" s="408">
        <v>75</v>
      </c>
      <c r="F16" s="408"/>
      <c r="G16" s="408">
        <v>0</v>
      </c>
      <c r="H16" s="408">
        <v>0</v>
      </c>
      <c r="I16" s="408"/>
      <c r="J16" s="408">
        <v>50.279335079999996</v>
      </c>
      <c r="K16" s="408">
        <v>67.039113439999994</v>
      </c>
      <c r="L16" s="423"/>
      <c r="M16" s="424"/>
      <c r="N16" s="423"/>
      <c r="O16" s="423"/>
      <c r="P16" s="423"/>
      <c r="Q16" s="408"/>
      <c r="R16" s="408"/>
    </row>
    <row r="17" spans="3:19" ht="15" customHeight="1">
      <c r="C17" s="1330" t="str">
        <f>IF(Indice_index!$Z$1=1,"Fundos públicos","Public Funds")</f>
        <v>Public Funds</v>
      </c>
      <c r="D17" s="408">
        <v>60.707260509999998</v>
      </c>
      <c r="E17" s="408">
        <v>258.60000000000002</v>
      </c>
      <c r="F17" s="408"/>
      <c r="G17" s="408">
        <v>0</v>
      </c>
      <c r="H17" s="408">
        <v>0.20366120999999993</v>
      </c>
      <c r="I17" s="408"/>
      <c r="J17" s="408">
        <v>36.51438443</v>
      </c>
      <c r="K17" s="408">
        <v>14.120024914926526</v>
      </c>
      <c r="L17" s="423"/>
      <c r="M17" s="424"/>
      <c r="N17" s="423"/>
      <c r="O17" s="423"/>
      <c r="P17" s="423"/>
      <c r="Q17" s="408"/>
      <c r="R17" s="408"/>
    </row>
    <row r="18" spans="3:19" s="410" customFormat="1" ht="15" customHeight="1">
      <c r="C18" s="1328" t="str">
        <f>IF(Indice_index!$Z$1=1,"Dotações de capital","Capital injections")</f>
        <v>Capital injections</v>
      </c>
      <c r="D18" s="1329">
        <v>1983.8374900900012</v>
      </c>
      <c r="E18" s="1329">
        <v>2167.3286209999997</v>
      </c>
      <c r="F18" s="419"/>
      <c r="G18" s="1329">
        <v>203.84654900000032</v>
      </c>
      <c r="H18" s="1329">
        <v>1858.2007640000002</v>
      </c>
      <c r="I18" s="419"/>
      <c r="J18" s="419">
        <v>3997.8044726200001</v>
      </c>
      <c r="K18" s="419">
        <v>184.4576975491342</v>
      </c>
      <c r="L18" s="420"/>
      <c r="M18" s="421"/>
      <c r="N18" s="420"/>
      <c r="O18" s="420"/>
      <c r="P18" s="420"/>
      <c r="Q18" s="422"/>
      <c r="R18" s="422"/>
    </row>
    <row r="19" spans="3:19" ht="15" customHeight="1">
      <c r="C19" s="1330" t="str">
        <f>IF(Indice_index!$Z$1=1,"Empresas públicas não financeiras","Non financial public enterprises")</f>
        <v>Non financial public enterprises</v>
      </c>
      <c r="D19" s="408">
        <v>15.61712</v>
      </c>
      <c r="E19" s="408">
        <v>1.684183</v>
      </c>
      <c r="F19" s="408"/>
      <c r="G19" s="408">
        <v>0</v>
      </c>
      <c r="H19" s="408">
        <v>536</v>
      </c>
      <c r="I19" s="408"/>
      <c r="J19" s="408">
        <v>998.5</v>
      </c>
      <c r="K19" s="1340" t="s">
        <v>3</v>
      </c>
      <c r="L19" s="423"/>
      <c r="M19" s="424"/>
      <c r="N19" s="423"/>
      <c r="O19" s="423"/>
      <c r="P19" s="423"/>
      <c r="Q19" s="408"/>
      <c r="R19" s="408"/>
    </row>
    <row r="20" spans="3:19" ht="15" customHeight="1">
      <c r="C20" s="1330" t="str">
        <f>IF(Indice_index!$Z$1=1,"Empresas públicas reclassificadas","Reclassified public entities")</f>
        <v>Reclassified public entities</v>
      </c>
      <c r="D20" s="408">
        <v>1962.0413260000012</v>
      </c>
      <c r="E20" s="408">
        <v>2142.8939879999998</v>
      </c>
      <c r="F20" s="408"/>
      <c r="G20" s="408">
        <v>203.84654900000032</v>
      </c>
      <c r="H20" s="408">
        <v>1322.2007640000002</v>
      </c>
      <c r="I20" s="408"/>
      <c r="J20" s="408">
        <v>2999.1892240000002</v>
      </c>
      <c r="K20" s="408">
        <v>139.95975726261639</v>
      </c>
      <c r="L20" s="423"/>
      <c r="M20" s="424"/>
      <c r="N20" s="423"/>
      <c r="O20" s="423"/>
      <c r="P20" s="423"/>
      <c r="Q20" s="408"/>
      <c r="R20" s="408"/>
    </row>
    <row r="21" spans="3:19" ht="15" customHeight="1">
      <c r="C21" s="1330" t="str">
        <f>IF(Indice_index!$Z$1=1,"Fundos Públicos","Public Funds")</f>
        <v>Public Funds</v>
      </c>
      <c r="D21" s="408">
        <v>6.1790440899999997</v>
      </c>
      <c r="E21" s="408">
        <v>22.750450000000001</v>
      </c>
      <c r="F21" s="408"/>
      <c r="G21" s="408">
        <v>0</v>
      </c>
      <c r="H21" s="408">
        <v>0</v>
      </c>
      <c r="I21" s="408"/>
      <c r="J21" s="408">
        <v>0.11524862</v>
      </c>
      <c r="K21" s="408">
        <v>0.50657732044860648</v>
      </c>
      <c r="L21" s="423"/>
      <c r="M21" s="424"/>
      <c r="N21" s="423"/>
      <c r="O21" s="423"/>
      <c r="P21" s="423"/>
      <c r="Q21" s="408"/>
      <c r="R21" s="408"/>
    </row>
    <row r="22" spans="3:19" s="410" customFormat="1" ht="15" customHeight="1">
      <c r="C22" s="1328" t="str">
        <f>IF(Indice_index!$Z$1=1,"Aquisição de Participações","Acquisition of Shares")</f>
        <v>Acquisition of Shares</v>
      </c>
      <c r="D22" s="1329">
        <v>55</v>
      </c>
      <c r="E22" s="1329">
        <v>0</v>
      </c>
      <c r="F22" s="419"/>
      <c r="G22" s="1329">
        <v>0</v>
      </c>
      <c r="H22" s="1329">
        <v>9.9999999999999995E-7</v>
      </c>
      <c r="I22" s="419"/>
      <c r="J22" s="419">
        <v>9.9999999999999995E-7</v>
      </c>
      <c r="K22" s="419">
        <v>0</v>
      </c>
      <c r="L22" s="420"/>
      <c r="M22" s="421"/>
      <c r="N22" s="420"/>
      <c r="O22" s="420"/>
      <c r="P22" s="420"/>
      <c r="Q22" s="422"/>
      <c r="R22" s="422"/>
    </row>
    <row r="23" spans="3:19" s="410" customFormat="1" ht="15" customHeight="1">
      <c r="C23" s="1328" t="str">
        <f>IF(Indice_index!$Z$1=1,"Aquisição de Créditos","Credit acquisition")</f>
        <v>Credit acquisition</v>
      </c>
      <c r="D23" s="1329">
        <v>0</v>
      </c>
      <c r="E23" s="1329">
        <v>0</v>
      </c>
      <c r="F23" s="419"/>
      <c r="G23" s="1329">
        <v>0</v>
      </c>
      <c r="H23" s="1329">
        <v>0</v>
      </c>
      <c r="I23" s="419"/>
      <c r="J23" s="419">
        <v>0</v>
      </c>
      <c r="K23" s="419">
        <v>0</v>
      </c>
      <c r="L23" s="420"/>
      <c r="M23" s="421"/>
      <c r="N23" s="420"/>
      <c r="O23" s="420"/>
      <c r="P23" s="420"/>
      <c r="Q23" s="422"/>
      <c r="R23" s="422"/>
    </row>
    <row r="24" spans="3:19" s="410" customFormat="1" ht="15" customHeight="1">
      <c r="C24" s="1328" t="str">
        <f>IF(Indice_index!$Z$1=1,"Títulos de Curto Prazo","Short Term Bonds")</f>
        <v>Short Term Bonds</v>
      </c>
      <c r="D24" s="1329">
        <v>0</v>
      </c>
      <c r="E24" s="1329">
        <v>77.874567999999996</v>
      </c>
      <c r="F24" s="419"/>
      <c r="G24" s="1329">
        <v>0</v>
      </c>
      <c r="H24" s="1329">
        <v>0</v>
      </c>
      <c r="I24" s="419"/>
      <c r="J24" s="419">
        <v>0</v>
      </c>
      <c r="K24" s="419">
        <v>0</v>
      </c>
      <c r="L24" s="420"/>
      <c r="M24" s="421"/>
      <c r="N24" s="420"/>
      <c r="O24" s="420"/>
      <c r="P24" s="420"/>
      <c r="Q24" s="422"/>
      <c r="R24" s="422"/>
    </row>
    <row r="25" spans="3:19" s="410" customFormat="1" ht="15" customHeight="1">
      <c r="C25" s="1328" t="str">
        <f>IF(Indice_index!$Z$1=1,"Execução de garantias","Guarantees executions")</f>
        <v>Guarantees executions</v>
      </c>
      <c r="D25" s="1329">
        <v>8.0007592400000007</v>
      </c>
      <c r="E25" s="1329">
        <v>81.536871000000005</v>
      </c>
      <c r="F25" s="419"/>
      <c r="G25" s="1329">
        <v>0.10585641999999984</v>
      </c>
      <c r="H25" s="1329">
        <v>12.48939122</v>
      </c>
      <c r="I25" s="419"/>
      <c r="J25" s="419">
        <v>14.31235051</v>
      </c>
      <c r="K25" s="419">
        <v>17.55322510475046</v>
      </c>
      <c r="L25" s="420"/>
      <c r="M25" s="421"/>
      <c r="N25" s="420"/>
      <c r="O25" s="420"/>
      <c r="P25" s="420"/>
      <c r="Q25" s="422"/>
      <c r="R25" s="422"/>
    </row>
    <row r="26" spans="3:19" s="410" customFormat="1" ht="15" customHeight="1">
      <c r="C26" s="1328" t="str">
        <f>IF(Indice_index!$Z$1=1,"Expropriações","Expropriations")</f>
        <v>Expropriations</v>
      </c>
      <c r="D26" s="1329">
        <v>7.0490200000000005E-3</v>
      </c>
      <c r="E26" s="1329">
        <v>1</v>
      </c>
      <c r="F26" s="419"/>
      <c r="G26" s="1329">
        <v>0</v>
      </c>
      <c r="H26" s="1329">
        <v>0</v>
      </c>
      <c r="I26" s="419"/>
      <c r="J26" s="419">
        <v>0</v>
      </c>
      <c r="K26" s="419">
        <v>0</v>
      </c>
      <c r="L26" s="420"/>
      <c r="M26" s="421"/>
      <c r="N26" s="420"/>
      <c r="O26" s="420"/>
      <c r="P26" s="420"/>
      <c r="Q26" s="422"/>
      <c r="R26" s="422"/>
    </row>
    <row r="27" spans="3:19" s="410" customFormat="1" ht="15" customHeight="1">
      <c r="C27" s="1328" t="str">
        <f>IF(Indice_index!$Z$1=1,"Participações em organizações internacionais","International Organizations membership")</f>
        <v>International Organizations membership</v>
      </c>
      <c r="D27" s="1329">
        <v>0.37210779999999999</v>
      </c>
      <c r="E27" s="1329">
        <v>14.120428</v>
      </c>
      <c r="F27" s="419"/>
      <c r="G27" s="1329">
        <v>0</v>
      </c>
      <c r="H27" s="1329">
        <v>-1.171133000000002E-2</v>
      </c>
      <c r="I27" s="419"/>
      <c r="J27" s="419">
        <v>1.90250897</v>
      </c>
      <c r="K27" s="419">
        <v>13.473451158845892</v>
      </c>
      <c r="L27" s="420"/>
      <c r="M27" s="421"/>
      <c r="N27" s="420"/>
      <c r="O27" s="420"/>
      <c r="P27" s="420"/>
      <c r="Q27" s="422"/>
      <c r="R27" s="422"/>
    </row>
    <row r="28" spans="3:19" s="410" customFormat="1" ht="4.5" customHeight="1">
      <c r="C28" s="1332"/>
      <c r="D28" s="1332"/>
      <c r="E28" s="1332"/>
      <c r="F28" s="1341"/>
      <c r="G28" s="1332"/>
      <c r="H28" s="1332"/>
      <c r="I28" s="1341"/>
      <c r="J28" s="1341"/>
      <c r="K28" s="1341"/>
      <c r="L28" s="420"/>
      <c r="M28" s="421"/>
      <c r="N28" s="420"/>
      <c r="O28" s="420"/>
      <c r="P28" s="420"/>
      <c r="Q28" s="422"/>
      <c r="R28" s="422"/>
      <c r="S28" s="425"/>
    </row>
    <row r="29" spans="3:19" s="410" customFormat="1" ht="15" customHeight="1">
      <c r="C29" s="1333" t="str">
        <f>IF(Indice_index!$Z$1=1,"Total dos ativos financeiros","Financial Assets - Total")</f>
        <v>Financial Assets - Total</v>
      </c>
      <c r="D29" s="1334">
        <v>4741.2873443900007</v>
      </c>
      <c r="E29" s="1334">
        <v>8138.5279939999982</v>
      </c>
      <c r="F29" s="1342"/>
      <c r="G29" s="1334">
        <v>210.95240542000033</v>
      </c>
      <c r="H29" s="1334">
        <v>1978.0331402500001</v>
      </c>
      <c r="I29" s="1342"/>
      <c r="J29" s="1342">
        <v>4945.2068437600001</v>
      </c>
      <c r="K29" s="1342">
        <v>60.762914957173777</v>
      </c>
      <c r="L29" s="420"/>
      <c r="M29" s="421"/>
      <c r="N29" s="420"/>
      <c r="O29" s="420"/>
      <c r="P29" s="420"/>
      <c r="Q29" s="422"/>
      <c r="R29" s="422"/>
      <c r="S29" s="422"/>
    </row>
    <row r="30" spans="3:19" ht="4.5" customHeight="1">
      <c r="C30" s="1335"/>
      <c r="D30" s="419"/>
      <c r="E30" s="419"/>
      <c r="F30" s="1335"/>
      <c r="G30" s="419"/>
      <c r="H30" s="419"/>
      <c r="I30" s="1335"/>
      <c r="J30" s="419"/>
      <c r="K30" s="419"/>
      <c r="L30" s="426"/>
      <c r="M30" s="424"/>
      <c r="N30" s="419"/>
      <c r="O30" s="419"/>
      <c r="P30" s="419"/>
      <c r="Q30" s="419"/>
      <c r="R30" s="419"/>
    </row>
    <row r="31" spans="3:19" ht="15" customHeight="1">
      <c r="C31" s="1336" t="str">
        <f>IF(Indice_index!$Z$1=1,"Fonte: Ministério das Finanças","Source: Ministry of Finance")</f>
        <v>Source: Ministry of Finance</v>
      </c>
      <c r="D31" s="140"/>
      <c r="E31" s="140"/>
      <c r="F31" s="1336"/>
      <c r="G31" s="342"/>
      <c r="H31" s="342"/>
      <c r="I31" s="1336"/>
      <c r="J31" s="342"/>
      <c r="L31" s="426"/>
      <c r="M31" s="426"/>
      <c r="N31" s="427"/>
      <c r="O31" s="426"/>
      <c r="P31" s="426"/>
    </row>
    <row r="32" spans="3:19">
      <c r="C32" s="140"/>
      <c r="D32" s="140"/>
      <c r="E32" s="140"/>
      <c r="F32" s="428"/>
      <c r="G32" s="140"/>
      <c r="H32" s="140"/>
      <c r="I32" s="428"/>
      <c r="J32" s="140"/>
      <c r="L32" s="426"/>
      <c r="M32" s="426"/>
      <c r="N32" s="427"/>
      <c r="O32" s="426"/>
      <c r="P32" s="426"/>
    </row>
    <row r="33" spans="3:16">
      <c r="C33" s="140"/>
      <c r="D33" s="140"/>
      <c r="E33" s="140"/>
      <c r="F33" s="428"/>
      <c r="G33" s="140"/>
      <c r="H33" s="140"/>
      <c r="I33" s="428"/>
      <c r="J33" s="140"/>
      <c r="L33" s="426"/>
      <c r="M33" s="426"/>
      <c r="N33" s="427"/>
      <c r="O33" s="426"/>
      <c r="P33" s="426"/>
    </row>
    <row r="34" spans="3:16">
      <c r="C34" s="140"/>
      <c r="D34" s="140"/>
      <c r="E34" s="140"/>
      <c r="F34" s="428"/>
      <c r="G34" s="140"/>
      <c r="H34" s="140"/>
      <c r="I34" s="428"/>
      <c r="J34" s="140"/>
      <c r="L34" s="426"/>
      <c r="M34" s="426"/>
      <c r="N34" s="429"/>
      <c r="O34" s="426"/>
      <c r="P34" s="426"/>
    </row>
    <row r="35" spans="3:16">
      <c r="C35" s="140"/>
      <c r="D35" s="140"/>
      <c r="E35" s="140"/>
      <c r="F35" s="428"/>
      <c r="G35" s="140"/>
      <c r="H35" s="140"/>
      <c r="I35" s="428"/>
      <c r="J35" s="140"/>
      <c r="L35" s="419"/>
      <c r="M35" s="419"/>
      <c r="N35" s="419"/>
      <c r="O35" s="419"/>
      <c r="P35" s="419"/>
    </row>
    <row r="36" spans="3:16">
      <c r="C36" s="140"/>
      <c r="D36" s="140"/>
      <c r="E36" s="140"/>
      <c r="F36" s="428"/>
      <c r="G36" s="140"/>
      <c r="H36" s="140"/>
      <c r="I36" s="428"/>
      <c r="J36" s="140"/>
      <c r="L36" s="426"/>
      <c r="M36" s="426"/>
      <c r="N36" s="430"/>
      <c r="O36" s="426"/>
      <c r="P36" s="426"/>
    </row>
    <row r="37" spans="3:16">
      <c r="F37" s="428"/>
      <c r="I37" s="428"/>
      <c r="L37" s="426"/>
      <c r="M37" s="426"/>
      <c r="N37" s="426"/>
      <c r="O37" s="426"/>
      <c r="P37" s="426"/>
    </row>
    <row r="38" spans="3:16">
      <c r="F38" s="428"/>
      <c r="I38" s="428"/>
      <c r="L38" s="426"/>
      <c r="M38" s="426"/>
      <c r="N38" s="429"/>
      <c r="O38" s="426"/>
      <c r="P38" s="426"/>
    </row>
    <row r="39" spans="3:16">
      <c r="F39" s="428"/>
      <c r="I39" s="428"/>
      <c r="L39" s="426"/>
      <c r="M39" s="426"/>
      <c r="N39" s="429"/>
      <c r="O39" s="426"/>
      <c r="P39" s="426"/>
    </row>
    <row r="40" spans="3:16">
      <c r="F40" s="428"/>
      <c r="I40" s="428"/>
      <c r="L40" s="426"/>
      <c r="M40" s="426"/>
      <c r="N40" s="429"/>
      <c r="O40" s="426"/>
      <c r="P40" s="426"/>
    </row>
    <row r="41" spans="3:16">
      <c r="F41" s="428"/>
      <c r="I41" s="428"/>
      <c r="L41" s="426"/>
      <c r="M41" s="426"/>
      <c r="N41" s="430"/>
      <c r="O41" s="426"/>
      <c r="P41" s="426"/>
    </row>
    <row r="42" spans="3:16">
      <c r="F42" s="428"/>
      <c r="I42" s="428"/>
      <c r="L42" s="426"/>
      <c r="M42" s="426"/>
      <c r="N42" s="430"/>
      <c r="O42" s="426"/>
      <c r="P42" s="426"/>
    </row>
    <row r="43" spans="3:16">
      <c r="F43" s="428"/>
      <c r="I43" s="428"/>
      <c r="L43" s="426"/>
      <c r="M43" s="426"/>
      <c r="N43" s="426"/>
      <c r="O43" s="426"/>
      <c r="P43" s="426"/>
    </row>
    <row r="44" spans="3:16">
      <c r="F44" s="428"/>
      <c r="I44" s="428"/>
      <c r="L44" s="426"/>
      <c r="M44" s="426"/>
      <c r="N44" s="430"/>
      <c r="O44" s="426"/>
      <c r="P44" s="426"/>
    </row>
    <row r="45" spans="3:16">
      <c r="F45" s="428"/>
      <c r="I45" s="428"/>
      <c r="L45" s="426"/>
      <c r="M45" s="426"/>
      <c r="N45" s="430"/>
      <c r="O45" s="426"/>
      <c r="P45" s="426"/>
    </row>
    <row r="46" spans="3:16">
      <c r="F46" s="428"/>
      <c r="I46" s="428"/>
      <c r="L46" s="426"/>
      <c r="M46" s="426"/>
      <c r="N46" s="430"/>
      <c r="O46" s="426"/>
      <c r="P46" s="426"/>
    </row>
    <row r="47" spans="3:16">
      <c r="F47" s="428"/>
      <c r="I47" s="428"/>
      <c r="L47" s="426"/>
      <c r="M47" s="426"/>
      <c r="N47" s="430"/>
      <c r="O47" s="426"/>
      <c r="P47" s="426"/>
    </row>
    <row r="48" spans="3:16">
      <c r="F48" s="428"/>
      <c r="I48" s="428"/>
      <c r="L48" s="426"/>
      <c r="M48" s="426"/>
      <c r="N48" s="430"/>
      <c r="O48" s="426"/>
      <c r="P48" s="426"/>
    </row>
    <row r="49" spans="6:18">
      <c r="F49" s="428"/>
      <c r="I49" s="428"/>
      <c r="L49" s="426"/>
      <c r="M49" s="426"/>
      <c r="N49" s="430"/>
      <c r="O49" s="426"/>
      <c r="P49" s="426"/>
    </row>
    <row r="50" spans="6:18">
      <c r="L50" s="426"/>
      <c r="M50" s="426"/>
      <c r="N50" s="430"/>
      <c r="O50" s="426"/>
      <c r="P50" s="426"/>
    </row>
    <row r="51" spans="6:18">
      <c r="F51" s="428"/>
      <c r="G51" s="431"/>
      <c r="H51" s="431"/>
      <c r="I51" s="428"/>
      <c r="J51" s="431"/>
      <c r="L51" s="426"/>
      <c r="M51" s="426"/>
      <c r="N51" s="430"/>
      <c r="O51" s="426"/>
      <c r="P51" s="426"/>
    </row>
    <row r="52" spans="6:18">
      <c r="F52" s="428"/>
      <c r="I52" s="428"/>
      <c r="L52" s="426"/>
      <c r="M52" s="426"/>
      <c r="N52" s="430"/>
      <c r="O52" s="426"/>
      <c r="P52" s="426"/>
    </row>
    <row r="53" spans="6:18">
      <c r="F53" s="428"/>
      <c r="I53" s="428"/>
      <c r="L53" s="426"/>
      <c r="M53" s="426"/>
      <c r="N53" s="430"/>
      <c r="O53" s="426"/>
      <c r="P53" s="426"/>
    </row>
    <row r="54" spans="6:18">
      <c r="F54" s="428"/>
      <c r="I54" s="428"/>
      <c r="L54" s="419"/>
      <c r="M54" s="419"/>
      <c r="N54" s="419"/>
      <c r="O54" s="419"/>
      <c r="P54" s="419"/>
    </row>
    <row r="55" spans="6:18">
      <c r="F55" s="428"/>
      <c r="I55" s="428"/>
      <c r="L55" s="426"/>
      <c r="M55" s="426"/>
      <c r="N55" s="430"/>
      <c r="O55" s="426"/>
      <c r="P55" s="426"/>
    </row>
    <row r="56" spans="6:18">
      <c r="F56" s="428"/>
      <c r="I56" s="428"/>
      <c r="L56" s="426"/>
      <c r="M56" s="426"/>
      <c r="N56" s="430"/>
      <c r="O56" s="426"/>
      <c r="P56" s="426"/>
    </row>
    <row r="57" spans="6:18">
      <c r="F57" s="428"/>
      <c r="I57" s="428"/>
      <c r="L57" s="419"/>
      <c r="M57" s="419"/>
      <c r="N57" s="419"/>
      <c r="O57" s="419"/>
      <c r="P57" s="419"/>
    </row>
    <row r="58" spans="6:18">
      <c r="F58" s="428"/>
      <c r="I58" s="428"/>
      <c r="L58" s="426"/>
      <c r="M58" s="426"/>
      <c r="N58" s="429"/>
      <c r="O58" s="426"/>
      <c r="P58" s="426"/>
    </row>
    <row r="59" spans="6:18">
      <c r="F59" s="428"/>
      <c r="I59" s="428"/>
      <c r="L59" s="140"/>
      <c r="M59" s="140"/>
      <c r="N59" s="140"/>
      <c r="O59" s="140"/>
      <c r="P59" s="140"/>
      <c r="Q59" s="140"/>
      <c r="R59" s="140"/>
    </row>
    <row r="60" spans="6:18">
      <c r="F60" s="428"/>
      <c r="I60" s="428"/>
      <c r="L60" s="140"/>
      <c r="M60" s="140"/>
      <c r="N60" s="140"/>
      <c r="O60" s="140"/>
      <c r="P60" s="140"/>
      <c r="Q60" s="140"/>
      <c r="R60" s="140"/>
    </row>
    <row r="61" spans="6:18">
      <c r="F61" s="428"/>
      <c r="I61" s="428"/>
      <c r="L61" s="140"/>
      <c r="M61" s="140"/>
      <c r="N61" s="140"/>
      <c r="O61" s="140"/>
      <c r="P61" s="140"/>
      <c r="Q61" s="140"/>
      <c r="R61" s="140"/>
    </row>
    <row r="62" spans="6:18">
      <c r="F62" s="428"/>
      <c r="I62" s="428"/>
      <c r="L62" s="140"/>
      <c r="M62" s="140"/>
      <c r="N62" s="140"/>
      <c r="O62" s="140"/>
      <c r="P62" s="140"/>
      <c r="Q62" s="140"/>
      <c r="R62" s="140"/>
    </row>
    <row r="63" spans="6:18">
      <c r="F63" s="428"/>
      <c r="I63" s="428"/>
      <c r="L63" s="140"/>
      <c r="M63" s="140"/>
      <c r="N63" s="140"/>
      <c r="O63" s="140"/>
      <c r="P63" s="140"/>
      <c r="Q63" s="140"/>
      <c r="R63" s="140"/>
    </row>
    <row r="64" spans="6:18">
      <c r="F64" s="428"/>
      <c r="I64" s="428"/>
      <c r="L64" s="140"/>
      <c r="M64" s="140"/>
      <c r="N64" s="140"/>
      <c r="O64" s="140"/>
      <c r="P64" s="140"/>
      <c r="Q64" s="140"/>
      <c r="R64" s="140"/>
    </row>
    <row r="65" spans="6:18">
      <c r="F65" s="428"/>
      <c r="I65" s="428"/>
      <c r="L65" s="140"/>
      <c r="M65" s="140"/>
      <c r="N65" s="140"/>
      <c r="O65" s="140"/>
      <c r="P65" s="140"/>
      <c r="Q65" s="140"/>
      <c r="R65" s="140"/>
    </row>
    <row r="66" spans="6:18">
      <c r="F66" s="428"/>
      <c r="I66" s="428"/>
      <c r="L66" s="140"/>
      <c r="M66" s="140"/>
      <c r="N66" s="140"/>
      <c r="O66" s="140"/>
      <c r="P66" s="140"/>
      <c r="Q66" s="140"/>
      <c r="R66" s="140"/>
    </row>
    <row r="67" spans="6:18">
      <c r="F67" s="428"/>
      <c r="I67" s="428"/>
      <c r="L67" s="140"/>
      <c r="M67" s="140"/>
      <c r="N67" s="140"/>
      <c r="O67" s="140"/>
      <c r="P67" s="140"/>
      <c r="Q67" s="140"/>
      <c r="R67" s="140"/>
    </row>
    <row r="68" spans="6:18">
      <c r="F68" s="428"/>
      <c r="I68" s="428"/>
      <c r="L68" s="140"/>
      <c r="M68" s="140"/>
      <c r="N68" s="140"/>
      <c r="O68" s="140"/>
      <c r="P68" s="140"/>
      <c r="Q68" s="140"/>
      <c r="R68" s="140"/>
    </row>
    <row r="69" spans="6:18">
      <c r="F69" s="428"/>
      <c r="I69" s="428"/>
    </row>
    <row r="70" spans="6:18">
      <c r="F70" s="428"/>
      <c r="I70" s="428"/>
    </row>
    <row r="71" spans="6:18">
      <c r="F71" s="428"/>
      <c r="I71" s="428"/>
    </row>
    <row r="72" spans="6:18">
      <c r="F72" s="428"/>
      <c r="I72" s="428"/>
    </row>
    <row r="73" spans="6:18">
      <c r="F73" s="428"/>
      <c r="I73" s="428"/>
    </row>
  </sheetData>
  <mergeCells count="2">
    <mergeCell ref="G6:H6"/>
    <mergeCell ref="K6:K7"/>
  </mergeCells>
  <conditionalFormatting sqref="L9:P21 M23:M30 N23:P29 L23:L29">
    <cfRule type="cellIs" dxfId="120" priority="6" operator="notEqual">
      <formula>0</formula>
    </cfRule>
  </conditionalFormatting>
  <conditionalFormatting sqref="F51:F73">
    <cfRule type="cellIs" dxfId="119" priority="5" operator="notEqual">
      <formula>0</formula>
    </cfRule>
  </conditionalFormatting>
  <conditionalFormatting sqref="F32:F49">
    <cfRule type="cellIs" dxfId="118" priority="4" operator="notEqual">
      <formula>0</formula>
    </cfRule>
  </conditionalFormatting>
  <conditionalFormatting sqref="L22:P22">
    <cfRule type="cellIs" dxfId="117" priority="3" operator="notEqual">
      <formula>0</formula>
    </cfRule>
  </conditionalFormatting>
  <conditionalFormatting sqref="I51:I73">
    <cfRule type="cellIs" dxfId="116" priority="2" operator="notEqual">
      <formula>0</formula>
    </cfRule>
  </conditionalFormatting>
  <conditionalFormatting sqref="I32:I49">
    <cfRule type="cellIs" dxfId="115"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F7" numberStoredAsText="1"/>
    <ignoredError sqref="D6" unlockedFormula="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2"/>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96" style="7" customWidth="1"/>
    <col min="4" max="4" width="1" style="7" customWidth="1"/>
    <col min="5" max="5" width="20.5703125" style="7" customWidth="1"/>
    <col min="6" max="7" width="23" style="7" customWidth="1"/>
    <col min="8" max="21" width="9.140625" style="7"/>
    <col min="22" max="26" width="9.140625" style="7" customWidth="1"/>
    <col min="27" max="16384" width="9.140625" style="7"/>
  </cols>
  <sheetData>
    <row r="1" spans="2:26" s="3" customFormat="1" ht="39.75" customHeight="1">
      <c r="B1" s="1533" t="s">
        <v>0</v>
      </c>
      <c r="C1" s="1533"/>
      <c r="D1" s="2"/>
      <c r="E1" s="2"/>
      <c r="I1" s="4"/>
      <c r="J1" s="4"/>
      <c r="X1" s="5">
        <v>1</v>
      </c>
      <c r="Y1" s="3" t="s">
        <v>1</v>
      </c>
      <c r="Z1" s="5">
        <v>2</v>
      </c>
    </row>
    <row r="2" spans="2:26" s="3" customFormat="1" ht="15" customHeight="1">
      <c r="B2" s="6"/>
      <c r="C2" s="6"/>
      <c r="D2" s="2"/>
      <c r="E2" s="2"/>
      <c r="X2" s="5">
        <v>2</v>
      </c>
      <c r="Y2" s="3" t="s">
        <v>2</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13" t="str">
        <f>IF(Indice_index!$Z$1=1,"1 - Receita, despesa e saldo das Administrações Públicas","1 - General Government revenue, expenditure and balance")</f>
        <v>1 - General Government revenue, expenditure and balance</v>
      </c>
      <c r="E6" s="1534" t="str">
        <f>IF(Indice_index!$Z$1=1,"27-janeiro-22","27-January-22")</f>
        <v>27-January-22</v>
      </c>
      <c r="F6" s="1535" t="str">
        <f>IF(Indice_index!$Z$1=1,"25-fevereiro-22","25-February-22")</f>
        <v>25-February-22</v>
      </c>
      <c r="G6" s="1535" t="str">
        <f>IF(Indice_index!$Z$1=1,"dezembro 2021","December 2021")</f>
        <v>December 2021</v>
      </c>
    </row>
    <row r="7" spans="2:26" ht="20.25" customHeight="1">
      <c r="C7" s="380" t="str">
        <f>IF(Indice_index!$Z$1=1,"2 - Conta Consolidada das Administrações Públicas","2 - General Government Consolidated Account")</f>
        <v>2 - General Government Consolidated Account</v>
      </c>
      <c r="E7" s="1534"/>
      <c r="F7" s="1535"/>
      <c r="G7" s="1535"/>
    </row>
    <row r="8" spans="2:26" ht="20.25" customHeight="1">
      <c r="C8" s="380" t="str">
        <f>IF(Indice_index!$Z$1=1,"3 - Impacto orçamental das medidas adotadas no âmbito da Covid-19","3 - Budgetary impact of Covid-19 policy measures")</f>
        <v>3 - Budgetary impact of Covid-19 policy measures</v>
      </c>
      <c r="E8" s="1534"/>
      <c r="F8" s="1535"/>
      <c r="G8" s="1535"/>
    </row>
    <row r="9" spans="2:26" ht="20.25" customHeight="1">
      <c r="C9" s="380" t="str">
        <f>IF(Indice_index!$Z$1=1,"4 - Execução Orçamental consolidada da Administração Central e Segurança Social","4 - Central Government and Social Security Consolidated Budget Execution")</f>
        <v>4 - Central Government and Social Security Consolidated Budget Execution</v>
      </c>
      <c r="E9" s="1534"/>
      <c r="F9" s="1535"/>
      <c r="G9" s="1535"/>
    </row>
    <row r="10" spans="2:26" ht="20.25" customHeight="1">
      <c r="C10" s="380" t="str">
        <f>IF(Indice_index!$Z$1=1,"5 - Conta consolidada da Administração Central","5 - Central Government consolidated execution")</f>
        <v>5 - Central Government consolidated execution</v>
      </c>
      <c r="E10" s="1534"/>
      <c r="F10" s="1535"/>
      <c r="G10" s="1535"/>
    </row>
    <row r="11" spans="2:26" ht="20.25" customHeight="1">
      <c r="C11" s="380" t="str">
        <f>IF(Indice_index!$Z$1=1,"6 - Execução Orçamental do Estado","6 - State Budget Execution")</f>
        <v>6 - State Budget Execution</v>
      </c>
      <c r="E11" s="1534"/>
      <c r="F11" s="1535"/>
      <c r="G11" s="1535"/>
      <c r="L11" s="14"/>
    </row>
    <row r="12" spans="2:26" ht="20.25" customHeight="1">
      <c r="C12" s="380" t="str">
        <f>IF(Indice_index!$Z$1=1,"7 - Execução da Receita do Estado","7 - State revenue implementation")</f>
        <v>7 - State revenue implementation</v>
      </c>
      <c r="E12" s="1534"/>
      <c r="F12" s="1535"/>
      <c r="G12" s="1535"/>
    </row>
    <row r="13" spans="2:26" ht="20.25" customHeight="1">
      <c r="C13" s="380" t="str">
        <f>IF(Indice_index!$Z$1=1,"8 - Execução Orçamental dos Serviços e Fundos Autónomos","8 - Autonomous Services and Funds Budget Execution")</f>
        <v>8 - Autonomous Services and Funds Budget Execution</v>
      </c>
      <c r="E13" s="1534"/>
      <c r="F13" s="1535"/>
      <c r="G13" s="1535"/>
    </row>
    <row r="14" spans="2:26" ht="20.25" customHeight="1">
      <c r="C14" s="380" t="str">
        <f>IF(Indice_index!$Z$1=1,"9 - Execução Orçamental das Entidades Públicas Reclassificadas","9 - Reclassified State Owned Enterprises Execution")</f>
        <v>9 - Reclassified State Owned Enterprises Execution</v>
      </c>
      <c r="E14" s="1534"/>
      <c r="F14" s="1535"/>
      <c r="G14" s="1535"/>
    </row>
    <row r="15" spans="2:26" ht="20.25" customHeight="1">
      <c r="C15" s="380" t="str">
        <f>IF(Indice_index!$Z$1=1,"10 - Execução Orçamental da Caixa Geral de Aposentações","10 - Public Servants Social Scheme Budget Execution")</f>
        <v>10 - Public Servants Social Scheme Budget Execution</v>
      </c>
      <c r="E15" s="1534"/>
      <c r="F15" s="1535"/>
      <c r="G15" s="1535"/>
    </row>
    <row r="16" spans="2:26" ht="20.25" customHeight="1">
      <c r="C16" s="380" t="str">
        <f>IF(Indice_index!$Z$1=1,"11 - Execução Orçamental da Segurança Social, por natureza","11 - Social Security Budget Execution by nature")</f>
        <v>11 - Social Security Budget Execution by nature</v>
      </c>
      <c r="E16" s="1534"/>
      <c r="F16" s="1535"/>
      <c r="G16" s="1535"/>
    </row>
    <row r="17" spans="2:7" ht="20.25" customHeight="1">
      <c r="C17" s="380" t="str">
        <f>IF(Indice_index!$Z$1=1,"12 - Execução Orçamental da Segurança Social por classificação económica","12 - Social Security Budget Execution by economic categories")</f>
        <v>12 - Social Security Budget Execution by economic categories</v>
      </c>
      <c r="E17" s="1534"/>
      <c r="F17" s="1535"/>
      <c r="G17" s="1535"/>
    </row>
    <row r="18" spans="2:7" s="16" customFormat="1" ht="20.25" customHeight="1">
      <c r="B18" s="7"/>
      <c r="C18" s="380" t="str">
        <f>IF(Indice_index!$Z$1=1,"13 - Execução Orçamental da Administração Regional","13 - Regional Government")</f>
        <v>13 - Regional Government</v>
      </c>
      <c r="D18" s="15"/>
      <c r="E18" s="1534"/>
      <c r="F18" s="1535"/>
      <c r="G18" s="1535"/>
    </row>
    <row r="19" spans="2:7" ht="20.25" customHeight="1">
      <c r="C19" s="380" t="str">
        <f>IF(Indice_index!$Z$1=1,"14 - Execução Orçamental da Administração Local","14 - Local Government")</f>
        <v>14 - Local Government</v>
      </c>
      <c r="E19" s="1534"/>
      <c r="F19" s="1535"/>
      <c r="G19" s="1535"/>
    </row>
    <row r="20" spans="2:7" ht="20.25" customHeight="1">
      <c r="C20" s="380" t="str">
        <f>IF(Indice_index!$Z$1=1,"15 - Despesa com Ativos Financeiros do Estado","15 - State Financial assets expenditure")</f>
        <v>15 - State Financial assets expenditure</v>
      </c>
      <c r="E20" s="1534"/>
      <c r="F20" s="1535"/>
      <c r="G20" s="1535"/>
    </row>
    <row r="21" spans="2:7" ht="20.25" customHeight="1">
      <c r="C21" s="380" t="str">
        <f>IF(Indice_index!$Z$1=1,"16 - Execução financeira consolidada do Serviço Nacional de Saúde","16 - National Health Service finantial implementation")</f>
        <v>16 - National Health Service finantial implementation</v>
      </c>
      <c r="E21" s="1534"/>
      <c r="F21" s="1535"/>
      <c r="G21" s="1535"/>
    </row>
    <row r="22" spans="2:7" ht="20.25" customHeight="1">
      <c r="B22" s="16"/>
      <c r="C22" s="380" t="str">
        <f>IF(Indice_index!$Z$1=1,"17 - Dívida não Financeira da Administração Pública","17 - General Government non-Financial Debt")</f>
        <v>17 - General Government non-Financial Debt</v>
      </c>
      <c r="E22" s="1534"/>
      <c r="F22" s="1535"/>
      <c r="G22" s="1535"/>
    </row>
    <row r="23" spans="2:7" ht="20.25" customHeight="1">
      <c r="C23" s="380" t="str">
        <f>IF(Indice_index!$Z$1=1,"18 - Indicadores Físicos e Financeiros do Sistema de Proteção Social da Função Pública","18 - Public Servants Social Scheme - Flows")</f>
        <v>18 - Public Servants Social Scheme - Flows</v>
      </c>
      <c r="E23" s="1534"/>
      <c r="F23" s="1535"/>
      <c r="G23" s="1535"/>
    </row>
    <row r="24" spans="2:7" ht="19.5" customHeight="1">
      <c r="C24" s="380" t="str">
        <f>IF(Indice_index!$Z$1=1,"19 - Efeitos temporários/especiais na conta da Administração Central e Segurança Social","19 - Temporary/special effects on the Central Government and Social Security Account")</f>
        <v>19 - Temporary/special effects on the Central Government and Social Security Account</v>
      </c>
      <c r="E24" s="1534"/>
      <c r="F24" s="1535"/>
      <c r="G24" s="1535"/>
    </row>
    <row r="25" spans="2:7" ht="19.5" customHeight="1">
      <c r="C25" s="380" t="str">
        <f>IF(Indice_index!$Z$1=1,"20 - Estimativas de execução consideradas na conta da Administração Central","20 - Estimated amounts in Central Government Account")</f>
        <v>20 - Estimated amounts in Central Government Account</v>
      </c>
      <c r="E25" s="1534"/>
      <c r="F25" s="1535"/>
      <c r="G25" s="1535"/>
    </row>
    <row r="26" spans="2:7" s="433" customFormat="1" ht="18.75">
      <c r="C26" s="380" t="str">
        <f>IF(Indice_index!$Z$1=1,C41,C42)</f>
        <v>21 - Frozen allocations</v>
      </c>
      <c r="D26" s="434"/>
      <c r="E26" s="1534"/>
      <c r="F26" s="1535"/>
      <c r="G26" s="1535"/>
    </row>
    <row r="28" spans="2:7">
      <c r="C28" s="17"/>
    </row>
    <row r="41" spans="3:3" s="393" customFormat="1">
      <c r="C41" s="335" t="s">
        <v>81</v>
      </c>
    </row>
    <row r="42" spans="3:3" s="393" customFormat="1">
      <c r="C42" s="335" t="s">
        <v>82</v>
      </c>
    </row>
  </sheetData>
  <mergeCells count="4">
    <mergeCell ref="B1:C1"/>
    <mergeCell ref="E6:E26"/>
    <mergeCell ref="G6:G26"/>
    <mergeCell ref="F6:F26"/>
  </mergeCells>
  <hyperlinks>
    <hyperlink ref="C6" location="'1 - Saldo Global Rec Desp'!B2" display="'1 - Saldo Global Rec Desp'!B2" xr:uid="{00000000-0004-0000-0200-000000000000}"/>
    <hyperlink ref="C7" location="'2 - Conta Consol AP'!B2" display="'2 - Conta Consol AP'!B2" xr:uid="{00000000-0004-0000-0200-000001000000}"/>
    <hyperlink ref="C9" location="'4 - Conta AC + SS'!B2" display="'4 - Conta AC + SS'!B2" xr:uid="{00000000-0004-0000-0200-000002000000}"/>
    <hyperlink ref="C10" location="'5 - Conta AC'!B2" display="'5 - Conta AC'!B2" xr:uid="{00000000-0004-0000-0200-000003000000}"/>
    <hyperlink ref="C11" location="'6 - Estado'!B2" display="'6 - Estado'!B2" xr:uid="{00000000-0004-0000-0200-000004000000}"/>
    <hyperlink ref="C12" location="'7 - R_Est'!B2" display="'7 - R_Est'!B2" xr:uid="{00000000-0004-0000-0200-000005000000}"/>
    <hyperlink ref="C13" location="'8 - SFA'!B2" display="'8 - SFA'!B2" xr:uid="{00000000-0004-0000-0200-000006000000}"/>
    <hyperlink ref="C14" location="'9 - EPR'!B2" display="'9 - EPR'!B2" xr:uid="{00000000-0004-0000-0200-000007000000}"/>
    <hyperlink ref="C15" location="'10 - CGA'!B2" display="'10 - CGA'!B2" xr:uid="{00000000-0004-0000-0200-000008000000}"/>
    <hyperlink ref="C16" location="'11 - SS'!B2" display="'11 - SS'!B2" xr:uid="{00000000-0004-0000-0200-000009000000}"/>
    <hyperlink ref="C17" location="'12 - SS Eco'!B2" display="'12 - SS Eco'!B2" xr:uid="{00000000-0004-0000-0200-00000A000000}"/>
    <hyperlink ref="C18" location="'13 - Adm R'!B2" display="'13 - Adm R'!B2" xr:uid="{00000000-0004-0000-0200-00000B000000}"/>
    <hyperlink ref="C19" location="'14 - Adm Loc'!B2" display="'14 - Adm Loc'!B2" xr:uid="{00000000-0004-0000-0200-00000C000000}"/>
    <hyperlink ref="C20" location="'15 - Despesa Ativos '!B2" display="'15 - Despesa Ativos '!B2" xr:uid="{00000000-0004-0000-0200-00000D000000}"/>
    <hyperlink ref="C21" location="'16 - SNS exec fin'!B2" display="'16 - SNS exec fin'!B2" xr:uid="{00000000-0004-0000-0200-00000E000000}"/>
    <hyperlink ref="C22" location="'17 - Dív não Fin'!B2" display="'17 - Dív não Fin'!B2" xr:uid="{00000000-0004-0000-0200-00000F000000}"/>
    <hyperlink ref="C23" location="'18 - CGA Ind'!B2" display="'18 - CGA Ind'!B2" xr:uid="{00000000-0004-0000-0200-000010000000}"/>
    <hyperlink ref="C24" location="'19 - Ef Temp AC+SS'!B2" display="'19 - Ef Temp AC+SS'!B2" xr:uid="{00000000-0004-0000-0200-000011000000}"/>
    <hyperlink ref="C25" location="'20 - Estimativas'!B2" display="'20 - Estimativas'!B2" xr:uid="{00000000-0004-0000-0200-000012000000}"/>
    <hyperlink ref="C26" location="'21 - Util. Cond. Dot. Orç'!B2" display="'21 - Util. Cond. Dot. Orç'!B2" xr:uid="{00000000-0004-0000-0200-000013000000}"/>
    <hyperlink ref="C8" location="'3 - Medidas Covid-19'!B2" display="3 - Impacto orçamental das medidas adotadas no âmbito da Covid-19" xr:uid="{00000000-0004-0000-0200-000014000000}"/>
  </hyperlinks>
  <printOptions horizontalCentered="1"/>
  <pageMargins left="0.70866141732283472" right="0.70866141732283472" top="0.74803149606299213" bottom="0.74803149606299213" header="0.74803149606299213" footer="0.35433070866141736"/>
  <pageSetup paperSize="9" scale="60" orientation="portrait" r:id="rId1"/>
  <headerFooter differentOddEven="1">
    <oddFooter>&amp;R&amp;G</oddFooter>
    <evenFooter>&amp;L&amp;G</evenFooter>
  </headerFooter>
  <rowBreaks count="1" manualBreakCount="1">
    <brk id="58" min="1" max="6" man="1"/>
  </rowBreaks>
  <ignoredErrors>
    <ignoredError sqref="G9:G26 G7 E7 E9:E26 E8 E6:F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54" customWidth="1"/>
    <col min="2" max="2" width="4.42578125" style="454" customWidth="1"/>
    <col min="3" max="3" width="56.5703125" style="454" customWidth="1"/>
    <col min="4" max="7" width="9.5703125" style="454" customWidth="1"/>
    <col min="8" max="14" width="8.5703125" style="454" customWidth="1"/>
    <col min="15" max="16384" width="9.140625" style="454"/>
  </cols>
  <sheetData>
    <row r="1" spans="2:18" s="4" customFormat="1" ht="15" customHeight="1">
      <c r="B1" s="455"/>
      <c r="H1" s="456"/>
      <c r="I1" s="456"/>
    </row>
    <row r="2" spans="2:18" ht="24" customHeight="1">
      <c r="B2" s="8"/>
      <c r="C2" s="343" t="str">
        <f>IF(Indice_index!$Z$1=1,"16 - Execução Financeira Consolidada do Serviço Nacional de Saúde","16 - National Health Service Consolidated Financial Execution")</f>
        <v>16 - National Health Service Consolidated Financial Execution</v>
      </c>
      <c r="D2" s="343"/>
      <c r="E2" s="343"/>
      <c r="F2" s="343"/>
      <c r="G2" s="343"/>
      <c r="H2" s="343"/>
      <c r="I2" s="343"/>
    </row>
    <row r="3" spans="2:18" s="452" customFormat="1" ht="15" customHeight="1">
      <c r="B3" s="456"/>
      <c r="C3" s="457"/>
      <c r="H3" s="456"/>
      <c r="I3" s="456"/>
    </row>
    <row r="4" spans="2:18" s="452" customFormat="1" ht="15" customHeight="1">
      <c r="B4" s="456"/>
      <c r="C4" s="458"/>
      <c r="H4" s="456"/>
      <c r="I4" s="456"/>
    </row>
    <row r="5" spans="2:18" s="460" customFormat="1" ht="15" customHeight="1">
      <c r="B5" s="459"/>
      <c r="C5" s="1321" t="str">
        <f>+'4 - Conta AC + SS'!C5</f>
        <v>Period: January to December</v>
      </c>
      <c r="D5" s="1486"/>
      <c r="E5" s="1486"/>
      <c r="F5" s="1486"/>
      <c r="G5" s="1486"/>
      <c r="H5" s="1487"/>
      <c r="I5" s="1488" t="str">
        <f>IF(Indice_index!$Z$1=1,"€ Milhões","€ Millions")</f>
        <v>€ Millions</v>
      </c>
    </row>
    <row r="6" spans="2:18" s="452" customFormat="1" ht="27.75" customHeight="1">
      <c r="B6" s="456"/>
      <c r="C6" s="1489"/>
      <c r="D6" s="1490" t="str">
        <f>IF(Indice_index!$Z$1=1,"Execução Provisória","Provisional execution")</f>
        <v>Provisional execution</v>
      </c>
      <c r="E6" s="1490" t="str">
        <f>IF(Indice_index!$Z$1=1,"Orçamento Inicial","Budget")</f>
        <v>Budget</v>
      </c>
      <c r="F6" s="1639" t="str">
        <f>IF(Indice_index!$Z$1=1,"Execução Acumulada","Accumulated Execution")</f>
        <v>Accumulated Execution</v>
      </c>
      <c r="G6" s="1639"/>
      <c r="H6" s="1640" t="str">
        <f>IF(Indice_index!$Z$1=1,"Variação Homóloga Acumulada","YOY Change Rate")</f>
        <v>YOY Change Rate</v>
      </c>
      <c r="I6" s="1641"/>
      <c r="K6" s="140"/>
      <c r="L6" s="140"/>
      <c r="M6" s="140"/>
    </row>
    <row r="7" spans="2:18" s="452" customFormat="1" ht="22.5">
      <c r="B7" s="456"/>
      <c r="C7" s="1491"/>
      <c r="D7" s="1492">
        <v>2020</v>
      </c>
      <c r="E7" s="1493">
        <v>2021</v>
      </c>
      <c r="F7" s="1492">
        <v>2020</v>
      </c>
      <c r="G7" s="1492">
        <v>2021</v>
      </c>
      <c r="H7" s="1494" t="str">
        <f>IF(Indice_index!$Z$1=1,"TVH (%)","YOY Change Rate (%)")</f>
        <v>YOY Change Rate (%)</v>
      </c>
      <c r="I7" s="1495" t="str">
        <f>IF(Indice_index!$Z$1=1,"Contributo VH (p.p.)","YOY Change Contrib. (p.p.)")</f>
        <v>YOY Change Contrib. (p.p.)</v>
      </c>
      <c r="K7" s="140"/>
      <c r="L7" s="140"/>
      <c r="M7" s="140"/>
    </row>
    <row r="8" spans="2:18" s="417" customFormat="1" ht="4.5" customHeight="1">
      <c r="C8" s="1327"/>
      <c r="D8" s="418"/>
      <c r="E8" s="418"/>
      <c r="F8" s="418"/>
      <c r="H8" s="4"/>
      <c r="J8" s="500"/>
    </row>
    <row r="9" spans="2:18" s="460" customFormat="1" ht="15" customHeight="1">
      <c r="B9" s="459"/>
      <c r="C9" s="1496" t="str">
        <f>IF(Indice_index!$Z$1=1,"Receita corrente","Current revenue")</f>
        <v>Current revenue</v>
      </c>
      <c r="D9" s="1497">
        <v>11110.236009349999</v>
      </c>
      <c r="E9" s="1497">
        <v>11298.812732683296</v>
      </c>
      <c r="F9" s="1497">
        <v>11151.800000000001</v>
      </c>
      <c r="G9" s="1497">
        <v>11210.546105580001</v>
      </c>
      <c r="H9" s="1498">
        <f t="shared" ref="H9:H15" si="0">IF(F9=0,"-",((G9/F9)-1)*100)</f>
        <v>0.52678586039920372</v>
      </c>
      <c r="I9" s="1498">
        <f t="shared" ref="I9:I15" si="1">IFERROR((G9-F9)/$F$17*100,"-")</f>
        <v>0.52407894784733777</v>
      </c>
      <c r="J9" s="461"/>
      <c r="K9" s="461"/>
      <c r="L9" s="461"/>
      <c r="M9" s="461"/>
      <c r="N9" s="461"/>
      <c r="O9" s="461"/>
      <c r="P9" s="461"/>
      <c r="Q9" s="461"/>
      <c r="R9" s="461"/>
    </row>
    <row r="10" spans="2:18" s="452" customFormat="1" ht="15" customHeight="1">
      <c r="B10" s="456"/>
      <c r="C10" s="1499" t="str">
        <f>IF(Indice_index!$Z$1=1,"Receita fiscal","Tax")</f>
        <v>Tax</v>
      </c>
      <c r="D10" s="1500">
        <v>102.1</v>
      </c>
      <c r="E10" s="1500">
        <v>122</v>
      </c>
      <c r="F10" s="1500">
        <v>98.5</v>
      </c>
      <c r="G10" s="1500">
        <v>105.4</v>
      </c>
      <c r="H10" s="1501">
        <f t="shared" si="0"/>
        <v>7.005076142131994</v>
      </c>
      <c r="I10" s="1502">
        <f t="shared" si="1"/>
        <v>6.1555480221956622E-2</v>
      </c>
      <c r="J10" s="462"/>
      <c r="K10" s="462"/>
      <c r="L10" s="462"/>
      <c r="M10" s="462"/>
      <c r="N10" s="462"/>
      <c r="O10" s="462"/>
      <c r="P10" s="462"/>
      <c r="Q10" s="462"/>
      <c r="R10" s="462"/>
    </row>
    <row r="11" spans="2:18" s="452" customFormat="1" ht="15" customHeight="1">
      <c r="B11" s="456"/>
      <c r="C11" s="1503" t="str">
        <f>IF(Indice_index!$Z$1=1,"Impostos diretos","Direct taxes")</f>
        <v>Direct taxes</v>
      </c>
      <c r="D11" s="1500">
        <v>0</v>
      </c>
      <c r="E11" s="1500">
        <v>0</v>
      </c>
      <c r="F11" s="1500">
        <v>0</v>
      </c>
      <c r="G11" s="1500">
        <v>0</v>
      </c>
      <c r="H11" s="1501" t="str">
        <f t="shared" si="0"/>
        <v>-</v>
      </c>
      <c r="I11" s="1502">
        <f t="shared" si="1"/>
        <v>0</v>
      </c>
      <c r="J11" s="462"/>
      <c r="K11" s="462"/>
      <c r="L11" s="462"/>
      <c r="M11" s="462"/>
      <c r="N11" s="462"/>
      <c r="O11" s="462"/>
      <c r="P11" s="462"/>
      <c r="Q11" s="462"/>
      <c r="R11" s="462"/>
    </row>
    <row r="12" spans="2:18" s="452" customFormat="1" ht="15" customHeight="1">
      <c r="B12" s="456"/>
      <c r="C12" s="1503" t="str">
        <f>IF(Indice_index!$Z$1=1,"Impostos indiretos","Indirect taxes")</f>
        <v>Indirect taxes</v>
      </c>
      <c r="D12" s="1500">
        <v>102.1</v>
      </c>
      <c r="E12" s="1500">
        <v>122</v>
      </c>
      <c r="F12" s="1500">
        <v>98.5</v>
      </c>
      <c r="G12" s="1500">
        <v>105.4</v>
      </c>
      <c r="H12" s="1501">
        <f t="shared" si="0"/>
        <v>7.005076142131994</v>
      </c>
      <c r="I12" s="1502">
        <f t="shared" si="1"/>
        <v>6.1555480221956622E-2</v>
      </c>
      <c r="J12" s="462"/>
      <c r="K12" s="462"/>
      <c r="L12" s="462"/>
      <c r="M12" s="462"/>
      <c r="N12" s="462"/>
      <c r="O12" s="462"/>
      <c r="P12" s="462"/>
      <c r="Q12" s="462"/>
      <c r="R12" s="462"/>
    </row>
    <row r="13" spans="2:18" s="452" customFormat="1" ht="15" customHeight="1">
      <c r="B13" s="456"/>
      <c r="C13" s="1504" t="str">
        <f>IF(Indice_index!$Z$1=1,"Contribuições de Segurança Social","Social security contributions")</f>
        <v>Social security contributions</v>
      </c>
      <c r="D13" s="1505">
        <v>0</v>
      </c>
      <c r="E13" s="1505">
        <v>0</v>
      </c>
      <c r="F13" s="1505">
        <v>0</v>
      </c>
      <c r="G13" s="1505">
        <v>0</v>
      </c>
      <c r="H13" s="1501" t="str">
        <f t="shared" si="0"/>
        <v>-</v>
      </c>
      <c r="I13" s="1502">
        <f t="shared" si="1"/>
        <v>0</v>
      </c>
      <c r="J13" s="462"/>
      <c r="K13" s="462"/>
      <c r="L13" s="462"/>
      <c r="M13" s="462"/>
      <c r="N13" s="462"/>
      <c r="O13" s="462"/>
      <c r="P13" s="462"/>
      <c r="Q13" s="462"/>
      <c r="R13" s="462"/>
    </row>
    <row r="14" spans="2:18" s="452" customFormat="1" ht="15" customHeight="1">
      <c r="B14" s="456"/>
      <c r="C14" s="1504" t="str">
        <f>IF(Indice_index!$Z$1=1,"Outras receitas correntes","Other current revenue")</f>
        <v>Other current revenue</v>
      </c>
      <c r="D14" s="1500">
        <v>11008.136009349999</v>
      </c>
      <c r="E14" s="1500">
        <v>11176.812732683296</v>
      </c>
      <c r="F14" s="1500">
        <v>11053.300000000001</v>
      </c>
      <c r="G14" s="1500">
        <v>11105.146105580001</v>
      </c>
      <c r="H14" s="1502">
        <f t="shared" si="0"/>
        <v>0.46905544570399194</v>
      </c>
      <c r="I14" s="1502">
        <f t="shared" si="1"/>
        <v>0.46252346762538454</v>
      </c>
      <c r="J14" s="462"/>
      <c r="K14" s="462"/>
      <c r="L14" s="462"/>
      <c r="M14" s="462"/>
      <c r="N14" s="462"/>
      <c r="O14" s="462"/>
      <c r="P14" s="462"/>
      <c r="Q14" s="462"/>
      <c r="R14" s="462"/>
    </row>
    <row r="15" spans="2:18" s="460" customFormat="1" ht="15" customHeight="1">
      <c r="B15" s="459"/>
      <c r="C15" s="1496" t="str">
        <f>IF(Indice_index!$Z$1=1,"Receita de capital","Capital revenue")</f>
        <v>Capital revenue</v>
      </c>
      <c r="D15" s="1506">
        <v>51.6</v>
      </c>
      <c r="E15" s="1506">
        <v>215.7</v>
      </c>
      <c r="F15" s="1506">
        <v>57.6</v>
      </c>
      <c r="G15" s="1506">
        <v>76.199999999999989</v>
      </c>
      <c r="H15" s="1507">
        <f t="shared" si="0"/>
        <v>32.29166666666665</v>
      </c>
      <c r="I15" s="1498">
        <f t="shared" si="1"/>
        <v>0.16593216407657846</v>
      </c>
      <c r="J15" s="461"/>
      <c r="K15" s="461"/>
      <c r="L15" s="461"/>
      <c r="M15" s="461"/>
      <c r="N15" s="461"/>
      <c r="O15" s="461"/>
      <c r="P15" s="461"/>
      <c r="Q15" s="461"/>
      <c r="R15" s="461"/>
    </row>
    <row r="16" spans="2:18" s="452" customFormat="1" ht="4.5" customHeight="1">
      <c r="B16" s="456"/>
      <c r="C16" s="1508"/>
      <c r="D16" s="1500"/>
      <c r="E16" s="1500"/>
      <c r="F16" s="1500"/>
      <c r="G16" s="1500"/>
      <c r="H16" s="1498"/>
      <c r="I16" s="1498"/>
      <c r="J16" s="462"/>
      <c r="K16" s="462"/>
      <c r="L16" s="462"/>
      <c r="M16" s="462"/>
      <c r="N16" s="462"/>
      <c r="O16" s="462"/>
      <c r="P16" s="462"/>
      <c r="Q16" s="462"/>
      <c r="R16" s="462"/>
    </row>
    <row r="17" spans="2:18" s="460" customFormat="1" ht="15" customHeight="1">
      <c r="B17" s="459"/>
      <c r="C17" s="1496" t="str">
        <f>IF(Indice_index!$Z$1=1,"Receita efectiva","Effective revenue")</f>
        <v>Effective revenue</v>
      </c>
      <c r="D17" s="1506">
        <v>11161.83600935</v>
      </c>
      <c r="E17" s="1506">
        <v>11514.512732683297</v>
      </c>
      <c r="F17" s="1506">
        <v>11209.400000000001</v>
      </c>
      <c r="G17" s="1506">
        <v>11286.746105580001</v>
      </c>
      <c r="H17" s="1498">
        <f>IF(F17=0,"-",((G17/F17)-1)*100)</f>
        <v>0.69001111192392717</v>
      </c>
      <c r="I17" s="1498"/>
      <c r="J17" s="461"/>
      <c r="K17" s="461"/>
      <c r="L17" s="461"/>
      <c r="M17" s="461"/>
      <c r="N17" s="461"/>
      <c r="O17" s="461"/>
      <c r="P17" s="461"/>
      <c r="Q17" s="461"/>
      <c r="R17" s="461"/>
    </row>
    <row r="18" spans="2:18" s="452" customFormat="1" ht="4.5" customHeight="1">
      <c r="B18" s="456"/>
      <c r="C18" s="1509"/>
      <c r="D18" s="1497"/>
      <c r="E18" s="1497"/>
      <c r="F18" s="1497"/>
      <c r="G18" s="1497"/>
      <c r="H18" s="1502"/>
      <c r="I18" s="1502"/>
      <c r="J18" s="462"/>
      <c r="K18" s="462"/>
      <c r="L18" s="462"/>
      <c r="M18" s="462"/>
      <c r="N18" s="462"/>
      <c r="O18" s="462"/>
      <c r="P18" s="462"/>
      <c r="Q18" s="462"/>
      <c r="R18" s="462"/>
    </row>
    <row r="19" spans="2:18" s="460" customFormat="1" ht="15" customHeight="1">
      <c r="B19" s="459"/>
      <c r="C19" s="1496" t="str">
        <f>IF(Indice_index!$Z$1=1,"Despesa corrente","Current expenditure")</f>
        <v>Current expenditure</v>
      </c>
      <c r="D19" s="1506">
        <v>11191.4</v>
      </c>
      <c r="E19" s="1506">
        <v>11310.583999999999</v>
      </c>
      <c r="F19" s="1506">
        <v>11285.1</v>
      </c>
      <c r="G19" s="1506">
        <v>12153.800000000001</v>
      </c>
      <c r="H19" s="1498">
        <f t="shared" ref="H19:H36" si="2">IF(F19=0,"-",((G19/F19)-1)*100)</f>
        <v>7.6977607641935064</v>
      </c>
      <c r="I19" s="1498">
        <f>IFERROR((G19-F19)/$F$38*100,"-")</f>
        <v>7.5054863403086234</v>
      </c>
      <c r="J19" s="461"/>
      <c r="K19" s="461"/>
      <c r="L19" s="461"/>
      <c r="M19" s="461"/>
      <c r="N19" s="461"/>
      <c r="O19" s="461"/>
      <c r="P19" s="461"/>
      <c r="Q19" s="461"/>
      <c r="R19" s="461"/>
    </row>
    <row r="20" spans="2:18" s="452" customFormat="1" ht="15" customHeight="1">
      <c r="B20" s="456"/>
      <c r="C20" s="1504" t="str">
        <f>IF(Indice_index!$Z$1=1,"Despesas com o pessoal","Employees")</f>
        <v>Employees</v>
      </c>
      <c r="D20" s="1500">
        <v>4680</v>
      </c>
      <c r="E20" s="1500">
        <v>4813.8369999999995</v>
      </c>
      <c r="F20" s="1500">
        <v>4743.4000000000005</v>
      </c>
      <c r="G20" s="1500">
        <v>5060.4000000000005</v>
      </c>
      <c r="H20" s="1502">
        <f t="shared" si="2"/>
        <v>6.6829700215035537</v>
      </c>
      <c r="I20" s="1502">
        <f>IFERROR((G20-F20)/$F$38*100,"-")</f>
        <v>2.7388502013098095</v>
      </c>
      <c r="J20" s="462"/>
      <c r="K20" s="462"/>
      <c r="L20" s="462"/>
      <c r="M20" s="462"/>
      <c r="N20" s="462"/>
      <c r="O20" s="462"/>
      <c r="P20" s="462"/>
      <c r="Q20" s="462"/>
      <c r="R20" s="462"/>
    </row>
    <row r="21" spans="2:18" s="452" customFormat="1" ht="15" customHeight="1">
      <c r="B21" s="456"/>
      <c r="C21" s="1510" t="str">
        <f>IF(Indice_index!$Z$1=1,"Remunerações Certas e Permanentes","Certain and permanent wages")</f>
        <v>Certain and permanent wages</v>
      </c>
      <c r="D21" s="1511">
        <v>3125.2999999999997</v>
      </c>
      <c r="E21" s="1511">
        <v>3228.4</v>
      </c>
      <c r="F21" s="1511">
        <v>3145.3</v>
      </c>
      <c r="G21" s="1511">
        <v>3284.1</v>
      </c>
      <c r="H21" s="1502">
        <f t="shared" si="2"/>
        <v>4.412933583441947</v>
      </c>
      <c r="I21" s="1502">
        <f t="shared" ref="I21:I32" si="3">IFERROR((G21-F21)/$F$38*100,"-")</f>
        <v>1.1992189524977943</v>
      </c>
      <c r="J21" s="462"/>
      <c r="K21" s="462"/>
      <c r="L21" s="462"/>
      <c r="M21" s="462"/>
      <c r="N21" s="462"/>
      <c r="O21" s="462"/>
      <c r="P21" s="462"/>
      <c r="Q21" s="462"/>
      <c r="R21" s="462"/>
    </row>
    <row r="22" spans="2:18" s="452" customFormat="1" ht="15" customHeight="1">
      <c r="B22" s="456"/>
      <c r="C22" s="1510" t="str">
        <f>IF(Indice_index!$Z$1=1,"Abonos Variáveis ou Eventuais","Variable or contingent bonuses")</f>
        <v>Variable or contingent bonuses</v>
      </c>
      <c r="D22" s="1500">
        <v>697</v>
      </c>
      <c r="E22" s="1511">
        <v>697.03700000000003</v>
      </c>
      <c r="F22" s="1500">
        <v>724.80000000000007</v>
      </c>
      <c r="G22" s="1500">
        <v>843.5</v>
      </c>
      <c r="H22" s="1502">
        <f t="shared" si="2"/>
        <v>16.37693156732891</v>
      </c>
      <c r="I22" s="1502">
        <f t="shared" si="3"/>
        <v>1.025556841941559</v>
      </c>
      <c r="J22" s="462"/>
      <c r="K22" s="462"/>
      <c r="L22" s="462"/>
      <c r="M22" s="462"/>
      <c r="N22" s="462"/>
      <c r="O22" s="462"/>
      <c r="P22" s="462"/>
      <c r="Q22" s="462"/>
      <c r="R22" s="462"/>
    </row>
    <row r="23" spans="2:18" s="452" customFormat="1" ht="15" customHeight="1">
      <c r="B23" s="456"/>
      <c r="C23" s="1510" t="str">
        <f>IF(Indice_index!$Z$1=1,"Segurança social","Social security")</f>
        <v>Social security</v>
      </c>
      <c r="D23" s="1500">
        <v>857.7</v>
      </c>
      <c r="E23" s="1511">
        <v>888.4</v>
      </c>
      <c r="F23" s="1500">
        <v>873.3</v>
      </c>
      <c r="G23" s="1500">
        <v>932.8</v>
      </c>
      <c r="H23" s="1502">
        <f t="shared" si="2"/>
        <v>6.8132371464559638</v>
      </c>
      <c r="I23" s="1502">
        <f t="shared" si="3"/>
        <v>0.51407440687045325</v>
      </c>
      <c r="J23" s="462"/>
      <c r="K23" s="462"/>
      <c r="L23" s="462"/>
      <c r="M23" s="462"/>
      <c r="N23" s="462"/>
      <c r="O23" s="462"/>
      <c r="P23" s="462"/>
      <c r="Q23" s="462"/>
      <c r="R23" s="462"/>
    </row>
    <row r="24" spans="2:18" s="452" customFormat="1" ht="15" customHeight="1">
      <c r="B24" s="456"/>
      <c r="C24" s="1504" t="str">
        <f>IF(Indice_index!$Z$1=1,"Aquisição de bens e serviços","Purchase of goods and services")</f>
        <v>Purchase of goods and services</v>
      </c>
      <c r="D24" s="1500">
        <v>6361.9</v>
      </c>
      <c r="E24" s="1500">
        <v>6412.0469999999996</v>
      </c>
      <c r="F24" s="1500">
        <v>6384.5999999999995</v>
      </c>
      <c r="G24" s="1500">
        <v>6960.0999999999995</v>
      </c>
      <c r="H24" s="1502">
        <f t="shared" si="2"/>
        <v>9.0138771418726282</v>
      </c>
      <c r="I24" s="1502">
        <f t="shared" si="3"/>
        <v>4.9722659017469892</v>
      </c>
      <c r="J24" s="462"/>
      <c r="K24" s="462"/>
      <c r="L24" s="462"/>
      <c r="M24" s="462"/>
      <c r="N24" s="462"/>
      <c r="O24" s="462"/>
      <c r="P24" s="462"/>
      <c r="Q24" s="462"/>
      <c r="R24" s="462"/>
    </row>
    <row r="25" spans="2:18" s="452" customFormat="1" ht="15" customHeight="1">
      <c r="B25" s="456"/>
      <c r="C25" s="1503" t="str">
        <f>IF(Indice_index!$Z$1=1,"Produtos vendidos em farmácias","Medicines")</f>
        <v>Medicines</v>
      </c>
      <c r="D25" s="1500">
        <v>1471.6000000000001</v>
      </c>
      <c r="E25" s="1500">
        <v>1516.8999999999999</v>
      </c>
      <c r="F25" s="1500">
        <v>1471</v>
      </c>
      <c r="G25" s="1500">
        <v>1516.6</v>
      </c>
      <c r="H25" s="1502">
        <f t="shared" si="2"/>
        <v>3.099932019034668</v>
      </c>
      <c r="I25" s="1502">
        <f t="shared" si="3"/>
        <v>0.39397971350071626</v>
      </c>
      <c r="J25" s="462"/>
      <c r="K25" s="462"/>
      <c r="L25" s="462"/>
      <c r="M25" s="462"/>
      <c r="N25" s="462"/>
      <c r="O25" s="462"/>
      <c r="P25" s="462"/>
      <c r="Q25" s="462"/>
      <c r="R25" s="462"/>
    </row>
    <row r="26" spans="2:18" s="452" customFormat="1" ht="15" customHeight="1">
      <c r="B26" s="456"/>
      <c r="C26" s="1503" t="str">
        <f>IF(Indice_index!$Z$1=1,"Meios complementares de diagnóstico e terapêutica e outros subcontratos","Complementary diagnosis and therapeutic means and other subcontracts")</f>
        <v>Complementary diagnosis and therapeutic means and other subcontracts</v>
      </c>
      <c r="D26" s="1500">
        <v>1427.6</v>
      </c>
      <c r="E26" s="1500">
        <v>1418.1999999999998</v>
      </c>
      <c r="F26" s="1500">
        <v>1467.2</v>
      </c>
      <c r="G26" s="1500">
        <v>1718.7999999999997</v>
      </c>
      <c r="H26" s="1502">
        <f t="shared" si="2"/>
        <v>17.14830970556158</v>
      </c>
      <c r="I26" s="1502">
        <f t="shared" si="3"/>
        <v>2.1738003490521995</v>
      </c>
      <c r="J26" s="462"/>
      <c r="K26" s="462"/>
      <c r="L26" s="462"/>
      <c r="M26" s="462"/>
      <c r="N26" s="462"/>
      <c r="O26" s="462"/>
      <c r="P26" s="462"/>
      <c r="Q26" s="462"/>
      <c r="R26" s="462"/>
    </row>
    <row r="27" spans="2:18" s="452" customFormat="1" ht="15" customHeight="1">
      <c r="B27" s="456"/>
      <c r="C27" s="1503" t="str">
        <f>IF(Indice_index!$Z$1=1,"Parcerias público-privadas (PPP)","Public-Private Partnerships (PPP)")</f>
        <v>Public-Private Partnerships (PPP)</v>
      </c>
      <c r="D27" s="1500">
        <v>306.7</v>
      </c>
      <c r="E27" s="1500">
        <v>289.3</v>
      </c>
      <c r="F27" s="1500">
        <v>277.7</v>
      </c>
      <c r="G27" s="1500">
        <v>263.39999999999998</v>
      </c>
      <c r="H27" s="1502">
        <f t="shared" si="2"/>
        <v>-5.1494418437162404</v>
      </c>
      <c r="I27" s="1502">
        <f t="shared" si="3"/>
        <v>-0.12355065576886533</v>
      </c>
      <c r="J27" s="462"/>
      <c r="K27" s="462"/>
      <c r="L27" s="462"/>
      <c r="M27" s="462"/>
      <c r="N27" s="462"/>
      <c r="O27" s="462"/>
      <c r="P27" s="462"/>
      <c r="Q27" s="462"/>
      <c r="R27" s="462"/>
    </row>
    <row r="28" spans="2:18" s="452" customFormat="1" ht="15" customHeight="1">
      <c r="B28" s="456"/>
      <c r="C28" s="1503" t="str">
        <f>IF(Indice_index!$Z$1=1,"Aquisição de bens (compras inventários)","Purchase of goods (inventories)")</f>
        <v>Purchase of goods (inventories)</v>
      </c>
      <c r="D28" s="1500">
        <v>2235.4999999999995</v>
      </c>
      <c r="E28" s="1500">
        <v>2294.0189999999998</v>
      </c>
      <c r="F28" s="1500">
        <v>2249.3000000000002</v>
      </c>
      <c r="G28" s="1500">
        <v>2421</v>
      </c>
      <c r="H28" s="1502">
        <f t="shared" si="2"/>
        <v>7.6334859734139338</v>
      </c>
      <c r="I28" s="1502">
        <f t="shared" si="3"/>
        <v>1.4834718598261636</v>
      </c>
      <c r="J28" s="462"/>
      <c r="K28" s="462"/>
      <c r="L28" s="462"/>
      <c r="M28" s="462"/>
      <c r="N28" s="462"/>
      <c r="O28" s="462"/>
      <c r="P28" s="462"/>
      <c r="Q28" s="462"/>
      <c r="R28" s="462"/>
    </row>
    <row r="29" spans="2:18" s="452" customFormat="1" ht="15" customHeight="1">
      <c r="B29" s="456"/>
      <c r="C29" s="1503" t="str">
        <f>IF(Indice_index!$Z$1=1,"Outras aquisições de bens e serviços","Other acquisitions of goods and services")</f>
        <v>Other acquisitions of goods and services</v>
      </c>
      <c r="D29" s="1500">
        <v>920.5</v>
      </c>
      <c r="E29" s="1500">
        <v>893.62800000000004</v>
      </c>
      <c r="F29" s="1500">
        <v>919.4</v>
      </c>
      <c r="G29" s="1500">
        <v>1040.3</v>
      </c>
      <c r="H29" s="1502">
        <f t="shared" si="2"/>
        <v>13.149880356754394</v>
      </c>
      <c r="I29" s="1502">
        <f t="shared" si="3"/>
        <v>1.0445646351367694</v>
      </c>
      <c r="J29" s="462"/>
      <c r="K29" s="462"/>
      <c r="L29" s="462"/>
      <c r="M29" s="462"/>
      <c r="N29" s="462"/>
      <c r="O29" s="462"/>
      <c r="P29" s="462"/>
      <c r="Q29" s="462"/>
      <c r="R29" s="462"/>
    </row>
    <row r="30" spans="2:18" s="452" customFormat="1" ht="15" customHeight="1">
      <c r="B30" s="456"/>
      <c r="C30" s="1504" t="str">
        <f>IF(Indice_index!$Z$1=1,"Juros e outros encargos","Interests and other charges")</f>
        <v>Interests and other charges</v>
      </c>
      <c r="D30" s="1500">
        <v>1.5</v>
      </c>
      <c r="E30" s="1500">
        <v>0.8</v>
      </c>
      <c r="F30" s="1500">
        <v>0.6</v>
      </c>
      <c r="G30" s="1500">
        <v>2.2000000000000002</v>
      </c>
      <c r="H30" s="1501">
        <f t="shared" si="2"/>
        <v>266.66666666666669</v>
      </c>
      <c r="I30" s="1502">
        <f t="shared" si="3"/>
        <v>1.3823849596516391E-2</v>
      </c>
      <c r="J30" s="462"/>
      <c r="K30" s="462"/>
      <c r="L30" s="462"/>
      <c r="M30" s="462"/>
      <c r="N30" s="462"/>
      <c r="O30" s="462"/>
      <c r="P30" s="462"/>
      <c r="Q30" s="462"/>
      <c r="R30" s="462"/>
    </row>
    <row r="31" spans="2:18" s="452" customFormat="1" ht="15" customHeight="1">
      <c r="B31" s="456"/>
      <c r="C31" s="1504" t="str">
        <f>IF(Indice_index!$Z$1=1,"Transferências correntes","Current transfers")</f>
        <v>Current transfers</v>
      </c>
      <c r="D31" s="1500">
        <v>145.1</v>
      </c>
      <c r="E31" s="1500">
        <v>65.7</v>
      </c>
      <c r="F31" s="1500">
        <v>145.1</v>
      </c>
      <c r="G31" s="1500">
        <v>127.9</v>
      </c>
      <c r="H31" s="1501">
        <f t="shared" si="2"/>
        <v>-11.853893866299092</v>
      </c>
      <c r="I31" s="1502">
        <f t="shared" si="3"/>
        <v>-0.14860638316255109</v>
      </c>
      <c r="J31" s="462"/>
      <c r="K31" s="462"/>
      <c r="L31" s="462"/>
      <c r="M31" s="462"/>
      <c r="N31" s="462"/>
      <c r="O31" s="462"/>
      <c r="P31" s="462"/>
      <c r="Q31" s="462"/>
      <c r="R31" s="462"/>
    </row>
    <row r="32" spans="2:18" s="452" customFormat="1" ht="15" customHeight="1">
      <c r="B32" s="456"/>
      <c r="C32" s="1504" t="str">
        <f>IF(Indice_index!$Z$1=1,"Outras despesas correntes","Other current expenditures")</f>
        <v>Other current expenditures</v>
      </c>
      <c r="D32" s="1500">
        <v>2.9</v>
      </c>
      <c r="E32" s="1500">
        <v>18.2</v>
      </c>
      <c r="F32" s="1500">
        <v>11.4</v>
      </c>
      <c r="G32" s="1500">
        <v>3.2</v>
      </c>
      <c r="H32" s="1502">
        <f t="shared" si="2"/>
        <v>-71.929824561403507</v>
      </c>
      <c r="I32" s="1502">
        <f t="shared" si="3"/>
        <v>-7.084722918214649E-2</v>
      </c>
      <c r="J32" s="462"/>
      <c r="K32" s="462"/>
      <c r="L32" s="462"/>
      <c r="M32" s="462"/>
      <c r="N32" s="462"/>
      <c r="O32" s="462"/>
      <c r="P32" s="462"/>
      <c r="Q32" s="462"/>
      <c r="R32" s="462"/>
    </row>
    <row r="33" spans="2:26" s="460" customFormat="1" ht="15" customHeight="1">
      <c r="B33" s="459"/>
      <c r="C33" s="1496" t="str">
        <f>IF(Indice_index!$Z$1=1,"Despesa de capital","Capital expenditure")</f>
        <v>Capital expenditure</v>
      </c>
      <c r="D33" s="1512">
        <v>262.89999999999998</v>
      </c>
      <c r="E33" s="1512">
        <v>293.06299999999999</v>
      </c>
      <c r="F33" s="1512">
        <v>289.09999999999997</v>
      </c>
      <c r="G33" s="1512">
        <v>233</v>
      </c>
      <c r="H33" s="1507">
        <f t="shared" si="2"/>
        <v>-19.405050155655466</v>
      </c>
      <c r="I33" s="1498">
        <f>IFERROR((G33-F33)/$F$38*100,"-")</f>
        <v>-0.48469872647785561</v>
      </c>
      <c r="J33" s="461"/>
      <c r="K33" s="461"/>
      <c r="L33" s="461"/>
      <c r="M33" s="461"/>
      <c r="N33" s="461"/>
      <c r="O33" s="461"/>
      <c r="P33" s="461"/>
      <c r="Q33" s="461"/>
      <c r="R33" s="461"/>
    </row>
    <row r="34" spans="2:26" s="452" customFormat="1" ht="15" customHeight="1">
      <c r="B34" s="456"/>
      <c r="C34" s="1504" t="str">
        <f>IF(Indice_index!$Z$1=1,"Investimentos","Investments")</f>
        <v>Investments</v>
      </c>
      <c r="D34" s="1500">
        <v>262.39999999999998</v>
      </c>
      <c r="E34" s="1513">
        <v>273.46299999999997</v>
      </c>
      <c r="F34" s="1500">
        <v>288.39999999999998</v>
      </c>
      <c r="G34" s="1500">
        <v>232.4</v>
      </c>
      <c r="H34" s="1501">
        <f t="shared" si="2"/>
        <v>-19.417475728155331</v>
      </c>
      <c r="I34" s="1502">
        <f>IFERROR((G34-F34)/$F$38*100,"-")</f>
        <v>-0.48383473587807341</v>
      </c>
      <c r="J34" s="462"/>
      <c r="K34" s="462"/>
      <c r="L34" s="462"/>
      <c r="M34" s="462"/>
      <c r="N34" s="462"/>
      <c r="O34" s="462"/>
      <c r="P34" s="462"/>
      <c r="Q34" s="462"/>
      <c r="R34" s="462"/>
    </row>
    <row r="35" spans="2:26" s="452" customFormat="1" ht="15" customHeight="1">
      <c r="B35" s="463"/>
      <c r="C35" s="1504" t="str">
        <f>IF(Indice_index!$Z$1=1,"Transferências de capital","Capital transfers")</f>
        <v>Capital transfers</v>
      </c>
      <c r="D35" s="1500">
        <v>0.5</v>
      </c>
      <c r="E35" s="1513">
        <v>19.600000000000001</v>
      </c>
      <c r="F35" s="1500">
        <v>0.7</v>
      </c>
      <c r="G35" s="1500">
        <v>0.6</v>
      </c>
      <c r="H35" s="1501">
        <f t="shared" si="2"/>
        <v>-14.285714285714279</v>
      </c>
      <c r="I35" s="1502">
        <f t="shared" ref="I35:I36" si="4">IFERROR((G35-F35)/$F$38*100,"-")</f>
        <v>-8.63990599782274E-4</v>
      </c>
      <c r="J35" s="462"/>
      <c r="K35" s="462"/>
      <c r="L35" s="462"/>
      <c r="M35" s="462"/>
      <c r="N35" s="462"/>
      <c r="O35" s="462"/>
      <c r="P35" s="462"/>
      <c r="Q35" s="462"/>
      <c r="R35" s="462"/>
    </row>
    <row r="36" spans="2:26" s="452" customFormat="1" ht="15" customHeight="1">
      <c r="B36" s="456"/>
      <c r="C36" s="1504" t="str">
        <f>IF(Indice_index!$Z$1=1,"Outras despesas de capital","Other capital expenditures")</f>
        <v>Other capital expenditures</v>
      </c>
      <c r="D36" s="1513">
        <v>0</v>
      </c>
      <c r="E36" s="1513">
        <v>0</v>
      </c>
      <c r="F36" s="1513">
        <v>0</v>
      </c>
      <c r="G36" s="1513">
        <v>0</v>
      </c>
      <c r="H36" s="1514" t="str">
        <f t="shared" si="2"/>
        <v>-</v>
      </c>
      <c r="I36" s="1502">
        <f t="shared" si="4"/>
        <v>0</v>
      </c>
      <c r="J36" s="462"/>
      <c r="K36" s="462"/>
      <c r="L36" s="462"/>
      <c r="M36" s="462"/>
      <c r="N36" s="462"/>
      <c r="O36" s="462"/>
      <c r="P36" s="462"/>
      <c r="Q36" s="462"/>
      <c r="R36" s="462"/>
    </row>
    <row r="37" spans="2:26" s="452" customFormat="1" ht="4.5" customHeight="1">
      <c r="B37" s="456"/>
      <c r="C37" s="1515"/>
      <c r="D37" s="1497"/>
      <c r="E37" s="1497"/>
      <c r="F37" s="1497"/>
      <c r="G37" s="1497"/>
      <c r="H37" s="1501"/>
      <c r="I37" s="1501"/>
      <c r="J37" s="462"/>
      <c r="K37" s="462"/>
      <c r="L37" s="462"/>
      <c r="M37" s="462"/>
      <c r="N37" s="462"/>
      <c r="O37" s="462"/>
      <c r="P37" s="462"/>
      <c r="Q37" s="462"/>
      <c r="R37" s="462"/>
    </row>
    <row r="38" spans="2:26" s="460" customFormat="1" ht="15" customHeight="1">
      <c r="B38" s="459"/>
      <c r="C38" s="1496" t="str">
        <f>IF(Indice_index!$Z$1=1,"Despesa efectiva","Effective expenditure")</f>
        <v>Effective expenditure</v>
      </c>
      <c r="D38" s="1516">
        <v>11454.3</v>
      </c>
      <c r="E38" s="1516">
        <v>11603.646999999999</v>
      </c>
      <c r="F38" s="1516">
        <v>11574.2</v>
      </c>
      <c r="G38" s="1516">
        <v>12386.800000000001</v>
      </c>
      <c r="H38" s="1517">
        <f>IF(F38=0,"-",((G38/F38)-1)*100)</f>
        <v>7.020787613830759</v>
      </c>
      <c r="I38" s="1517"/>
      <c r="J38" s="461"/>
      <c r="K38" s="461"/>
      <c r="L38" s="461"/>
      <c r="M38" s="461"/>
      <c r="N38" s="461"/>
      <c r="O38" s="461"/>
      <c r="P38" s="461"/>
      <c r="Q38" s="461"/>
      <c r="R38" s="461"/>
    </row>
    <row r="39" spans="2:26" s="452" customFormat="1" ht="4.5" customHeight="1">
      <c r="B39" s="456"/>
      <c r="C39" s="1518"/>
      <c r="D39" s="1516"/>
      <c r="E39" s="1516"/>
      <c r="F39" s="1516"/>
      <c r="G39" s="1516"/>
      <c r="H39" s="1517"/>
      <c r="I39" s="1517"/>
      <c r="J39" s="462"/>
      <c r="K39" s="462"/>
      <c r="L39" s="462"/>
      <c r="M39" s="462"/>
      <c r="N39" s="462"/>
      <c r="O39" s="462"/>
      <c r="P39" s="462"/>
      <c r="Q39" s="462"/>
      <c r="R39" s="462"/>
    </row>
    <row r="40" spans="2:26" s="460" customFormat="1" ht="15" customHeight="1">
      <c r="B40" s="459"/>
      <c r="C40" s="1519" t="str">
        <f>IF(Indice_index!$Z$1=1,"Saldo global","Overall balance")</f>
        <v>Overall balance</v>
      </c>
      <c r="D40" s="1520">
        <v>-292.46399064999969</v>
      </c>
      <c r="E40" s="1520">
        <v>-89.13426731670188</v>
      </c>
      <c r="F40" s="1520">
        <v>-364.79999999999927</v>
      </c>
      <c r="G40" s="1520">
        <v>-1100.0538944199998</v>
      </c>
      <c r="H40" s="1520"/>
      <c r="I40" s="1520"/>
      <c r="J40" s="461"/>
      <c r="K40" s="461"/>
      <c r="L40" s="461"/>
      <c r="M40" s="461"/>
      <c r="N40" s="461"/>
      <c r="O40" s="461"/>
      <c r="P40" s="461"/>
      <c r="Q40" s="461"/>
      <c r="R40" s="461"/>
    </row>
    <row r="41" spans="2:26" s="460" customFormat="1" ht="4.5" customHeight="1">
      <c r="B41" s="459"/>
      <c r="C41" s="1496"/>
      <c r="D41" s="1496"/>
      <c r="E41" s="1496"/>
      <c r="F41" s="1496"/>
      <c r="G41" s="1496"/>
      <c r="H41" s="1496"/>
      <c r="I41" s="1496"/>
      <c r="J41" s="461"/>
      <c r="K41" s="461"/>
      <c r="L41" s="461"/>
      <c r="M41" s="461"/>
      <c r="N41" s="461"/>
      <c r="O41" s="461"/>
      <c r="P41" s="461"/>
      <c r="Q41" s="461"/>
      <c r="R41" s="461"/>
    </row>
    <row r="42" spans="2:26" s="140" customFormat="1" ht="15" customHeight="1">
      <c r="C42" s="456" t="str">
        <f>IF(Indice_index!$Z$1=1,"Fonte: Administração Central do Sistema de Saúde, IP.","Source: Health System Central Administration")</f>
        <v>Source: Health System Central Administration</v>
      </c>
      <c r="D42" s="1521"/>
      <c r="E42" s="1521"/>
      <c r="F42" s="1521"/>
      <c r="G42" s="1521"/>
      <c r="H42" s="382"/>
      <c r="I42" s="382"/>
      <c r="X42" s="4"/>
      <c r="Y42" s="4"/>
      <c r="Z42" s="4"/>
    </row>
    <row r="43" spans="2:26" s="452" customFormat="1" ht="11.25" customHeight="1">
      <c r="C43" s="456"/>
      <c r="D43" s="453"/>
      <c r="E43" s="453"/>
      <c r="F43" s="453"/>
    </row>
    <row r="44" spans="2:26" s="452" customFormat="1">
      <c r="C44" s="496"/>
      <c r="D44" s="453"/>
      <c r="E44" s="453"/>
      <c r="F44" s="453"/>
    </row>
    <row r="45" spans="2:26" s="452" customFormat="1">
      <c r="C45" s="496"/>
      <c r="D45" s="453"/>
      <c r="E45" s="453"/>
      <c r="F45" s="453"/>
    </row>
    <row r="46" spans="2:26" s="452" customFormat="1">
      <c r="C46" s="496"/>
      <c r="D46" s="453"/>
      <c r="E46" s="453"/>
      <c r="F46" s="453"/>
    </row>
    <row r="47" spans="2:26" s="452" customFormat="1">
      <c r="C47" s="383"/>
      <c r="D47" s="383"/>
      <c r="E47" s="383"/>
      <c r="F47" s="383"/>
      <c r="H47" s="464"/>
      <c r="I47" s="464"/>
    </row>
    <row r="48" spans="2:26" s="452" customFormat="1">
      <c r="C48" s="383"/>
      <c r="D48" s="383"/>
      <c r="E48" s="383"/>
      <c r="F48" s="383"/>
      <c r="H48" s="464"/>
      <c r="I48" s="464"/>
    </row>
    <row r="49" spans="8:9" s="452" customFormat="1">
      <c r="H49" s="464"/>
      <c r="I49" s="464"/>
    </row>
    <row r="50" spans="8:9" s="452" customFormat="1">
      <c r="H50" s="464"/>
      <c r="I50" s="464"/>
    </row>
    <row r="51" spans="8:9" s="452" customFormat="1">
      <c r="H51" s="464"/>
      <c r="I51" s="464"/>
    </row>
    <row r="52" spans="8:9" s="452" customFormat="1">
      <c r="H52" s="464"/>
      <c r="I52" s="464"/>
    </row>
    <row r="53" spans="8:9" s="452" customFormat="1">
      <c r="H53" s="464"/>
      <c r="I53" s="464"/>
    </row>
    <row r="54" spans="8:9" s="452" customFormat="1">
      <c r="H54" s="464"/>
      <c r="I54" s="464"/>
    </row>
    <row r="55" spans="8:9" s="452" customFormat="1">
      <c r="H55" s="464"/>
      <c r="I55" s="464"/>
    </row>
    <row r="56" spans="8:9" s="452" customFormat="1">
      <c r="H56" s="464"/>
      <c r="I56" s="464"/>
    </row>
    <row r="57" spans="8:9" s="452" customFormat="1">
      <c r="H57" s="464"/>
      <c r="I57" s="464"/>
    </row>
    <row r="58" spans="8:9" s="452" customFormat="1">
      <c r="H58" s="464"/>
      <c r="I58" s="464"/>
    </row>
    <row r="59" spans="8:9" s="452" customFormat="1">
      <c r="H59" s="464"/>
      <c r="I59" s="464"/>
    </row>
    <row r="60" spans="8:9" s="452" customFormat="1">
      <c r="H60" s="464"/>
      <c r="I60" s="464"/>
    </row>
    <row r="61" spans="8:9" s="452" customFormat="1">
      <c r="H61" s="464"/>
      <c r="I61" s="464"/>
    </row>
    <row r="62" spans="8:9" s="452" customFormat="1">
      <c r="H62" s="464"/>
      <c r="I62" s="464"/>
    </row>
    <row r="63" spans="8:9" s="452" customFormat="1">
      <c r="H63" s="464"/>
      <c r="I63" s="464"/>
    </row>
    <row r="64" spans="8:9" s="452" customFormat="1">
      <c r="H64" s="464"/>
      <c r="I64" s="464"/>
    </row>
    <row r="65" spans="8:9" s="452" customFormat="1">
      <c r="H65" s="464"/>
      <c r="I65" s="464"/>
    </row>
    <row r="66" spans="8:9" s="452" customFormat="1">
      <c r="H66" s="464"/>
      <c r="I66" s="464"/>
    </row>
    <row r="67" spans="8:9" s="452" customFormat="1">
      <c r="H67" s="464"/>
      <c r="I67" s="464"/>
    </row>
    <row r="68" spans="8:9" s="452" customFormat="1">
      <c r="H68" s="464"/>
      <c r="I68" s="464"/>
    </row>
    <row r="69" spans="8:9" s="452" customFormat="1"/>
    <row r="70" spans="8:9" s="452" customFormat="1"/>
    <row r="71" spans="8:9" s="452" customFormat="1"/>
    <row r="72" spans="8:9" s="452" customFormat="1"/>
    <row r="73" spans="8:9" s="452" customFormat="1"/>
    <row r="74" spans="8:9" s="452" customFormat="1"/>
    <row r="75" spans="8:9" s="452" customFormat="1"/>
    <row r="76" spans="8:9" s="452" customFormat="1"/>
    <row r="77" spans="8:9" s="452" customFormat="1"/>
    <row r="78" spans="8:9" s="452" customFormat="1"/>
    <row r="79" spans="8:9" s="452" customFormat="1"/>
    <row r="80" spans="8:9" s="452" customFormat="1"/>
    <row r="81" s="452" customFormat="1"/>
    <row r="82" s="452" customFormat="1"/>
    <row r="83" s="452" customFormat="1"/>
    <row r="84" s="452" customFormat="1"/>
    <row r="85" s="452" customFormat="1"/>
    <row r="86" s="452" customFormat="1"/>
    <row r="87" s="452" customFormat="1"/>
    <row r="88" s="452" customFormat="1"/>
    <row r="89" s="452" customFormat="1"/>
    <row r="90" s="452" customFormat="1"/>
    <row r="91" s="452" customFormat="1"/>
    <row r="92" s="452" customFormat="1"/>
    <row r="93" s="452" customFormat="1"/>
    <row r="94" s="452" customFormat="1"/>
    <row r="95" s="452" customFormat="1"/>
    <row r="96" s="452" customFormat="1"/>
    <row r="97" s="452" customFormat="1"/>
    <row r="98" s="452" customFormat="1"/>
    <row r="99" s="452" customFormat="1"/>
    <row r="100" s="452" customFormat="1"/>
    <row r="101" s="452" customFormat="1"/>
    <row r="102" s="452" customFormat="1"/>
    <row r="103" s="452" customFormat="1"/>
    <row r="104" s="452" customFormat="1"/>
    <row r="105" s="452" customFormat="1"/>
    <row r="106" s="452" customFormat="1"/>
    <row r="107" s="452" customFormat="1"/>
    <row r="108" s="452" customFormat="1"/>
    <row r="109" s="452" customFormat="1"/>
    <row r="110" s="452" customFormat="1"/>
    <row r="111" s="452" customFormat="1"/>
    <row r="112" s="452" customFormat="1"/>
    <row r="113" s="452" customFormat="1"/>
    <row r="114" s="452" customFormat="1" ht="12" customHeight="1"/>
    <row r="115" s="452" customFormat="1"/>
    <row r="116" s="452" customFormat="1"/>
    <row r="117" s="452" customFormat="1"/>
    <row r="118" s="452" customFormat="1"/>
    <row r="119" s="452" customFormat="1"/>
    <row r="120" s="452" customFormat="1"/>
    <row r="121" s="452" customFormat="1"/>
    <row r="122" s="452" customFormat="1"/>
    <row r="123" s="452" customFormat="1"/>
    <row r="124" s="452" customFormat="1"/>
    <row r="125" s="452" customFormat="1"/>
    <row r="126" s="452" customFormat="1"/>
    <row r="127" s="452" customFormat="1"/>
    <row r="128" s="452" customFormat="1"/>
    <row r="129" s="452" customFormat="1"/>
    <row r="130" s="452" customFormat="1"/>
    <row r="131" s="452" customFormat="1"/>
    <row r="132" s="452" customFormat="1"/>
    <row r="133" s="452" customFormat="1"/>
    <row r="134" s="452" customFormat="1"/>
    <row r="135" s="452" customFormat="1"/>
    <row r="136" s="452" customFormat="1"/>
    <row r="137" s="452" customFormat="1"/>
    <row r="138" s="452" customFormat="1"/>
    <row r="139" s="452" customFormat="1"/>
    <row r="140" s="452" customFormat="1"/>
    <row r="141" s="452" customFormat="1"/>
    <row r="142" s="452" customFormat="1"/>
    <row r="143" s="452" customFormat="1"/>
    <row r="144" s="452" customFormat="1"/>
    <row r="145" s="452" customFormat="1"/>
    <row r="146" s="452" customFormat="1"/>
    <row r="147" s="452" customFormat="1"/>
    <row r="148" s="452" customFormat="1"/>
    <row r="149" s="452" customFormat="1"/>
    <row r="150" s="452" customFormat="1"/>
    <row r="151" s="452" customFormat="1"/>
    <row r="152" s="452" customFormat="1"/>
    <row r="153" s="452" customFormat="1"/>
    <row r="154" s="452" customFormat="1"/>
    <row r="155" s="452" customFormat="1"/>
    <row r="156" s="452" customFormat="1"/>
    <row r="157" s="452" customFormat="1"/>
    <row r="158" s="452" customFormat="1"/>
    <row r="159" s="452" customFormat="1"/>
    <row r="160" s="452" customFormat="1"/>
    <row r="161" s="452" customFormat="1"/>
    <row r="162" s="452" customFormat="1"/>
    <row r="163" s="452" customFormat="1"/>
    <row r="164" s="452" customFormat="1"/>
    <row r="165" s="452" customFormat="1"/>
    <row r="166" s="452" customFormat="1"/>
    <row r="167" s="452" customFormat="1"/>
    <row r="168" s="452" customFormat="1"/>
    <row r="169" s="452" customFormat="1"/>
    <row r="170" s="452" customFormat="1"/>
    <row r="171" s="452" customFormat="1"/>
    <row r="172" s="452" customFormat="1"/>
    <row r="173" s="452" customFormat="1"/>
    <row r="174" s="452" customFormat="1"/>
    <row r="175" s="452" customFormat="1"/>
    <row r="176" s="452" customFormat="1"/>
    <row r="177" s="452" customFormat="1"/>
    <row r="178" s="452" customFormat="1"/>
    <row r="179" s="452" customFormat="1"/>
    <row r="180" s="452" customFormat="1"/>
    <row r="181" s="452" customFormat="1"/>
    <row r="182" s="452" customFormat="1"/>
    <row r="183" s="452" customFormat="1"/>
    <row r="184" s="452" customFormat="1"/>
    <row r="185" s="452" customFormat="1"/>
    <row r="186" s="452" customFormat="1"/>
    <row r="187" s="452" customFormat="1"/>
    <row r="188" s="452" customFormat="1"/>
    <row r="189" s="452" customFormat="1"/>
    <row r="190" s="452" customFormat="1"/>
    <row r="191" s="452" customFormat="1"/>
    <row r="192" s="452" customFormat="1"/>
    <row r="193" s="452" customFormat="1"/>
    <row r="194" s="452" customFormat="1"/>
    <row r="195" s="452" customFormat="1"/>
    <row r="196" s="452" customFormat="1"/>
    <row r="197" s="452" customFormat="1"/>
    <row r="198" s="452" customFormat="1"/>
    <row r="199" s="452" customFormat="1"/>
    <row r="200" s="452" customFormat="1"/>
    <row r="201" s="452" customFormat="1"/>
    <row r="202" s="452" customFormat="1"/>
    <row r="203" s="452" customFormat="1"/>
    <row r="204" s="452" customFormat="1"/>
    <row r="205" s="452" customFormat="1"/>
    <row r="206" s="452" customFormat="1"/>
    <row r="207" s="452" customFormat="1"/>
    <row r="208" s="452" customFormat="1"/>
    <row r="209" s="452" customFormat="1"/>
    <row r="210" s="452" customFormat="1"/>
    <row r="211" s="452" customFormat="1"/>
    <row r="212" s="452" customFormat="1"/>
    <row r="213" s="452" customFormat="1"/>
    <row r="214" s="452" customFormat="1"/>
    <row r="215" s="452" customFormat="1"/>
    <row r="216" s="452" customFormat="1"/>
    <row r="217" s="452" customFormat="1"/>
    <row r="218" s="452" customFormat="1"/>
    <row r="219" s="452" customFormat="1"/>
    <row r="220" s="452" customFormat="1"/>
    <row r="221" s="452" customFormat="1"/>
    <row r="222" s="452" customFormat="1"/>
    <row r="223" s="452" customFormat="1"/>
    <row r="224" s="452" customFormat="1"/>
    <row r="225" s="452" customFormat="1"/>
    <row r="226" s="452" customFormat="1"/>
    <row r="227" s="452" customFormat="1"/>
    <row r="228" s="452" customFormat="1"/>
    <row r="229" s="452" customFormat="1"/>
    <row r="230" s="452" customFormat="1"/>
    <row r="231" s="452" customFormat="1"/>
    <row r="232" s="452" customFormat="1"/>
    <row r="233" s="452" customFormat="1"/>
    <row r="234" s="452" customFormat="1"/>
    <row r="235" s="452" customFormat="1"/>
    <row r="236" s="452" customFormat="1"/>
    <row r="237" s="452" customFormat="1"/>
    <row r="238" s="452" customFormat="1"/>
    <row r="239" s="452" customFormat="1"/>
    <row r="240" s="452" customFormat="1"/>
    <row r="241" s="452" customFormat="1"/>
    <row r="242" s="452" customFormat="1"/>
    <row r="243" s="452" customFormat="1"/>
    <row r="244" s="452" customFormat="1"/>
    <row r="245" s="452" customFormat="1"/>
    <row r="246" s="452" customFormat="1"/>
    <row r="247" s="452" customFormat="1"/>
    <row r="248" s="452" customFormat="1"/>
    <row r="249" s="452" customFormat="1"/>
    <row r="250" s="452" customFormat="1"/>
    <row r="251" s="452" customFormat="1"/>
    <row r="252" s="452" customFormat="1"/>
    <row r="253" s="452" customFormat="1"/>
    <row r="254" s="452" customFormat="1"/>
    <row r="255" s="452" customFormat="1"/>
    <row r="256" s="452" customFormat="1"/>
    <row r="257" s="452" customFormat="1"/>
    <row r="258" s="452" customFormat="1"/>
    <row r="259" s="452" customFormat="1"/>
    <row r="260" s="452" customFormat="1"/>
    <row r="261" s="452" customFormat="1"/>
    <row r="262" s="452" customFormat="1"/>
    <row r="263" s="452" customFormat="1"/>
    <row r="264" s="452" customFormat="1"/>
    <row r="265" s="452" customFormat="1"/>
    <row r="266" s="452" customFormat="1"/>
    <row r="267" s="452" customFormat="1"/>
    <row r="268" s="452" customFormat="1"/>
    <row r="269" s="452"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AJ62"/>
  <sheetViews>
    <sheetView showGridLines="0" zoomScaleNormal="100" zoomScaleSheetLayoutView="100" workbookViewId="0">
      <selection activeCell="B2" sqref="B2"/>
    </sheetView>
  </sheetViews>
  <sheetFormatPr defaultColWidth="9.140625" defaultRowHeight="12.75"/>
  <cols>
    <col min="1" max="1" width="3.42578125" style="140" customWidth="1"/>
    <col min="2" max="2" width="4.42578125" style="140" customWidth="1"/>
    <col min="3" max="3" width="2.140625" style="140" customWidth="1"/>
    <col min="4" max="4" width="31.5703125" style="140" customWidth="1"/>
    <col min="5" max="11" width="7.42578125" style="140" customWidth="1"/>
    <col min="12" max="16" width="7.5703125" style="140" customWidth="1"/>
    <col min="17" max="17" width="6.42578125" style="140" customWidth="1"/>
    <col min="18" max="18" width="7.42578125" style="140" customWidth="1"/>
    <col min="19" max="19" width="11" style="140" bestFit="1" customWidth="1"/>
    <col min="20" max="20" width="12" style="140" bestFit="1" customWidth="1"/>
    <col min="21" max="27" width="9.140625" style="140"/>
    <col min="28" max="28" width="12.42578125" style="4" hidden="1" customWidth="1"/>
    <col min="29" max="30" width="9.140625" style="4" hidden="1" customWidth="1"/>
    <col min="31" max="16384" width="9.140625" style="140"/>
  </cols>
  <sheetData>
    <row r="1" spans="1:36" s="170" customFormat="1" ht="15" customHeight="1">
      <c r="E1" s="140"/>
      <c r="F1" s="140"/>
      <c r="G1" s="140"/>
      <c r="L1" s="140"/>
      <c r="AB1" s="170">
        <v>1</v>
      </c>
      <c r="AC1" s="170" t="s">
        <v>1</v>
      </c>
      <c r="AD1" s="170">
        <v>1</v>
      </c>
    </row>
    <row r="2" spans="1:36" s="170" customFormat="1" ht="24" customHeight="1">
      <c r="B2" s="8"/>
      <c r="C2" s="343" t="str">
        <f>IF(Indice_index!$Z$1=1,"17 - Dívida não Financeira das Administrações Públicas","17 - General Government Non-Financial Debt")</f>
        <v>17 - General Government Non-Financial Debt</v>
      </c>
      <c r="D2" s="343"/>
      <c r="E2" s="343"/>
      <c r="F2" s="343"/>
      <c r="G2" s="343"/>
      <c r="H2" s="343"/>
      <c r="I2" s="343"/>
      <c r="J2" s="343"/>
      <c r="K2" s="343"/>
      <c r="L2" s="343"/>
      <c r="M2" s="344"/>
      <c r="N2" s="344"/>
      <c r="O2" s="344"/>
      <c r="P2" s="344"/>
      <c r="Q2" s="344"/>
      <c r="R2" s="344"/>
      <c r="AB2" s="345">
        <v>2</v>
      </c>
      <c r="AC2" s="4" t="s">
        <v>2</v>
      </c>
      <c r="AD2" s="4"/>
    </row>
    <row r="3" spans="1:36" ht="15" customHeight="1">
      <c r="A3" s="346"/>
      <c r="B3" s="346"/>
      <c r="C3" s="346"/>
      <c r="D3" s="346"/>
      <c r="E3" s="347"/>
      <c r="F3" s="347"/>
      <c r="G3" s="347"/>
      <c r="L3" s="347"/>
    </row>
    <row r="4" spans="1:36" ht="15" customHeight="1"/>
    <row r="5" spans="1:36" s="324" customFormat="1" ht="15" customHeight="1">
      <c r="C5" s="770" t="str">
        <f>+'4 - Conta AC + SS'!C5</f>
        <v>Period: January to December</v>
      </c>
      <c r="D5" s="771"/>
      <c r="E5" s="772"/>
      <c r="F5" s="772"/>
      <c r="G5" s="772"/>
      <c r="H5" s="772"/>
      <c r="I5" s="772"/>
      <c r="J5" s="772"/>
      <c r="K5" s="772"/>
      <c r="L5" s="772"/>
      <c r="M5" s="772"/>
      <c r="N5" s="772"/>
      <c r="O5" s="772"/>
      <c r="P5" s="772"/>
      <c r="Q5" s="322"/>
      <c r="R5" s="322"/>
      <c r="S5" s="322"/>
      <c r="AB5" s="257"/>
      <c r="AC5" s="257"/>
      <c r="AD5" s="257"/>
    </row>
    <row r="6" spans="1:36" s="324" customFormat="1" ht="15" customHeight="1">
      <c r="C6" s="322"/>
      <c r="D6" s="771"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773"/>
      <c r="F6" s="773"/>
      <c r="G6" s="322"/>
      <c r="H6" s="322"/>
      <c r="I6" s="322"/>
      <c r="J6" s="322"/>
      <c r="K6" s="773"/>
      <c r="L6" s="322"/>
      <c r="M6" s="322"/>
      <c r="N6" s="322"/>
      <c r="O6" s="322"/>
      <c r="P6" s="322"/>
      <c r="Q6" s="322"/>
      <c r="R6" s="322"/>
      <c r="S6" s="487"/>
      <c r="AB6" s="257"/>
      <c r="AC6" s="257"/>
      <c r="AD6" s="257"/>
    </row>
    <row r="7" spans="1:36" s="324" customFormat="1">
      <c r="C7" s="322"/>
      <c r="D7" s="771"/>
      <c r="E7" s="322"/>
      <c r="F7" s="322"/>
      <c r="G7" s="322"/>
      <c r="H7" s="322"/>
      <c r="I7" s="322"/>
      <c r="J7" s="322"/>
      <c r="K7" s="322"/>
      <c r="L7" s="322"/>
      <c r="M7" s="322"/>
      <c r="N7" s="322"/>
      <c r="O7" s="322"/>
      <c r="P7" s="322"/>
      <c r="Q7" s="322"/>
      <c r="R7" s="774" t="str">
        <f>IF(Indice_index!$Z$1=1,"€ Milhões","€ Millions")</f>
        <v>€ Millions</v>
      </c>
      <c r="S7" s="487"/>
      <c r="AB7" s="257"/>
      <c r="AC7" s="257"/>
      <c r="AD7" s="257"/>
    </row>
    <row r="8" spans="1:36" s="171" customFormat="1" ht="12.75" customHeight="1">
      <c r="C8" s="1657" t="str">
        <f>IF(Indice_index!$Z$1=1,"Natureza da Dívida","Nature of Debt")</f>
        <v>Nature of Debt</v>
      </c>
      <c r="D8" s="1658"/>
      <c r="E8" s="837">
        <v>2020</v>
      </c>
      <c r="F8" s="836"/>
      <c r="G8" s="1653">
        <v>2021</v>
      </c>
      <c r="H8" s="1653"/>
      <c r="I8" s="1653"/>
      <c r="J8" s="1653"/>
      <c r="K8" s="1653"/>
      <c r="L8" s="1653"/>
      <c r="M8" s="1653"/>
      <c r="N8" s="1653"/>
      <c r="O8" s="1653"/>
      <c r="P8" s="1653"/>
      <c r="Q8" s="1654"/>
      <c r="R8" s="1655" t="str">
        <f>IF(Indice_index!$Z$1=1,"variação mensal","monthly variation")</f>
        <v>monthly variation</v>
      </c>
      <c r="S8" s="488"/>
      <c r="AB8" s="19"/>
      <c r="AC8" s="19"/>
      <c r="AD8" s="19"/>
    </row>
    <row r="9" spans="1:36" s="171" customFormat="1" ht="15.75" customHeight="1">
      <c r="C9" s="1659"/>
      <c r="D9" s="1660"/>
      <c r="E9" s="776" t="str">
        <f>IF(Indice_index!$Z$1=1,"dez*","Dec*")</f>
        <v>Dec*</v>
      </c>
      <c r="F9" s="777" t="str">
        <f>IF(Indice_index!$Z$1=1,"jan*","Jan*")</f>
        <v>Jan*</v>
      </c>
      <c r="G9" s="778" t="str">
        <f>IF(Indice_index!$Z$1=1,"fev*","Feb*")</f>
        <v>Feb*</v>
      </c>
      <c r="H9" s="778" t="str">
        <f>IF(Indice_index!$Z$1=1,"mar*","Mar*")</f>
        <v>Mar*</v>
      </c>
      <c r="I9" s="777" t="str">
        <f>IF(Indice_index!$Z$1=1,"abr*","Apr*")</f>
        <v>Apr*</v>
      </c>
      <c r="J9" s="778" t="str">
        <f>IF(Indice_index!$Z$1=1,"mai*","May*")</f>
        <v>May*</v>
      </c>
      <c r="K9" s="778" t="str">
        <f>IF(Indice_index!$Z$1=1,"jun*","June*")</f>
        <v>June*</v>
      </c>
      <c r="L9" s="779" t="str">
        <f>IF(Indice_index!$Z$1=1,"jul*","July*")</f>
        <v>July*</v>
      </c>
      <c r="M9" s="779" t="str">
        <f>IF(Indice_index!$Z$1=1,"ago*","Aug*")</f>
        <v>Aug*</v>
      </c>
      <c r="N9" s="779" t="str">
        <f>IF(Indice_index!$Z$1=1,"set*","Sep* ")</f>
        <v xml:space="preserve">Sep* </v>
      </c>
      <c r="O9" s="780" t="str">
        <f>IF(Indice_index!$Z$1=1,"out*","Oct*")</f>
        <v>Oct*</v>
      </c>
      <c r="P9" s="775" t="str">
        <f>IF(Indice_index!$Z$1=1,"nov*","Nov*")</f>
        <v>Nov*</v>
      </c>
      <c r="Q9" s="776" t="str">
        <f>IF(Indice_index!$Z$1=1,"dez*","Dec*")</f>
        <v>Dec*</v>
      </c>
      <c r="R9" s="1656"/>
      <c r="S9" s="114"/>
      <c r="AA9" s="19"/>
      <c r="AB9" s="19"/>
      <c r="AC9" s="19"/>
    </row>
    <row r="10" spans="1:36" s="171" customFormat="1" ht="15" customHeight="1">
      <c r="C10" s="1645" t="str">
        <f>IF(Indice_index!$Z$1=1,"AC","CG")</f>
        <v>CG</v>
      </c>
      <c r="D10" s="781" t="str">
        <f>IF(Indice_index!$Z$1=1,"Aquisição de Bens e Serviços","Goods and Services Acquisition")</f>
        <v>Goods and Services Acquisition</v>
      </c>
      <c r="E10" s="783">
        <v>286.76473539999995</v>
      </c>
      <c r="F10" s="784">
        <v>321.08414334000014</v>
      </c>
      <c r="G10" s="782">
        <v>338.7916832100002</v>
      </c>
      <c r="H10" s="782">
        <v>356.86652417999994</v>
      </c>
      <c r="I10" s="782">
        <v>348.39536527000047</v>
      </c>
      <c r="J10" s="782">
        <v>449.64246907</v>
      </c>
      <c r="K10" s="782">
        <v>393.36175537999958</v>
      </c>
      <c r="L10" s="782">
        <v>394.28554687999997</v>
      </c>
      <c r="M10" s="782">
        <v>401.19912697000035</v>
      </c>
      <c r="N10" s="782">
        <v>367.12549348999977</v>
      </c>
      <c r="O10" s="782">
        <v>355.03992407999976</v>
      </c>
      <c r="P10" s="782">
        <v>478.48410772999978</v>
      </c>
      <c r="Q10" s="783">
        <v>247.89052243999996</v>
      </c>
      <c r="R10" s="785">
        <f>Q10-P10</f>
        <v>-230.59358528999982</v>
      </c>
      <c r="S10" s="114"/>
      <c r="T10" s="348"/>
      <c r="W10" s="349"/>
      <c r="AA10" s="19"/>
      <c r="AB10" s="19"/>
      <c r="AC10" s="19"/>
    </row>
    <row r="11" spans="1:36" s="171" customFormat="1" ht="15" customHeight="1">
      <c r="C11" s="1646"/>
      <c r="D11" s="781" t="str">
        <f>IF(Indice_index!$Z$1=1,"Aquisição Bens de Capital","Capital Goods Acquisition")</f>
        <v>Capital Goods Acquisition</v>
      </c>
      <c r="E11" s="787">
        <v>5.1691068899999992</v>
      </c>
      <c r="F11" s="788">
        <v>11.672872259999998</v>
      </c>
      <c r="G11" s="786">
        <v>21.036111920000007</v>
      </c>
      <c r="H11" s="786">
        <v>26.124380240000001</v>
      </c>
      <c r="I11" s="786">
        <v>18.938435550000001</v>
      </c>
      <c r="J11" s="786">
        <v>21.354782810000003</v>
      </c>
      <c r="K11" s="786">
        <v>22.622366889999988</v>
      </c>
      <c r="L11" s="786">
        <v>21.246262290000004</v>
      </c>
      <c r="M11" s="786">
        <v>18.527855510000006</v>
      </c>
      <c r="N11" s="786">
        <v>20.5512972</v>
      </c>
      <c r="O11" s="786">
        <v>26.122987139999989</v>
      </c>
      <c r="P11" s="786">
        <v>35.153274320000016</v>
      </c>
      <c r="Q11" s="787">
        <v>10.720487140000001</v>
      </c>
      <c r="R11" s="789">
        <f>Q11-P11</f>
        <v>-24.432787180000012</v>
      </c>
      <c r="S11" s="489"/>
      <c r="T11" s="172"/>
      <c r="U11" s="172"/>
      <c r="W11" s="349"/>
      <c r="AA11" s="19"/>
      <c r="AB11" s="19"/>
      <c r="AC11" s="19"/>
    </row>
    <row r="12" spans="1:36" s="171" customFormat="1" ht="15" customHeight="1">
      <c r="C12" s="1646"/>
      <c r="D12" s="781" t="str">
        <f>IF(Indice_index!$Z$1=1,"Transferências para AP","Transfers inside GG")</f>
        <v>Transfers inside GG</v>
      </c>
      <c r="E12" s="787">
        <v>20.854918980000001</v>
      </c>
      <c r="F12" s="788">
        <v>22.635354660000001</v>
      </c>
      <c r="G12" s="786">
        <v>59.569171010000005</v>
      </c>
      <c r="H12" s="786">
        <v>33.938475370000006</v>
      </c>
      <c r="I12" s="786">
        <v>33.807184440000007</v>
      </c>
      <c r="J12" s="786">
        <v>31.578643719999999</v>
      </c>
      <c r="K12" s="786">
        <v>39.801330149999998</v>
      </c>
      <c r="L12" s="786">
        <v>39.433287329999999</v>
      </c>
      <c r="M12" s="786">
        <v>45.913247420000005</v>
      </c>
      <c r="N12" s="786">
        <v>29.927152589999999</v>
      </c>
      <c r="O12" s="786">
        <v>38.319305980000003</v>
      </c>
      <c r="P12" s="786">
        <v>33.640002469999999</v>
      </c>
      <c r="Q12" s="787">
        <v>80.805379459999997</v>
      </c>
      <c r="R12" s="789">
        <f>Q12-P12</f>
        <v>47.165376989999999</v>
      </c>
      <c r="S12" s="489"/>
      <c r="T12" s="172"/>
      <c r="U12" s="172"/>
      <c r="W12" s="349"/>
      <c r="AA12" s="19"/>
      <c r="AB12" s="19"/>
      <c r="AC12" s="19"/>
    </row>
    <row r="13" spans="1:36" s="171" customFormat="1" ht="15" customHeight="1">
      <c r="C13" s="1646"/>
      <c r="D13" s="781" t="str">
        <f>IF(Indice_index!$Z$1=1,"Transferências para fora das AP","Transfers outside GG")</f>
        <v>Transfers outside GG</v>
      </c>
      <c r="E13" s="787">
        <v>8.2010734200000002</v>
      </c>
      <c r="F13" s="788">
        <v>9.1133235299999988</v>
      </c>
      <c r="G13" s="786">
        <v>14.338649410000002</v>
      </c>
      <c r="H13" s="786">
        <v>12.621864480000001</v>
      </c>
      <c r="I13" s="786">
        <v>16.30849302</v>
      </c>
      <c r="J13" s="786">
        <v>28.270310420000001</v>
      </c>
      <c r="K13" s="786">
        <v>24.577322760000001</v>
      </c>
      <c r="L13" s="786">
        <v>17.234999890000001</v>
      </c>
      <c r="M13" s="786">
        <v>25.557118729999999</v>
      </c>
      <c r="N13" s="786">
        <v>21.533130079999999</v>
      </c>
      <c r="O13" s="786">
        <v>19.112499110000002</v>
      </c>
      <c r="P13" s="786">
        <v>112.85260206999996</v>
      </c>
      <c r="Q13" s="787">
        <v>13.387905169999996</v>
      </c>
      <c r="R13" s="789">
        <f>Q13-P13</f>
        <v>-99.464696899999964</v>
      </c>
      <c r="S13" s="489"/>
      <c r="T13" s="172"/>
      <c r="U13" s="172"/>
      <c r="V13" s="172"/>
      <c r="W13" s="172"/>
      <c r="X13" s="172"/>
      <c r="Y13" s="172"/>
      <c r="Z13" s="172"/>
      <c r="AA13" s="172"/>
      <c r="AB13" s="172"/>
      <c r="AC13" s="172"/>
      <c r="AD13" s="172"/>
      <c r="AE13" s="172"/>
      <c r="AF13" s="172"/>
      <c r="AG13" s="172"/>
      <c r="AH13" s="172"/>
      <c r="AI13" s="172"/>
      <c r="AJ13" s="172"/>
    </row>
    <row r="14" spans="1:36" s="171" customFormat="1" ht="15" customHeight="1">
      <c r="C14" s="1647"/>
      <c r="D14" s="781" t="str">
        <f>IF(Indice_index!$Z$1=1,"Outras","Others")</f>
        <v>Others</v>
      </c>
      <c r="E14" s="787">
        <v>85.452582059999969</v>
      </c>
      <c r="F14" s="788">
        <v>70.425469379999939</v>
      </c>
      <c r="G14" s="786">
        <v>93.721028929999989</v>
      </c>
      <c r="H14" s="786">
        <v>88.382530879999919</v>
      </c>
      <c r="I14" s="786">
        <v>92.987251580000091</v>
      </c>
      <c r="J14" s="786">
        <v>86.040204189999997</v>
      </c>
      <c r="K14" s="786">
        <v>138.64004650000004</v>
      </c>
      <c r="L14" s="786">
        <v>96.000534419999923</v>
      </c>
      <c r="M14" s="786">
        <v>93.203909699999997</v>
      </c>
      <c r="N14" s="786">
        <v>100.25355976999988</v>
      </c>
      <c r="O14" s="786">
        <v>88.585720850000016</v>
      </c>
      <c r="P14" s="786">
        <v>130.8403272499998</v>
      </c>
      <c r="Q14" s="787">
        <v>61.536231740000019</v>
      </c>
      <c r="R14" s="789">
        <f t="shared" ref="R14:R26" si="0">Q14-P14</f>
        <v>-69.304095509999783</v>
      </c>
      <c r="S14" s="489"/>
      <c r="T14" s="172"/>
      <c r="U14" s="172"/>
      <c r="V14" s="172"/>
      <c r="W14" s="172"/>
      <c r="X14" s="172"/>
      <c r="Y14" s="172"/>
      <c r="Z14" s="172"/>
      <c r="AA14" s="172"/>
      <c r="AB14" s="172"/>
      <c r="AC14" s="172"/>
      <c r="AD14" s="172"/>
      <c r="AE14" s="172"/>
      <c r="AF14" s="172"/>
      <c r="AG14" s="172"/>
      <c r="AH14" s="172"/>
      <c r="AI14" s="172"/>
      <c r="AJ14" s="172"/>
    </row>
    <row r="15" spans="1:36" s="324" customFormat="1" ht="15" customHeight="1">
      <c r="C15" s="1644" t="str">
        <f>IF(Indice_index!$Z$1=1,"Total da Administração Central","Central Government - Total")</f>
        <v>Central Government - Total</v>
      </c>
      <c r="D15" s="1644"/>
      <c r="E15" s="791">
        <v>406.44241674999989</v>
      </c>
      <c r="F15" s="792">
        <v>434.9311631700001</v>
      </c>
      <c r="G15" s="790">
        <v>527.45664448000025</v>
      </c>
      <c r="H15" s="790">
        <v>517.93377514999986</v>
      </c>
      <c r="I15" s="790">
        <v>510.43672986000058</v>
      </c>
      <c r="J15" s="790">
        <v>616.88641021000012</v>
      </c>
      <c r="K15" s="790">
        <v>619.00282167999967</v>
      </c>
      <c r="L15" s="790">
        <v>568.20063080999989</v>
      </c>
      <c r="M15" s="790">
        <v>584.40125833000036</v>
      </c>
      <c r="N15" s="790">
        <v>539.39063312999963</v>
      </c>
      <c r="O15" s="790">
        <v>527.18043715999977</v>
      </c>
      <c r="P15" s="790">
        <v>790.97031383999956</v>
      </c>
      <c r="Q15" s="790">
        <v>414.34052594999997</v>
      </c>
      <c r="R15" s="793">
        <f>Q15-P15</f>
        <v>-376.62978788999959</v>
      </c>
      <c r="S15" s="489"/>
      <c r="T15" s="325"/>
      <c r="U15" s="325"/>
      <c r="V15" s="325"/>
      <c r="W15" s="325"/>
      <c r="X15" s="325"/>
      <c r="Y15" s="325"/>
      <c r="Z15" s="325"/>
      <c r="AA15" s="325"/>
      <c r="AB15" s="325"/>
      <c r="AC15" s="325"/>
      <c r="AD15" s="325"/>
      <c r="AE15" s="325"/>
      <c r="AF15" s="325"/>
      <c r="AG15" s="325"/>
      <c r="AH15" s="325"/>
      <c r="AI15" s="325"/>
      <c r="AJ15" s="325"/>
    </row>
    <row r="16" spans="1:36" s="171" customFormat="1" ht="15" customHeight="1">
      <c r="C16" s="1645" t="str">
        <f>IF(Indice_index!$Z$1=1,"AR","RG")</f>
        <v>RG</v>
      </c>
      <c r="D16" s="781" t="str">
        <f>IF(Indice_index!$Z$1=1,"Aquisição de Bens e Serviços","Goods and Services Acquisition")</f>
        <v>Goods and Services Acquisition</v>
      </c>
      <c r="E16" s="787">
        <v>15.895944869999999</v>
      </c>
      <c r="F16" s="788">
        <v>58.980441490000004</v>
      </c>
      <c r="G16" s="786">
        <v>47.521684790000009</v>
      </c>
      <c r="H16" s="786">
        <v>52.979481209999996</v>
      </c>
      <c r="I16" s="786">
        <v>46.187987200000002</v>
      </c>
      <c r="J16" s="786">
        <v>43.177687969999994</v>
      </c>
      <c r="K16" s="786">
        <v>41.044339559999997</v>
      </c>
      <c r="L16" s="786">
        <v>59.698742129999999</v>
      </c>
      <c r="M16" s="786">
        <v>43.01077793999999</v>
      </c>
      <c r="N16" s="786">
        <v>58.05360555</v>
      </c>
      <c r="O16" s="786">
        <v>43.204978699999998</v>
      </c>
      <c r="P16" s="786">
        <v>54.366488629999999</v>
      </c>
      <c r="Q16" s="787">
        <v>35.102102729999991</v>
      </c>
      <c r="R16" s="789">
        <f t="shared" si="0"/>
        <v>-19.264385900000008</v>
      </c>
      <c r="S16" s="489"/>
      <c r="T16" s="172"/>
      <c r="U16" s="172"/>
      <c r="V16" s="172"/>
      <c r="W16" s="172"/>
      <c r="X16" s="172"/>
      <c r="Y16" s="172"/>
      <c r="Z16" s="172"/>
      <c r="AA16" s="172"/>
      <c r="AB16" s="172"/>
      <c r="AC16" s="172"/>
      <c r="AD16" s="172"/>
      <c r="AE16" s="172"/>
      <c r="AF16" s="172"/>
      <c r="AG16" s="172"/>
      <c r="AH16" s="172"/>
      <c r="AI16" s="172"/>
      <c r="AJ16" s="172"/>
    </row>
    <row r="17" spans="2:36" s="171" customFormat="1" ht="15" customHeight="1">
      <c r="C17" s="1646"/>
      <c r="D17" s="781" t="str">
        <f>IF(Indice_index!$Z$1=1,"Aquisição Bens de Capital","Capital Goods Acquisition")</f>
        <v>Capital Goods Acquisition</v>
      </c>
      <c r="E17" s="787">
        <v>14.997333749999999</v>
      </c>
      <c r="F17" s="788">
        <v>17.46881655</v>
      </c>
      <c r="G17" s="786">
        <v>22.453796189999998</v>
      </c>
      <c r="H17" s="786">
        <v>24.347713519999999</v>
      </c>
      <c r="I17" s="786">
        <v>23.980434349999999</v>
      </c>
      <c r="J17" s="786">
        <v>19.730921630000001</v>
      </c>
      <c r="K17" s="786">
        <v>20.42946877</v>
      </c>
      <c r="L17" s="786">
        <v>18.412506929999999</v>
      </c>
      <c r="M17" s="786">
        <v>21.74738331</v>
      </c>
      <c r="N17" s="786">
        <v>21.670248690000001</v>
      </c>
      <c r="O17" s="786">
        <v>25.738717699999999</v>
      </c>
      <c r="P17" s="786">
        <v>26.929857900000002</v>
      </c>
      <c r="Q17" s="787">
        <v>17.14231917</v>
      </c>
      <c r="R17" s="789">
        <f t="shared" si="0"/>
        <v>-9.7875387300000014</v>
      </c>
      <c r="S17" s="489"/>
      <c r="T17" s="172"/>
      <c r="U17" s="172"/>
      <c r="V17" s="172"/>
      <c r="W17" s="172"/>
      <c r="X17" s="172"/>
      <c r="Y17" s="172"/>
      <c r="Z17" s="172"/>
      <c r="AA17" s="172"/>
      <c r="AB17" s="172"/>
      <c r="AC17" s="172"/>
      <c r="AD17" s="172"/>
      <c r="AE17" s="172"/>
      <c r="AF17" s="172"/>
      <c r="AG17" s="172"/>
      <c r="AH17" s="172"/>
      <c r="AI17" s="172"/>
      <c r="AJ17" s="172"/>
    </row>
    <row r="18" spans="2:36" s="171" customFormat="1" ht="15" customHeight="1">
      <c r="C18" s="1646"/>
      <c r="D18" s="781" t="str">
        <f>IF(Indice_index!$Z$1=1,"Transferências para AP","Transfers inside GG")</f>
        <v>Transfers inside GG</v>
      </c>
      <c r="E18" s="787">
        <v>0.19265362</v>
      </c>
      <c r="F18" s="788">
        <v>12.725382509999999</v>
      </c>
      <c r="G18" s="786">
        <v>0.54896027000000003</v>
      </c>
      <c r="H18" s="786">
        <v>0.38041397000000005</v>
      </c>
      <c r="I18" s="786">
        <v>0.73151641000000001</v>
      </c>
      <c r="J18" s="786">
        <v>2.4334759500000001</v>
      </c>
      <c r="K18" s="786">
        <v>0.91464518000000006</v>
      </c>
      <c r="L18" s="786">
        <v>2.8555813699999999</v>
      </c>
      <c r="M18" s="786">
        <v>2.43838402</v>
      </c>
      <c r="N18" s="786">
        <v>6.5292182299999997</v>
      </c>
      <c r="O18" s="786">
        <v>9.5723088200000017</v>
      </c>
      <c r="P18" s="786">
        <v>14.765662469999999</v>
      </c>
      <c r="Q18" s="787">
        <v>1.20263667</v>
      </c>
      <c r="R18" s="789">
        <f t="shared" si="0"/>
        <v>-13.563025799999998</v>
      </c>
      <c r="S18" s="489"/>
      <c r="T18" s="172"/>
      <c r="U18" s="172"/>
      <c r="V18" s="172"/>
      <c r="W18" s="172"/>
      <c r="X18" s="172"/>
      <c r="Y18" s="172"/>
      <c r="Z18" s="172"/>
      <c r="AA18" s="172"/>
      <c r="AB18" s="172"/>
      <c r="AC18" s="172"/>
      <c r="AD18" s="172"/>
      <c r="AE18" s="172"/>
      <c r="AF18" s="172"/>
      <c r="AG18" s="172"/>
      <c r="AH18" s="172"/>
      <c r="AI18" s="172"/>
      <c r="AJ18" s="172"/>
    </row>
    <row r="19" spans="2:36" s="171" customFormat="1" ht="15" customHeight="1">
      <c r="C19" s="1646"/>
      <c r="D19" s="781" t="str">
        <f>IF(Indice_index!$Z$1=1,"Transferências para fora das AP","Transfers outside GG")</f>
        <v>Transfers outside GG</v>
      </c>
      <c r="E19" s="787">
        <v>40.597675359999997</v>
      </c>
      <c r="F19" s="788">
        <v>41.367311830000006</v>
      </c>
      <c r="G19" s="786">
        <v>42.785484489999995</v>
      </c>
      <c r="H19" s="786">
        <v>44.116955160000003</v>
      </c>
      <c r="I19" s="786">
        <v>52.130193589999998</v>
      </c>
      <c r="J19" s="786">
        <v>41.357163900000003</v>
      </c>
      <c r="K19" s="786">
        <v>35.596011940000004</v>
      </c>
      <c r="L19" s="786">
        <v>37.10647196</v>
      </c>
      <c r="M19" s="786">
        <v>35.77361569</v>
      </c>
      <c r="N19" s="786">
        <v>36.466639360000002</v>
      </c>
      <c r="O19" s="786">
        <v>29.291344619999997</v>
      </c>
      <c r="P19" s="786">
        <v>36.069231049999999</v>
      </c>
      <c r="Q19" s="787">
        <v>28.30848572</v>
      </c>
      <c r="R19" s="789">
        <f t="shared" si="0"/>
        <v>-7.7607453299999989</v>
      </c>
      <c r="S19" s="489"/>
      <c r="T19" s="172"/>
      <c r="U19" s="172"/>
      <c r="V19" s="172"/>
      <c r="W19" s="172"/>
      <c r="X19" s="172"/>
      <c r="Y19" s="172"/>
      <c r="Z19" s="172"/>
      <c r="AA19" s="172"/>
      <c r="AB19" s="172"/>
      <c r="AC19" s="172"/>
      <c r="AD19" s="172"/>
      <c r="AE19" s="172"/>
      <c r="AF19" s="172"/>
      <c r="AG19" s="172"/>
      <c r="AH19" s="172"/>
      <c r="AI19" s="172"/>
      <c r="AJ19" s="172"/>
    </row>
    <row r="20" spans="2:36" s="171" customFormat="1" ht="15" customHeight="1">
      <c r="C20" s="1647"/>
      <c r="D20" s="781" t="str">
        <f>IF(Indice_index!$Z$1=1,"Outras","Others")</f>
        <v>Others</v>
      </c>
      <c r="E20" s="787">
        <v>9.9192860700000089</v>
      </c>
      <c r="F20" s="788">
        <v>10.066483380000005</v>
      </c>
      <c r="G20" s="786">
        <v>20.931940899999979</v>
      </c>
      <c r="H20" s="786">
        <v>15.967055460000001</v>
      </c>
      <c r="I20" s="786">
        <v>31.779175569999992</v>
      </c>
      <c r="J20" s="786">
        <v>26.453002769999983</v>
      </c>
      <c r="K20" s="786">
        <v>32.951106039999978</v>
      </c>
      <c r="L20" s="786">
        <v>15.587271210000022</v>
      </c>
      <c r="M20" s="786">
        <v>15.869660410000026</v>
      </c>
      <c r="N20" s="786">
        <v>14.928801230000024</v>
      </c>
      <c r="O20" s="786">
        <v>29.066870539999989</v>
      </c>
      <c r="P20" s="786">
        <v>40.984817109999994</v>
      </c>
      <c r="Q20" s="787">
        <v>5.3690332799999911</v>
      </c>
      <c r="R20" s="789">
        <f t="shared" si="0"/>
        <v>-35.615783830000005</v>
      </c>
      <c r="S20" s="489"/>
      <c r="T20" s="172"/>
      <c r="U20" s="172"/>
      <c r="V20" s="172"/>
      <c r="W20" s="172"/>
      <c r="X20" s="172"/>
      <c r="Y20" s="172"/>
      <c r="Z20" s="172"/>
      <c r="AA20" s="172"/>
      <c r="AB20" s="172"/>
      <c r="AC20" s="172"/>
      <c r="AD20" s="172"/>
      <c r="AE20" s="172"/>
      <c r="AF20" s="172"/>
      <c r="AG20" s="172"/>
      <c r="AH20" s="172"/>
      <c r="AI20" s="172"/>
      <c r="AJ20" s="172"/>
    </row>
    <row r="21" spans="2:36" s="324" customFormat="1" ht="15" customHeight="1">
      <c r="C21" s="1644" t="str">
        <f>IF(Indice_index!$Z$1=1,"Total da Administração Regional","Regional Government - Total")</f>
        <v>Regional Government - Total</v>
      </c>
      <c r="D21" s="1644"/>
      <c r="E21" s="791">
        <v>81.60289367</v>
      </c>
      <c r="F21" s="792">
        <v>140.60843575999999</v>
      </c>
      <c r="G21" s="790">
        <v>134.24186663999998</v>
      </c>
      <c r="H21" s="790">
        <v>137.79161932000002</v>
      </c>
      <c r="I21" s="790">
        <v>154.80930711999997</v>
      </c>
      <c r="J21" s="790">
        <v>133.15225221999998</v>
      </c>
      <c r="K21" s="790">
        <v>130.93557148999997</v>
      </c>
      <c r="L21" s="790">
        <v>133.66057360000002</v>
      </c>
      <c r="M21" s="790">
        <v>118.83982137000001</v>
      </c>
      <c r="N21" s="790">
        <v>137.64851306000003</v>
      </c>
      <c r="O21" s="790">
        <v>136.87422038</v>
      </c>
      <c r="P21" s="790">
        <v>173.11605715999997</v>
      </c>
      <c r="Q21" s="790">
        <v>87.124577569999985</v>
      </c>
      <c r="R21" s="793">
        <f>Q21-P21</f>
        <v>-85.991479589999983</v>
      </c>
      <c r="S21" s="489"/>
      <c r="T21" s="325"/>
      <c r="U21" s="325"/>
      <c r="V21" s="325"/>
      <c r="W21" s="325"/>
      <c r="X21" s="325"/>
      <c r="Y21" s="325"/>
      <c r="Z21" s="325"/>
      <c r="AA21" s="325"/>
      <c r="AB21" s="325"/>
      <c r="AC21" s="325"/>
      <c r="AD21" s="325"/>
      <c r="AE21" s="325"/>
      <c r="AF21" s="325"/>
      <c r="AG21" s="325"/>
      <c r="AH21" s="325"/>
      <c r="AI21" s="325"/>
      <c r="AJ21" s="325"/>
    </row>
    <row r="22" spans="2:36" s="171" customFormat="1" ht="15" customHeight="1">
      <c r="C22" s="1645" t="str">
        <f>IF(Indice_index!$Z$1=1,"AL","LG")</f>
        <v>LG</v>
      </c>
      <c r="D22" s="781" t="str">
        <f>IF(Indice_index!$Z$1=1,"Aquisição de Bens e Serviços","Goods and Services Acquisition")</f>
        <v>Goods and Services Acquisition</v>
      </c>
      <c r="E22" s="794">
        <v>388.10950063000001</v>
      </c>
      <c r="F22" s="795">
        <v>388.10950063000001</v>
      </c>
      <c r="G22" s="796">
        <v>388.10950063000001</v>
      </c>
      <c r="H22" s="796">
        <v>388.10950063000001</v>
      </c>
      <c r="I22" s="796">
        <v>388.10950063000001</v>
      </c>
      <c r="J22" s="796">
        <v>388.10950063000001</v>
      </c>
      <c r="K22" s="796">
        <v>388.10950063000001</v>
      </c>
      <c r="L22" s="796">
        <v>388.10950063000001</v>
      </c>
      <c r="M22" s="796">
        <v>388.10950063000001</v>
      </c>
      <c r="N22" s="796">
        <v>388.10950063000001</v>
      </c>
      <c r="O22" s="796">
        <v>388.10950063000001</v>
      </c>
      <c r="P22" s="796">
        <v>388.10950063000001</v>
      </c>
      <c r="Q22" s="797">
        <v>388.10950063000001</v>
      </c>
      <c r="R22" s="789">
        <f t="shared" si="0"/>
        <v>0</v>
      </c>
      <c r="S22" s="489"/>
      <c r="T22" s="172"/>
      <c r="U22" s="172"/>
      <c r="V22" s="172"/>
      <c r="W22" s="172"/>
      <c r="X22" s="172"/>
      <c r="Y22" s="172"/>
      <c r="Z22" s="172"/>
      <c r="AA22" s="172"/>
      <c r="AB22" s="172"/>
      <c r="AC22" s="172"/>
      <c r="AD22" s="172"/>
      <c r="AE22" s="172"/>
      <c r="AF22" s="172"/>
      <c r="AG22" s="172"/>
      <c r="AH22" s="172"/>
      <c r="AI22" s="172"/>
      <c r="AJ22" s="172"/>
    </row>
    <row r="23" spans="2:36" s="171" customFormat="1" ht="15" customHeight="1">
      <c r="C23" s="1646"/>
      <c r="D23" s="781" t="str">
        <f>IF(Indice_index!$Z$1=1,"Aquisição Bens de Capital","Capital Goods Acquisition")</f>
        <v>Capital Goods Acquisition</v>
      </c>
      <c r="E23" s="794">
        <v>168.30329104000006</v>
      </c>
      <c r="F23" s="795">
        <v>168.30329104000006</v>
      </c>
      <c r="G23" s="796">
        <v>168.30329104000006</v>
      </c>
      <c r="H23" s="796">
        <v>168.30329104000006</v>
      </c>
      <c r="I23" s="796">
        <v>168.30329104000006</v>
      </c>
      <c r="J23" s="796">
        <v>168.30329104000006</v>
      </c>
      <c r="K23" s="796">
        <v>168.30329104000006</v>
      </c>
      <c r="L23" s="796">
        <v>168.30329104000006</v>
      </c>
      <c r="M23" s="796">
        <v>168.30329104</v>
      </c>
      <c r="N23" s="796">
        <v>168.30329104</v>
      </c>
      <c r="O23" s="796">
        <v>168.30329104</v>
      </c>
      <c r="P23" s="796">
        <v>168.30329104</v>
      </c>
      <c r="Q23" s="797">
        <v>168.30329104</v>
      </c>
      <c r="R23" s="789">
        <f t="shared" si="0"/>
        <v>0</v>
      </c>
      <c r="S23" s="489"/>
      <c r="T23" s="172"/>
      <c r="AA23" s="19"/>
      <c r="AB23" s="19"/>
      <c r="AC23" s="19"/>
    </row>
    <row r="24" spans="2:36" s="171" customFormat="1" ht="15" customHeight="1">
      <c r="C24" s="1646"/>
      <c r="D24" s="781" t="str">
        <f>IF(Indice_index!$Z$1=1,"Transferências para AP","Transfers inside GG")</f>
        <v>Transfers inside GG</v>
      </c>
      <c r="E24" s="794">
        <v>16.80015461</v>
      </c>
      <c r="F24" s="795">
        <v>16.80015461</v>
      </c>
      <c r="G24" s="796">
        <v>16.80015461</v>
      </c>
      <c r="H24" s="796">
        <v>16.80015461</v>
      </c>
      <c r="I24" s="796">
        <v>16.80015461</v>
      </c>
      <c r="J24" s="796">
        <v>16.80015461</v>
      </c>
      <c r="K24" s="796">
        <v>16.80015461</v>
      </c>
      <c r="L24" s="796">
        <v>16.80015461</v>
      </c>
      <c r="M24" s="796">
        <v>16.80015461</v>
      </c>
      <c r="N24" s="796">
        <v>16.80015461</v>
      </c>
      <c r="O24" s="796">
        <v>16.80015461</v>
      </c>
      <c r="P24" s="796">
        <v>16.80015461</v>
      </c>
      <c r="Q24" s="797">
        <v>16.80015461</v>
      </c>
      <c r="R24" s="789">
        <f>Q24-P24</f>
        <v>0</v>
      </c>
      <c r="S24" s="489"/>
      <c r="T24" s="172"/>
      <c r="AA24" s="19"/>
      <c r="AB24" s="19"/>
      <c r="AC24" s="19"/>
    </row>
    <row r="25" spans="2:36" s="171" customFormat="1" ht="15" customHeight="1">
      <c r="C25" s="1646"/>
      <c r="D25" s="781" t="str">
        <f>IF(Indice_index!$Z$1=1,"Transferências para fora das AP","Transfers outside GG")</f>
        <v>Transfers outside GG</v>
      </c>
      <c r="E25" s="794">
        <v>20.146202589999994</v>
      </c>
      <c r="F25" s="795">
        <v>20.146202589999994</v>
      </c>
      <c r="G25" s="796">
        <v>20.146202589999994</v>
      </c>
      <c r="H25" s="796">
        <v>20.146202589999994</v>
      </c>
      <c r="I25" s="796">
        <v>20.146202589999994</v>
      </c>
      <c r="J25" s="796">
        <v>20.146202589999994</v>
      </c>
      <c r="K25" s="796">
        <v>20.146202589999994</v>
      </c>
      <c r="L25" s="796">
        <v>20.146202589999994</v>
      </c>
      <c r="M25" s="796">
        <v>20.146202590000001</v>
      </c>
      <c r="N25" s="796">
        <v>20.146202590000001</v>
      </c>
      <c r="O25" s="796">
        <v>20.146202590000001</v>
      </c>
      <c r="P25" s="796">
        <v>20.146202590000001</v>
      </c>
      <c r="Q25" s="797">
        <v>20.146202590000001</v>
      </c>
      <c r="R25" s="789">
        <f t="shared" si="0"/>
        <v>0</v>
      </c>
      <c r="S25" s="489"/>
      <c r="T25" s="172"/>
      <c r="U25" s="172"/>
      <c r="AA25" s="19"/>
      <c r="AB25" s="19"/>
      <c r="AC25" s="19"/>
    </row>
    <row r="26" spans="2:36" s="171" customFormat="1" ht="15" customHeight="1">
      <c r="C26" s="1647"/>
      <c r="D26" s="781" t="str">
        <f>IF(Indice_index!$Z$1=1,"Outras","Others")</f>
        <v>Others</v>
      </c>
      <c r="E26" s="794">
        <v>309.55365149000011</v>
      </c>
      <c r="F26" s="795">
        <v>309.55365149000011</v>
      </c>
      <c r="G26" s="798">
        <v>309.55365149000011</v>
      </c>
      <c r="H26" s="798">
        <v>309.55365149000011</v>
      </c>
      <c r="I26" s="796">
        <v>309.55365149000011</v>
      </c>
      <c r="J26" s="796">
        <v>309.55365149000011</v>
      </c>
      <c r="K26" s="798">
        <v>309.55365149000011</v>
      </c>
      <c r="L26" s="798">
        <v>309.55365149000011</v>
      </c>
      <c r="M26" s="798">
        <v>309.55365148999999</v>
      </c>
      <c r="N26" s="798">
        <v>309.55365148999999</v>
      </c>
      <c r="O26" s="796">
        <v>309.55365148999999</v>
      </c>
      <c r="P26" s="798">
        <v>309.55365148999999</v>
      </c>
      <c r="Q26" s="797">
        <v>309.55365148999999</v>
      </c>
      <c r="R26" s="789">
        <f t="shared" si="0"/>
        <v>0</v>
      </c>
      <c r="S26" s="489"/>
      <c r="T26" s="172"/>
      <c r="U26" s="172"/>
      <c r="AA26" s="19"/>
      <c r="AB26" s="19"/>
      <c r="AC26" s="19"/>
    </row>
    <row r="27" spans="2:36" s="324" customFormat="1" ht="15" customHeight="1">
      <c r="C27" s="1644" t="str">
        <f>IF(Indice_index!$Z$1=1,"Total da Administração Local","Local Government - Total")</f>
        <v>Local Government - Total</v>
      </c>
      <c r="D27" s="1644"/>
      <c r="E27" s="791">
        <v>902.91280036000023</v>
      </c>
      <c r="F27" s="792">
        <v>902.91280036000023</v>
      </c>
      <c r="G27" s="790">
        <v>902.91280036000023</v>
      </c>
      <c r="H27" s="790">
        <v>902.91280036000023</v>
      </c>
      <c r="I27" s="790">
        <v>902.91280036000023</v>
      </c>
      <c r="J27" s="790">
        <v>902.91280036000023</v>
      </c>
      <c r="K27" s="790">
        <v>902.91280036000023</v>
      </c>
      <c r="L27" s="790">
        <v>902.91280036000023</v>
      </c>
      <c r="M27" s="790">
        <v>902.91280036000012</v>
      </c>
      <c r="N27" s="790">
        <v>902.91280036000012</v>
      </c>
      <c r="O27" s="790">
        <v>902.91280036000012</v>
      </c>
      <c r="P27" s="790">
        <v>902.91280036000012</v>
      </c>
      <c r="Q27" s="790">
        <v>902.91280036000012</v>
      </c>
      <c r="R27" s="793">
        <f>Q27-P27</f>
        <v>0</v>
      </c>
      <c r="S27" s="489"/>
      <c r="T27" s="325"/>
      <c r="U27" s="325"/>
      <c r="AA27" s="257"/>
      <c r="AB27" s="257"/>
      <c r="AC27" s="257"/>
    </row>
    <row r="28" spans="2:36" s="324" customFormat="1" ht="15" customHeight="1">
      <c r="C28" s="1644" t="str">
        <f>IF(Indice_index!$Z$1=1,"Total das Administrações Públicas","General Government - Total")</f>
        <v>General Government - Total</v>
      </c>
      <c r="D28" s="1644"/>
      <c r="E28" s="799">
        <f t="shared" ref="E28:O28" si="1">E27+E21+E15</f>
        <v>1390.95811078</v>
      </c>
      <c r="F28" s="800">
        <f t="shared" si="1"/>
        <v>1478.4523992900004</v>
      </c>
      <c r="G28" s="790">
        <f t="shared" si="1"/>
        <v>1564.6113114800005</v>
      </c>
      <c r="H28" s="790">
        <f t="shared" si="1"/>
        <v>1558.63819483</v>
      </c>
      <c r="I28" s="790">
        <f t="shared" si="1"/>
        <v>1568.1588373400009</v>
      </c>
      <c r="J28" s="790">
        <f t="shared" si="1"/>
        <v>1652.9514627900003</v>
      </c>
      <c r="K28" s="790">
        <f t="shared" si="1"/>
        <v>1652.8511935299998</v>
      </c>
      <c r="L28" s="790">
        <f t="shared" si="1"/>
        <v>1604.7740047700001</v>
      </c>
      <c r="M28" s="790">
        <f t="shared" si="1"/>
        <v>1606.1538800600006</v>
      </c>
      <c r="N28" s="790">
        <f t="shared" si="1"/>
        <v>1579.9519465499998</v>
      </c>
      <c r="O28" s="790">
        <f t="shared" si="1"/>
        <v>1566.9674578999998</v>
      </c>
      <c r="P28" s="790">
        <f t="shared" ref="P28:Q28" si="2">P27+P21+P15</f>
        <v>1866.9991713599998</v>
      </c>
      <c r="Q28" s="790">
        <f t="shared" si="2"/>
        <v>1404.3779038800001</v>
      </c>
      <c r="R28" s="793">
        <f>Q28-P28</f>
        <v>-462.62126747999969</v>
      </c>
      <c r="S28" s="489"/>
      <c r="T28" s="325"/>
      <c r="U28" s="325"/>
      <c r="AA28" s="257"/>
      <c r="AB28" s="257"/>
      <c r="AC28" s="257"/>
    </row>
    <row r="29" spans="2:36" s="324" customFormat="1" ht="4.5" customHeight="1">
      <c r="C29" s="801"/>
      <c r="D29" s="801"/>
      <c r="E29" s="802"/>
      <c r="F29" s="802"/>
      <c r="G29" s="802"/>
      <c r="H29" s="802"/>
      <c r="I29" s="802"/>
      <c r="J29" s="802"/>
      <c r="K29" s="802"/>
      <c r="L29" s="802"/>
      <c r="M29" s="802"/>
      <c r="N29" s="802"/>
      <c r="O29" s="802"/>
      <c r="P29" s="802"/>
      <c r="Q29" s="802"/>
      <c r="R29" s="802"/>
      <c r="S29" s="489"/>
      <c r="T29" s="325"/>
      <c r="U29" s="325"/>
      <c r="AA29" s="257"/>
      <c r="AB29" s="257"/>
      <c r="AC29" s="257"/>
    </row>
    <row r="30" spans="2:36" s="171" customFormat="1" ht="15" customHeight="1">
      <c r="B30" s="350"/>
      <c r="C30" s="803"/>
      <c r="D30" s="804" t="str">
        <f>IF(Indice_index!$Z$1=1,"Notas:","Notes:")</f>
        <v>Notes:</v>
      </c>
      <c r="E30" s="805"/>
      <c r="F30" s="805"/>
      <c r="G30" s="805"/>
      <c r="H30" s="805"/>
      <c r="I30" s="805"/>
      <c r="J30" s="805"/>
      <c r="K30" s="805"/>
      <c r="L30" s="805"/>
      <c r="M30" s="805"/>
      <c r="N30" s="805"/>
      <c r="O30" s="805"/>
      <c r="P30" s="805"/>
      <c r="Q30" s="805"/>
      <c r="R30" s="114"/>
      <c r="S30" s="488"/>
      <c r="T30" s="172"/>
      <c r="U30" s="172"/>
      <c r="V30" s="172"/>
      <c r="AB30" s="19"/>
      <c r="AC30" s="19"/>
      <c r="AD30" s="19"/>
    </row>
    <row r="31" spans="2:36" s="171" customFormat="1" ht="15" customHeight="1">
      <c r="B31" s="350"/>
      <c r="C31" s="803"/>
      <c r="D31" s="806"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E31" s="114"/>
      <c r="F31" s="114"/>
      <c r="G31" s="114"/>
      <c r="H31" s="114"/>
      <c r="I31" s="114"/>
      <c r="J31" s="114"/>
      <c r="K31" s="114"/>
      <c r="L31" s="114"/>
      <c r="M31" s="114"/>
      <c r="N31" s="114"/>
      <c r="O31" s="114"/>
      <c r="P31" s="114"/>
      <c r="Q31" s="114"/>
      <c r="R31" s="114"/>
      <c r="S31" s="488"/>
      <c r="T31" s="172"/>
      <c r="U31" s="172"/>
      <c r="V31" s="172"/>
      <c r="AB31" s="19"/>
      <c r="AC31" s="19"/>
      <c r="AD31" s="19"/>
    </row>
    <row r="32" spans="2:36" s="171" customFormat="1" ht="15" customHeight="1">
      <c r="B32" s="350"/>
      <c r="C32" s="803"/>
      <c r="D32" s="807"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32" s="114"/>
      <c r="F32" s="114"/>
      <c r="G32" s="114"/>
      <c r="H32" s="114"/>
      <c r="I32" s="114"/>
      <c r="J32" s="114"/>
      <c r="K32" s="114"/>
      <c r="L32" s="114"/>
      <c r="M32" s="114"/>
      <c r="N32" s="114"/>
      <c r="O32" s="114"/>
      <c r="P32" s="114"/>
      <c r="Q32" s="114"/>
      <c r="R32" s="114"/>
      <c r="S32" s="488"/>
      <c r="T32" s="172"/>
      <c r="U32" s="172"/>
      <c r="V32" s="172"/>
      <c r="AB32" s="19"/>
      <c r="AC32" s="19"/>
      <c r="AD32" s="19"/>
    </row>
    <row r="33" spans="2:30" s="171" customFormat="1" ht="15" customHeight="1">
      <c r="B33" s="350"/>
      <c r="C33" s="803"/>
      <c r="D33" s="1320" t="str">
        <f>IF(Indice_index!$Z$1=1,"AC: Os dados do passivo não financeiro de 2020 correspondem aos valores publicados na Conta Geral do Estado”.","CG:The 2020 non-financial liability data correspond to the amounts published in the General Account .")</f>
        <v>CG:The 2020 non-financial liability data correspond to the amounts published in the General Account .</v>
      </c>
      <c r="E33" s="114"/>
      <c r="F33" s="114"/>
      <c r="G33" s="114"/>
      <c r="H33" s="114"/>
      <c r="I33" s="114"/>
      <c r="J33" s="114"/>
      <c r="K33" s="114"/>
      <c r="L33" s="114"/>
      <c r="M33" s="114"/>
      <c r="N33" s="114"/>
      <c r="O33" s="114"/>
      <c r="P33" s="114"/>
      <c r="Q33" s="114"/>
      <c r="R33" s="114"/>
      <c r="S33" s="488"/>
      <c r="T33" s="172"/>
      <c r="U33" s="172"/>
      <c r="V33" s="172"/>
      <c r="AB33" s="19"/>
      <c r="AC33" s="19"/>
      <c r="AD33" s="19"/>
    </row>
    <row r="34" spans="2:30" s="171" customFormat="1" ht="15" customHeight="1">
      <c r="B34" s="350"/>
      <c r="C34" s="803"/>
      <c r="D34" s="806"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E34" s="114"/>
      <c r="F34" s="114"/>
      <c r="G34" s="114"/>
      <c r="H34" s="114"/>
      <c r="I34" s="114"/>
      <c r="J34" s="114"/>
      <c r="K34" s="114"/>
      <c r="L34" s="114"/>
      <c r="M34" s="114"/>
      <c r="N34" s="114"/>
      <c r="O34" s="114"/>
      <c r="P34" s="114"/>
      <c r="Q34" s="114"/>
      <c r="R34" s="114"/>
      <c r="S34" s="488"/>
      <c r="T34" s="172"/>
      <c r="U34" s="172"/>
      <c r="V34" s="172"/>
      <c r="AB34" s="19"/>
      <c r="AC34" s="19"/>
      <c r="AD34" s="19"/>
    </row>
    <row r="35" spans="2:30" ht="15" customHeight="1">
      <c r="C35" s="99"/>
      <c r="D35" s="138"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E35" s="99"/>
      <c r="F35" s="99"/>
      <c r="G35" s="99"/>
      <c r="H35" s="99"/>
      <c r="I35" s="99"/>
      <c r="J35" s="99"/>
      <c r="K35" s="99"/>
      <c r="L35" s="99"/>
      <c r="M35" s="99"/>
      <c r="N35" s="99"/>
      <c r="O35" s="99"/>
      <c r="P35" s="99"/>
      <c r="Q35" s="99"/>
      <c r="R35" s="99"/>
      <c r="S35" s="114"/>
      <c r="T35" s="172"/>
      <c r="U35" s="172"/>
      <c r="V35" s="172"/>
      <c r="W35" s="171"/>
      <c r="X35" s="171"/>
      <c r="Y35" s="171"/>
      <c r="Z35" s="171"/>
      <c r="AA35" s="171"/>
      <c r="AB35" s="19"/>
      <c r="AC35" s="19"/>
    </row>
    <row r="36" spans="2:30">
      <c r="C36" s="99"/>
      <c r="D36" s="806"/>
      <c r="E36" s="99"/>
      <c r="F36" s="99"/>
      <c r="G36" s="99"/>
      <c r="H36" s="99"/>
      <c r="I36" s="99"/>
      <c r="J36" s="99"/>
      <c r="K36" s="99"/>
      <c r="L36" s="99"/>
      <c r="M36" s="99"/>
      <c r="N36" s="99"/>
      <c r="O36" s="99"/>
      <c r="P36" s="99"/>
      <c r="Q36" s="99"/>
      <c r="R36" s="99"/>
      <c r="S36" s="114"/>
      <c r="T36" s="172"/>
      <c r="U36" s="172"/>
      <c r="V36" s="172"/>
      <c r="W36" s="171"/>
      <c r="X36" s="171"/>
      <c r="Y36" s="171"/>
      <c r="Z36" s="171"/>
      <c r="AA36" s="171"/>
      <c r="AB36" s="19"/>
      <c r="AC36" s="19"/>
    </row>
    <row r="37" spans="2:30" ht="15" customHeight="1">
      <c r="C37" s="99"/>
      <c r="D37" s="99"/>
      <c r="E37" s="99"/>
      <c r="F37" s="99"/>
      <c r="G37" s="99"/>
      <c r="H37" s="99"/>
      <c r="I37" s="99"/>
      <c r="J37" s="99"/>
      <c r="K37" s="99"/>
      <c r="L37" s="99"/>
      <c r="M37" s="99"/>
      <c r="N37" s="99"/>
      <c r="O37" s="99"/>
      <c r="P37" s="99"/>
      <c r="Q37" s="99"/>
      <c r="R37" s="99"/>
      <c r="S37" s="114"/>
      <c r="T37" s="1643"/>
      <c r="U37" s="1643"/>
      <c r="V37" s="1643"/>
      <c r="W37" s="1643"/>
      <c r="X37" s="1643"/>
      <c r="Y37" s="1643"/>
      <c r="Z37" s="1643"/>
      <c r="AA37" s="1643"/>
      <c r="AB37" s="1643"/>
      <c r="AC37" s="1643"/>
    </row>
    <row r="38" spans="2:30" ht="15" customHeight="1">
      <c r="C38" s="99"/>
      <c r="D38" s="138"/>
      <c r="E38" s="99"/>
      <c r="F38" s="99"/>
      <c r="G38" s="99"/>
      <c r="H38" s="99"/>
      <c r="I38" s="99"/>
      <c r="J38" s="99"/>
      <c r="K38" s="99"/>
      <c r="L38" s="99"/>
      <c r="M38" s="99"/>
      <c r="N38" s="99"/>
      <c r="O38" s="99"/>
      <c r="P38" s="99"/>
      <c r="Q38" s="99"/>
      <c r="R38" s="99"/>
      <c r="S38" s="114"/>
      <c r="T38" s="1643"/>
      <c r="U38" s="1643"/>
      <c r="V38" s="1643"/>
      <c r="W38" s="1643"/>
      <c r="X38" s="1643"/>
      <c r="Y38" s="1643"/>
      <c r="Z38" s="1643"/>
      <c r="AA38" s="1643"/>
      <c r="AB38" s="1643"/>
      <c r="AC38" s="1643"/>
    </row>
    <row r="39" spans="2:30" ht="15" customHeight="1">
      <c r="C39" s="99"/>
      <c r="D39" s="808"/>
      <c r="E39" s="99"/>
      <c r="F39" s="99"/>
      <c r="G39" s="99"/>
      <c r="H39" s="99"/>
      <c r="I39" s="99"/>
      <c r="J39" s="99"/>
      <c r="K39" s="99"/>
      <c r="L39" s="99"/>
      <c r="M39" s="99"/>
      <c r="N39" s="99"/>
      <c r="O39" s="99"/>
      <c r="P39" s="99"/>
      <c r="Q39" s="99"/>
      <c r="R39" s="99"/>
      <c r="S39" s="114"/>
      <c r="T39" s="1643"/>
      <c r="U39" s="1643"/>
      <c r="V39" s="1643"/>
      <c r="W39" s="1643"/>
      <c r="X39" s="1643"/>
      <c r="Y39" s="1643"/>
      <c r="Z39" s="1643"/>
      <c r="AA39" s="1643"/>
      <c r="AB39" s="1643"/>
      <c r="AC39" s="1643"/>
    </row>
    <row r="40" spans="2:30" s="259" customFormat="1" ht="15" customHeight="1">
      <c r="C40" s="258"/>
      <c r="D40" s="771"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E40" s="258"/>
      <c r="F40" s="258"/>
      <c r="G40" s="258"/>
      <c r="H40" s="258"/>
      <c r="I40" s="258"/>
      <c r="J40" s="258"/>
      <c r="K40" s="258"/>
      <c r="L40" s="258"/>
      <c r="M40" s="258"/>
      <c r="N40" s="258"/>
      <c r="O40" s="258"/>
      <c r="P40" s="258"/>
      <c r="Q40" s="258"/>
      <c r="R40" s="258"/>
      <c r="S40" s="490"/>
      <c r="U40" s="324"/>
      <c r="V40" s="324"/>
      <c r="W40" s="324"/>
      <c r="X40" s="324"/>
      <c r="Y40" s="324"/>
    </row>
    <row r="41" spans="2:30" s="249" customFormat="1" ht="15" customHeight="1">
      <c r="C41" s="809"/>
      <c r="D41" s="810"/>
      <c r="E41" s="809"/>
      <c r="F41" s="809"/>
      <c r="G41" s="809"/>
      <c r="H41" s="809"/>
      <c r="I41" s="809"/>
      <c r="J41" s="809"/>
      <c r="K41" s="809"/>
      <c r="L41" s="809"/>
      <c r="M41" s="809"/>
      <c r="N41" s="809"/>
      <c r="O41" s="809"/>
      <c r="P41" s="809"/>
      <c r="Q41" s="809"/>
      <c r="R41" s="774" t="str">
        <f>IF(Indice_index!$Z$1=1,"€ Milhões","€ Millions")</f>
        <v>€ Millions</v>
      </c>
      <c r="S41" s="491"/>
      <c r="U41" s="351"/>
      <c r="V41" s="351"/>
      <c r="W41" s="351"/>
      <c r="X41" s="351"/>
      <c r="Y41" s="351"/>
    </row>
    <row r="42" spans="2:30" ht="15.75" customHeight="1">
      <c r="C42" s="99"/>
      <c r="D42" s="1648" t="s">
        <v>14</v>
      </c>
      <c r="E42" s="837">
        <v>2020</v>
      </c>
      <c r="F42" s="1652">
        <v>2021</v>
      </c>
      <c r="G42" s="1653"/>
      <c r="H42" s="1653"/>
      <c r="I42" s="1653"/>
      <c r="J42" s="1653"/>
      <c r="K42" s="1653"/>
      <c r="L42" s="1653"/>
      <c r="M42" s="1653"/>
      <c r="N42" s="1653"/>
      <c r="O42" s="1653"/>
      <c r="P42" s="1653"/>
      <c r="Q42" s="1654"/>
      <c r="R42" s="1650" t="str">
        <f>IF(Indice_index!$Z$1=1,"variação mensal","monthly variation")</f>
        <v>monthly variation</v>
      </c>
      <c r="S42" s="99"/>
      <c r="W42" s="171"/>
      <c r="AB42" s="140"/>
      <c r="AC42" s="140"/>
      <c r="AD42" s="140"/>
    </row>
    <row r="43" spans="2:30" ht="15" customHeight="1">
      <c r="C43" s="99"/>
      <c r="D43" s="1649"/>
      <c r="E43" s="838" t="str">
        <f>IF(Indice_index!$Z$1=1,"dez*","Dec*")</f>
        <v>Dec*</v>
      </c>
      <c r="F43" s="777" t="str">
        <f>IF(Indice_index!$Z$1=1,"jan*","Jan*")</f>
        <v>Jan*</v>
      </c>
      <c r="G43" s="778" t="str">
        <f>IF(Indice_index!$Z$1=1,"fev*","Feb*")</f>
        <v>Feb*</v>
      </c>
      <c r="H43" s="778" t="str">
        <f>IF(Indice_index!$Z$1=1,"mar*","Mar*")</f>
        <v>Mar*</v>
      </c>
      <c r="I43" s="777" t="str">
        <f>IF(Indice_index!$Z$1=1,"abr*","Apr*")</f>
        <v>Apr*</v>
      </c>
      <c r="J43" s="778" t="str">
        <f>IF(Indice_index!$Z$1=1,"mai*","May*")</f>
        <v>May*</v>
      </c>
      <c r="K43" s="778" t="str">
        <f>IF(Indice_index!$Z$1=1,"jun*","June*")</f>
        <v>June*</v>
      </c>
      <c r="L43" s="779" t="str">
        <f>IF(Indice_index!$Z$1=1,"jul*","July*")</f>
        <v>July*</v>
      </c>
      <c r="M43" s="779" t="str">
        <f>IF(Indice_index!$Z$1=1,"ago*","Aug*")</f>
        <v>Aug*</v>
      </c>
      <c r="N43" s="779" t="str">
        <f>IF(Indice_index!$Z$1=1,"set*","Sep* ")</f>
        <v xml:space="preserve">Sep* </v>
      </c>
      <c r="O43" s="780" t="str">
        <f>IF(Indice_index!$Z$1=1,"out*","Oct*")</f>
        <v>Oct*</v>
      </c>
      <c r="P43" s="775" t="str">
        <f>IF(Indice_index!$Z$1=1,"nov*","Nov*")</f>
        <v>Nov*</v>
      </c>
      <c r="Q43" s="776" t="str">
        <f>IF(Indice_index!$Z$1=1,"dez*","Dec*")</f>
        <v>Dec*</v>
      </c>
      <c r="R43" s="1651"/>
      <c r="S43" s="99"/>
      <c r="AB43" s="140"/>
      <c r="AC43" s="140"/>
      <c r="AD43" s="140"/>
    </row>
    <row r="44" spans="2:30" s="259" customFormat="1" ht="15" customHeight="1">
      <c r="C44" s="258"/>
      <c r="D44" s="811" t="str">
        <f>IF(Indice_index!$Z$1=1,"Administrações Públicas","General Government")</f>
        <v>General Government</v>
      </c>
      <c r="E44" s="813">
        <f t="shared" ref="E44:O44" si="3">SUM(E45:E50)</f>
        <v>378.58315286999994</v>
      </c>
      <c r="F44" s="839">
        <f t="shared" si="3"/>
        <v>453.67819665999997</v>
      </c>
      <c r="G44" s="812">
        <f t="shared" si="3"/>
        <v>489.77643004000009</v>
      </c>
      <c r="H44" s="812">
        <f t="shared" si="3"/>
        <v>552.48845025999992</v>
      </c>
      <c r="I44" s="812">
        <f t="shared" si="3"/>
        <v>634.74725050999984</v>
      </c>
      <c r="J44" s="812">
        <f t="shared" si="3"/>
        <v>717.40545263999979</v>
      </c>
      <c r="K44" s="812">
        <f t="shared" si="3"/>
        <v>835.51437615000009</v>
      </c>
      <c r="L44" s="812">
        <f t="shared" si="3"/>
        <v>906.72617243999991</v>
      </c>
      <c r="M44" s="812">
        <f t="shared" si="3"/>
        <v>623.25660428999981</v>
      </c>
      <c r="N44" s="812">
        <f t="shared" si="3"/>
        <v>700.33264152999993</v>
      </c>
      <c r="O44" s="812">
        <f t="shared" si="3"/>
        <v>784.90004712000007</v>
      </c>
      <c r="P44" s="812">
        <f>SUM(P45:P50)</f>
        <v>896.48771791999991</v>
      </c>
      <c r="Q44" s="813">
        <f>SUM(Q45:Q50)</f>
        <v>307.27850782999997</v>
      </c>
      <c r="R44" s="814">
        <f t="shared" ref="R44:R50" si="4">Q44-P44</f>
        <v>-589.20921008999994</v>
      </c>
      <c r="S44" s="1522"/>
    </row>
    <row r="45" spans="2:30" ht="15" customHeight="1">
      <c r="C45" s="99"/>
      <c r="D45" s="815" t="str">
        <f>IF(Indice_index!$Z$1=1,"Admin. Central excl. Subs. Saúde","Central Government excl. Health Subsector")</f>
        <v>Central Government excl. Health Subsector</v>
      </c>
      <c r="E45" s="787">
        <v>25.67171226</v>
      </c>
      <c r="F45" s="788">
        <v>33.739106899999996</v>
      </c>
      <c r="G45" s="786">
        <v>34.535491209999996</v>
      </c>
      <c r="H45" s="786">
        <v>34.176434299999997</v>
      </c>
      <c r="I45" s="786">
        <v>42.947181110000002</v>
      </c>
      <c r="J45" s="786">
        <v>37.7749132</v>
      </c>
      <c r="K45" s="786">
        <v>39.031126749999999</v>
      </c>
      <c r="L45" s="786">
        <v>40.633416909999994</v>
      </c>
      <c r="M45" s="786">
        <v>40.753960579999998</v>
      </c>
      <c r="N45" s="786">
        <v>39.921979499999999</v>
      </c>
      <c r="O45" s="786">
        <v>42.312871560000005</v>
      </c>
      <c r="P45" s="786">
        <v>39.732900179999994</v>
      </c>
      <c r="Q45" s="787">
        <v>28.384892849999996</v>
      </c>
      <c r="R45" s="816">
        <f t="shared" si="4"/>
        <v>-11.348007329999998</v>
      </c>
      <c r="S45" s="1522"/>
      <c r="AB45" s="140"/>
      <c r="AC45" s="140"/>
      <c r="AD45" s="140"/>
    </row>
    <row r="46" spans="2:30" ht="15" customHeight="1">
      <c r="C46" s="99"/>
      <c r="D46" s="815" t="str">
        <f>IF(Indice_index!$Z$1=1,"Subsector da Saúde","Health Subsector")</f>
        <v>Health Subsector</v>
      </c>
      <c r="E46" s="787">
        <v>3.1808233700000001</v>
      </c>
      <c r="F46" s="788">
        <v>3.4829798199999944</v>
      </c>
      <c r="G46" s="786">
        <v>3.5448765599999978</v>
      </c>
      <c r="H46" s="786">
        <v>5.4264324499999992</v>
      </c>
      <c r="I46" s="786">
        <v>4.5972499500000037</v>
      </c>
      <c r="J46" s="786">
        <v>5.3344395600000025</v>
      </c>
      <c r="K46" s="786">
        <v>5.7779336100000025</v>
      </c>
      <c r="L46" s="786">
        <v>7.8012746600000034</v>
      </c>
      <c r="M46" s="786">
        <v>4.9123088799999977</v>
      </c>
      <c r="N46" s="786">
        <v>5.0538588799999884</v>
      </c>
      <c r="O46" s="786">
        <v>5.562945459999999</v>
      </c>
      <c r="P46" s="786">
        <v>6.4107240000000001</v>
      </c>
      <c r="Q46" s="787">
        <v>2.7758071000000006</v>
      </c>
      <c r="R46" s="816">
        <f t="shared" si="4"/>
        <v>-3.6349168999999995</v>
      </c>
      <c r="S46" s="1522"/>
      <c r="AB46" s="140"/>
      <c r="AC46" s="140"/>
      <c r="AD46" s="140"/>
    </row>
    <row r="47" spans="2:30" ht="15" customHeight="1">
      <c r="C47" s="99"/>
      <c r="D47" s="815" t="str">
        <f>IF(Indice_index!$Z$1=1,"Hospitais EPE","HNS - EPE Hospitals")</f>
        <v>HNS - EPE Hospitals</v>
      </c>
      <c r="E47" s="787">
        <v>147.45352394999998</v>
      </c>
      <c r="F47" s="788">
        <v>207.62391353999999</v>
      </c>
      <c r="G47" s="786">
        <v>246.07069276000004</v>
      </c>
      <c r="H47" s="786">
        <v>311.79118352</v>
      </c>
      <c r="I47" s="786">
        <v>390.29544396999995</v>
      </c>
      <c r="J47" s="786">
        <v>480.5971686499999</v>
      </c>
      <c r="K47" s="786">
        <v>599.65968077000014</v>
      </c>
      <c r="L47" s="786">
        <v>667.03014743999995</v>
      </c>
      <c r="M47" s="786">
        <v>388.6669637199999</v>
      </c>
      <c r="N47" s="786">
        <v>467.73029874000002</v>
      </c>
      <c r="O47" s="786">
        <v>553.43802757000014</v>
      </c>
      <c r="P47" s="786">
        <v>668.15637400000003</v>
      </c>
      <c r="Q47" s="787">
        <v>107.16077557000001</v>
      </c>
      <c r="R47" s="816">
        <f t="shared" si="4"/>
        <v>-560.99559842999997</v>
      </c>
      <c r="S47" s="1522"/>
      <c r="AB47" s="140"/>
      <c r="AC47" s="140"/>
      <c r="AD47" s="140"/>
    </row>
    <row r="48" spans="2:30" ht="15" customHeight="1">
      <c r="C48" s="99"/>
      <c r="D48" s="815" t="str">
        <f>IF(Indice_index!$Z$1=1,"Empresas Públicas Reclassificadas","Reclassified Public Enterprises")</f>
        <v>Reclassified Public Enterprises</v>
      </c>
      <c r="E48" s="787">
        <v>24.852727259999991</v>
      </c>
      <c r="F48" s="788">
        <v>24.852718259999989</v>
      </c>
      <c r="G48" s="786">
        <v>24.852718259999989</v>
      </c>
      <c r="H48" s="786">
        <v>20.397572649999944</v>
      </c>
      <c r="I48" s="786">
        <v>20.298065319999946</v>
      </c>
      <c r="J48" s="786">
        <v>20.380853049999946</v>
      </c>
      <c r="K48" s="786">
        <v>20.343158659999943</v>
      </c>
      <c r="L48" s="786">
        <v>20.372151039999942</v>
      </c>
      <c r="M48" s="786">
        <v>20.428863479999944</v>
      </c>
      <c r="N48" s="786">
        <v>20.502769759999943</v>
      </c>
      <c r="O48" s="786">
        <v>27.125764759999942</v>
      </c>
      <c r="P48" s="786">
        <v>29.159144359999942</v>
      </c>
      <c r="Q48" s="787">
        <v>20.348525409999944</v>
      </c>
      <c r="R48" s="816">
        <f t="shared" si="4"/>
        <v>-8.8106189499999985</v>
      </c>
      <c r="S48" s="1522"/>
      <c r="AB48" s="140"/>
      <c r="AC48" s="140"/>
      <c r="AD48" s="140"/>
    </row>
    <row r="49" spans="3:30" ht="15" customHeight="1">
      <c r="C49" s="99"/>
      <c r="D49" s="815" t="str">
        <f>IF(Indice_index!$Z$1=1,"Administração Local","Local Government")</f>
        <v>Local Government</v>
      </c>
      <c r="E49" s="818">
        <v>56.810747100000007</v>
      </c>
      <c r="F49" s="840">
        <v>56.810747100000007</v>
      </c>
      <c r="G49" s="817">
        <v>56.810747100000007</v>
      </c>
      <c r="H49" s="817">
        <v>56.810747100000007</v>
      </c>
      <c r="I49" s="817">
        <v>56.810747100000007</v>
      </c>
      <c r="J49" s="817">
        <v>56.810747100000007</v>
      </c>
      <c r="K49" s="817">
        <v>56.810747100000007</v>
      </c>
      <c r="L49" s="817">
        <v>56.810747100000007</v>
      </c>
      <c r="M49" s="817">
        <v>56.810747100000007</v>
      </c>
      <c r="N49" s="817">
        <v>56.810747100000007</v>
      </c>
      <c r="O49" s="817">
        <v>56.810747100000007</v>
      </c>
      <c r="P49" s="817">
        <v>56.810747100000007</v>
      </c>
      <c r="Q49" s="818">
        <v>56.810747100000007</v>
      </c>
      <c r="R49" s="819">
        <f t="shared" si="4"/>
        <v>0</v>
      </c>
      <c r="S49" s="1522"/>
      <c r="AB49" s="140"/>
      <c r="AC49" s="140"/>
      <c r="AD49" s="140"/>
    </row>
    <row r="50" spans="3:30" ht="15" customHeight="1">
      <c r="C50" s="99"/>
      <c r="D50" s="815" t="str">
        <f>IF(Indice_index!$Z$1=1,"Administração Regional","Regional Government")</f>
        <v>Regional Government</v>
      </c>
      <c r="E50" s="787">
        <v>120.61361893</v>
      </c>
      <c r="F50" s="788">
        <v>127.16873104000001</v>
      </c>
      <c r="G50" s="786">
        <v>123.96190415000001</v>
      </c>
      <c r="H50" s="786">
        <v>123.88608024000001</v>
      </c>
      <c r="I50" s="786">
        <v>119.79856305999999</v>
      </c>
      <c r="J50" s="786">
        <v>116.50733107999999</v>
      </c>
      <c r="K50" s="786">
        <v>113.89172925999999</v>
      </c>
      <c r="L50" s="786">
        <v>114.07843528999997</v>
      </c>
      <c r="M50" s="786">
        <v>111.68376053000001</v>
      </c>
      <c r="N50" s="786">
        <v>110.31298755</v>
      </c>
      <c r="O50" s="786">
        <v>99.649690670000012</v>
      </c>
      <c r="P50" s="786">
        <v>96.217828280000006</v>
      </c>
      <c r="Q50" s="787">
        <v>91.79775979999998</v>
      </c>
      <c r="R50" s="819">
        <f t="shared" si="4"/>
        <v>-4.4200684800000261</v>
      </c>
      <c r="S50" s="1522"/>
      <c r="AB50" s="140"/>
      <c r="AC50" s="140"/>
      <c r="AD50" s="140"/>
    </row>
    <row r="51" spans="3:30" s="259" customFormat="1" ht="15" customHeight="1">
      <c r="C51" s="258"/>
      <c r="D51" s="820" t="str">
        <f>IF(Indice_index!$Z$1=1,"Outras Entidades","Other Entities")</f>
        <v>Other Entities</v>
      </c>
      <c r="E51" s="822">
        <f>E52</f>
        <v>0.44664528999999997</v>
      </c>
      <c r="F51" s="841">
        <f t="shared" ref="F51:Q51" si="5">F52</f>
        <v>0.44664528999999997</v>
      </c>
      <c r="G51" s="821">
        <f t="shared" si="5"/>
        <v>0.44664528999999997</v>
      </c>
      <c r="H51" s="821">
        <f t="shared" si="5"/>
        <v>0.44664528999999997</v>
      </c>
      <c r="I51" s="821">
        <f t="shared" si="5"/>
        <v>0.44664528999999997</v>
      </c>
      <c r="J51" s="821">
        <f t="shared" si="5"/>
        <v>0.44664528999999997</v>
      </c>
      <c r="K51" s="821">
        <f t="shared" si="5"/>
        <v>0.44664528999999997</v>
      </c>
      <c r="L51" s="821">
        <f t="shared" si="5"/>
        <v>0.44664528999999997</v>
      </c>
      <c r="M51" s="821">
        <f t="shared" si="5"/>
        <v>0.44664528999999997</v>
      </c>
      <c r="N51" s="821">
        <f t="shared" si="5"/>
        <v>0.44664528999999997</v>
      </c>
      <c r="O51" s="821">
        <f>O52</f>
        <v>0.44664528999999997</v>
      </c>
      <c r="P51" s="821">
        <f t="shared" si="5"/>
        <v>0.44664528999999997</v>
      </c>
      <c r="Q51" s="823">
        <f t="shared" si="5"/>
        <v>0.44664528999999997</v>
      </c>
      <c r="R51" s="824">
        <f t="shared" ref="R51" si="6">Q51-P51</f>
        <v>0</v>
      </c>
      <c r="S51" s="1522"/>
    </row>
    <row r="52" spans="3:30" ht="15" customHeight="1">
      <c r="C52" s="99"/>
      <c r="D52" s="815" t="str">
        <f>IF(Indice_index!$Z$1=1,"Empr. Públicas Não Reclassificadas","Non-reclassified Public Enterprises")</f>
        <v>Non-reclassified Public Enterprises</v>
      </c>
      <c r="E52" s="826">
        <v>0.44664528999999997</v>
      </c>
      <c r="F52" s="842">
        <v>0.44664528999999997</v>
      </c>
      <c r="G52" s="825">
        <v>0.44664528999999997</v>
      </c>
      <c r="H52" s="825">
        <v>0.44664528999999997</v>
      </c>
      <c r="I52" s="825">
        <v>0.44664528999999997</v>
      </c>
      <c r="J52" s="827">
        <v>0.44664528999999997</v>
      </c>
      <c r="K52" s="825">
        <v>0.44664528999999997</v>
      </c>
      <c r="L52" s="825">
        <v>0.44664528999999997</v>
      </c>
      <c r="M52" s="827">
        <v>0.44664528999999997</v>
      </c>
      <c r="N52" s="827">
        <v>0.44664528999999997</v>
      </c>
      <c r="O52" s="827">
        <v>0.44664528999999997</v>
      </c>
      <c r="P52" s="827">
        <v>0.44664528999999997</v>
      </c>
      <c r="Q52" s="828">
        <v>0.44664528999999997</v>
      </c>
      <c r="R52" s="726">
        <f>Q52-P52</f>
        <v>0</v>
      </c>
      <c r="S52" s="1522"/>
      <c r="AB52" s="140"/>
      <c r="AC52" s="140"/>
      <c r="AD52" s="140"/>
    </row>
    <row r="53" spans="3:30" s="259" customFormat="1" ht="15" customHeight="1">
      <c r="C53" s="258"/>
      <c r="D53" s="722" t="str">
        <f>IF(Indice_index!$Z$1=1,"Total","Total")</f>
        <v>Total</v>
      </c>
      <c r="E53" s="830">
        <f>E51+E44</f>
        <v>379.02979815999993</v>
      </c>
      <c r="F53" s="843">
        <f t="shared" ref="F53:M53" si="7">F51+F44</f>
        <v>454.12484194999996</v>
      </c>
      <c r="G53" s="829">
        <f t="shared" si="7"/>
        <v>490.22307533000009</v>
      </c>
      <c r="H53" s="829">
        <f t="shared" si="7"/>
        <v>552.93509554999991</v>
      </c>
      <c r="I53" s="829">
        <f t="shared" si="7"/>
        <v>635.19389579999984</v>
      </c>
      <c r="J53" s="829">
        <f t="shared" si="7"/>
        <v>717.85209792999979</v>
      </c>
      <c r="K53" s="829">
        <f t="shared" si="7"/>
        <v>835.96102144000008</v>
      </c>
      <c r="L53" s="829">
        <f t="shared" si="7"/>
        <v>907.17281772999991</v>
      </c>
      <c r="M53" s="829">
        <f t="shared" si="7"/>
        <v>623.70324957999981</v>
      </c>
      <c r="N53" s="829">
        <f>N51+N44</f>
        <v>700.77928681999992</v>
      </c>
      <c r="O53" s="829">
        <f>O51+O44</f>
        <v>785.34669241000006</v>
      </c>
      <c r="P53" s="829">
        <f>P51+P44</f>
        <v>896.9343632099999</v>
      </c>
      <c r="Q53" s="830">
        <f>Q51+Q44</f>
        <v>307.72515311999996</v>
      </c>
      <c r="R53" s="831">
        <f>Q53-P53</f>
        <v>-589.20921008999994</v>
      </c>
      <c r="S53" s="1522"/>
      <c r="U53" s="324"/>
    </row>
    <row r="54" spans="3:30" s="259" customFormat="1" ht="4.5" customHeight="1">
      <c r="C54" s="258"/>
      <c r="D54" s="832"/>
      <c r="E54" s="833"/>
      <c r="F54" s="833"/>
      <c r="G54" s="833"/>
      <c r="H54" s="833"/>
      <c r="I54" s="833"/>
      <c r="J54" s="833"/>
      <c r="K54" s="833"/>
      <c r="L54" s="833"/>
      <c r="M54" s="833"/>
      <c r="N54" s="833"/>
      <c r="O54" s="833"/>
      <c r="P54" s="833"/>
      <c r="Q54" s="833"/>
      <c r="R54" s="833"/>
      <c r="S54" s="258"/>
      <c r="U54" s="324"/>
    </row>
    <row r="55" spans="3:30" ht="15" customHeight="1">
      <c r="C55" s="99"/>
      <c r="D55" s="834" t="str">
        <f>IF(Indice_index!$Z$1=1,"Notas:","Notes:")</f>
        <v>Notes:</v>
      </c>
      <c r="E55" s="835"/>
      <c r="F55" s="835"/>
      <c r="G55" s="99"/>
      <c r="H55" s="99"/>
      <c r="I55" s="99"/>
      <c r="J55" s="99"/>
      <c r="K55" s="835"/>
      <c r="L55" s="99"/>
      <c r="M55" s="99"/>
      <c r="N55" s="99"/>
      <c r="O55" s="99"/>
      <c r="P55" s="99"/>
      <c r="Q55" s="99"/>
      <c r="R55" s="835"/>
      <c r="S55" s="99"/>
      <c r="U55" s="171"/>
      <c r="AB55" s="140"/>
      <c r="AC55" s="140"/>
      <c r="AD55" s="140"/>
    </row>
    <row r="56" spans="3:30" ht="15" customHeight="1">
      <c r="C56" s="99"/>
      <c r="D56" s="835"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6" s="835"/>
      <c r="F56" s="835"/>
      <c r="G56" s="99"/>
      <c r="H56" s="99"/>
      <c r="I56" s="99"/>
      <c r="J56" s="99"/>
      <c r="K56" s="835"/>
      <c r="L56" s="99"/>
      <c r="M56" s="99"/>
      <c r="N56" s="99"/>
      <c r="O56" s="99"/>
      <c r="P56" s="99"/>
      <c r="Q56" s="99"/>
      <c r="R56" s="835"/>
      <c r="S56" s="99"/>
      <c r="U56" s="171"/>
      <c r="AB56" s="140"/>
      <c r="AC56" s="140"/>
      <c r="AD56" s="140"/>
    </row>
    <row r="57" spans="3:30" ht="15" customHeight="1">
      <c r="C57" s="99"/>
      <c r="D57" s="807"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7" s="835"/>
      <c r="F57" s="835"/>
      <c r="G57" s="835"/>
      <c r="H57" s="99"/>
      <c r="I57" s="99"/>
      <c r="J57" s="99"/>
      <c r="K57" s="99"/>
      <c r="L57" s="835"/>
      <c r="M57" s="99"/>
      <c r="N57" s="99"/>
      <c r="O57" s="99"/>
      <c r="P57" s="99"/>
      <c r="Q57" s="99"/>
      <c r="R57" s="835"/>
      <c r="S57" s="99"/>
      <c r="U57" s="171"/>
      <c r="AB57" s="140"/>
      <c r="AC57" s="140"/>
      <c r="AD57" s="140"/>
    </row>
    <row r="58" spans="3:30" ht="15" customHeight="1">
      <c r="C58" s="99"/>
      <c r="D58" s="1642"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8" s="1642"/>
      <c r="F58" s="1642"/>
      <c r="G58" s="1642"/>
      <c r="H58" s="1642"/>
      <c r="I58" s="1642"/>
      <c r="J58" s="1642"/>
      <c r="K58" s="1642"/>
      <c r="L58" s="1642"/>
      <c r="M58" s="1642"/>
      <c r="N58" s="1642"/>
      <c r="O58" s="1642"/>
      <c r="P58" s="1642"/>
      <c r="Q58" s="1642"/>
      <c r="R58" s="1642"/>
      <c r="S58" s="99"/>
    </row>
    <row r="59" spans="3:30">
      <c r="C59" s="99"/>
      <c r="D59" s="99"/>
      <c r="E59" s="99"/>
      <c r="F59" s="99"/>
      <c r="G59" s="99"/>
      <c r="H59" s="99"/>
      <c r="I59" s="99"/>
      <c r="J59" s="99"/>
      <c r="K59" s="99"/>
      <c r="L59" s="99"/>
      <c r="M59" s="99"/>
      <c r="N59" s="99"/>
      <c r="O59" s="99"/>
      <c r="P59" s="99"/>
      <c r="Q59" s="99"/>
      <c r="R59" s="99"/>
    </row>
    <row r="61" spans="3:30">
      <c r="E61" s="342"/>
      <c r="F61" s="342"/>
      <c r="G61" s="342"/>
      <c r="H61" s="342"/>
      <c r="I61" s="342"/>
      <c r="J61" s="342"/>
      <c r="K61" s="342"/>
      <c r="L61" s="342"/>
      <c r="M61" s="342"/>
      <c r="N61" s="342"/>
      <c r="O61" s="342"/>
      <c r="P61" s="342"/>
    </row>
    <row r="62" spans="3:30">
      <c r="E62" s="342"/>
      <c r="F62" s="342"/>
      <c r="G62" s="342"/>
      <c r="H62" s="342"/>
      <c r="I62" s="342"/>
      <c r="J62" s="342"/>
      <c r="K62" s="342"/>
      <c r="L62" s="342"/>
      <c r="M62" s="342"/>
      <c r="N62" s="342"/>
      <c r="O62" s="342"/>
    </row>
  </sheetData>
  <mergeCells count="15">
    <mergeCell ref="R8:R9"/>
    <mergeCell ref="C8:D9"/>
    <mergeCell ref="C10:C14"/>
    <mergeCell ref="C15:D15"/>
    <mergeCell ref="C16:C20"/>
    <mergeCell ref="G8:Q8"/>
    <mergeCell ref="D58:R58"/>
    <mergeCell ref="T37:AC39"/>
    <mergeCell ref="C21:D21"/>
    <mergeCell ref="C22:C26"/>
    <mergeCell ref="C27:D27"/>
    <mergeCell ref="C28:D28"/>
    <mergeCell ref="D42:D43"/>
    <mergeCell ref="R42:R43"/>
    <mergeCell ref="F42:Q42"/>
  </mergeCells>
  <printOptions horizontalCentered="1"/>
  <pageMargins left="0.70866141732283472" right="0.70866141732283472" top="0.74803149606299213" bottom="0.74803149606299213" header="0.74803149606299213" footer="0.35433070866141736"/>
  <pageSetup paperSize="9" scale="61"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3"/>
  <dimension ref="A1:AP549"/>
  <sheetViews>
    <sheetView showGridLines="0" zoomScaleNormal="100" zoomScaleSheetLayoutView="100" workbookViewId="0">
      <selection activeCell="B2" sqref="B2"/>
    </sheetView>
  </sheetViews>
  <sheetFormatPr defaultColWidth="6.5703125" defaultRowHeight="12"/>
  <cols>
    <col min="1" max="1" width="2.5703125" style="64" customWidth="1"/>
    <col min="2" max="2" width="4.42578125" style="64" customWidth="1"/>
    <col min="3" max="3" width="5.42578125" style="64" customWidth="1"/>
    <col min="4" max="4" width="9.5703125" style="64" customWidth="1"/>
    <col min="5" max="5" width="11" style="64" customWidth="1"/>
    <col min="6" max="6" width="9.42578125" style="64" customWidth="1"/>
    <col min="7" max="7" width="11" style="64" customWidth="1"/>
    <col min="8" max="8" width="9.5703125" style="64" customWidth="1"/>
    <col min="9" max="9" width="10.85546875" style="64" customWidth="1"/>
    <col min="10" max="10" width="9.85546875" style="64" customWidth="1"/>
    <col min="11" max="11" width="9.42578125" style="64" customWidth="1"/>
    <col min="12" max="12" width="10.140625" style="174" customWidth="1"/>
    <col min="13" max="13" width="9.42578125" style="174" customWidth="1"/>
    <col min="14" max="14" width="9.5703125" style="174" customWidth="1"/>
    <col min="15" max="15" width="10" style="174" customWidth="1"/>
    <col min="16" max="16" width="10.42578125" style="174" customWidth="1"/>
    <col min="17" max="17" width="13" style="64" customWidth="1"/>
    <col min="18" max="18" width="8.5703125" style="64" customWidth="1"/>
    <col min="19" max="19" width="7.5703125" style="64" customWidth="1"/>
    <col min="20" max="20" width="8.85546875" style="64" customWidth="1"/>
    <col min="21" max="21" width="11.5703125" style="64" customWidth="1"/>
    <col min="22" max="22" width="8.140625" style="64" customWidth="1"/>
    <col min="23" max="23" width="13" style="64" customWidth="1"/>
    <col min="24" max="24" width="9.140625" style="52" customWidth="1"/>
    <col min="25" max="25" width="10.85546875" style="52" customWidth="1"/>
    <col min="26" max="26" width="9.140625" style="52" customWidth="1"/>
    <col min="27" max="27" width="9.140625" style="173" customWidth="1"/>
    <col min="28" max="29" width="6.5703125" style="64"/>
    <col min="30" max="30" width="7" style="64" bestFit="1" customWidth="1"/>
    <col min="31" max="31" width="6.5703125" style="64" bestFit="1" customWidth="1"/>
    <col min="32" max="34" width="7" style="64" bestFit="1" customWidth="1"/>
    <col min="35" max="35" width="6.5703125" style="64" bestFit="1" customWidth="1"/>
    <col min="36" max="37" width="7" style="64" bestFit="1" customWidth="1"/>
    <col min="38" max="38" width="6.5703125" style="64" bestFit="1" customWidth="1"/>
    <col min="39" max="41" width="7" style="64" bestFit="1" customWidth="1"/>
    <col min="42" max="16384" width="6.5703125" style="64"/>
  </cols>
  <sheetData>
    <row r="1" spans="2:34" s="52" customFormat="1" ht="15" customHeight="1">
      <c r="B1" s="51"/>
      <c r="H1" s="158"/>
      <c r="I1" s="158"/>
    </row>
    <row r="2" spans="2:34" ht="24" customHeight="1">
      <c r="B2" s="8"/>
      <c r="C2" s="53" t="str">
        <f>IF(Indice_index!$Z$1=1,"18 - Indicadores Físicos e Financeiros do Sistema de Proteção Social da Função Pública","18 - Public Servants Social Scheme - Flows")</f>
        <v>18 - Public Servants Social Scheme - Flows</v>
      </c>
      <c r="D2" s="53"/>
      <c r="E2" s="53"/>
      <c r="F2" s="53"/>
      <c r="G2" s="53"/>
      <c r="H2" s="53"/>
      <c r="I2" s="53"/>
      <c r="J2" s="53"/>
      <c r="K2" s="53"/>
      <c r="L2" s="53"/>
      <c r="M2" s="53"/>
      <c r="N2" s="53"/>
      <c r="O2" s="53"/>
      <c r="P2" s="53"/>
      <c r="X2" s="83"/>
      <c r="Z2" s="83"/>
    </row>
    <row r="3" spans="2:34" ht="15" customHeight="1">
      <c r="C3" s="235"/>
      <c r="D3" s="235"/>
      <c r="E3" s="235"/>
      <c r="F3" s="235"/>
      <c r="G3" s="235"/>
      <c r="H3" s="235"/>
      <c r="I3" s="235"/>
      <c r="J3" s="235"/>
      <c r="K3" s="235"/>
      <c r="X3" s="83"/>
    </row>
    <row r="4" spans="2:34" ht="15" customHeight="1">
      <c r="C4" s="235"/>
      <c r="D4" s="235"/>
      <c r="E4" s="235"/>
      <c r="F4" s="235"/>
      <c r="G4" s="235"/>
      <c r="H4" s="235"/>
      <c r="I4" s="235"/>
      <c r="J4" s="235"/>
      <c r="K4" s="235"/>
    </row>
    <row r="5" spans="2:34" s="250" customFormat="1" ht="15" customHeight="1">
      <c r="C5" s="1117" t="str">
        <f>IF(Indice_index!$Z$1=1,"Pensionistas","Pensioners")</f>
        <v>Pensioners</v>
      </c>
      <c r="D5" s="471"/>
      <c r="E5" s="471"/>
      <c r="F5" s="471"/>
      <c r="G5" s="471"/>
      <c r="H5" s="1118"/>
      <c r="I5" s="1118"/>
      <c r="J5" s="1118"/>
      <c r="K5" s="1119" t="str">
        <f>IF(Indice_index!$Z$1=1,"Subscritores","Subscribers")</f>
        <v>Subscribers</v>
      </c>
      <c r="L5" s="1118"/>
      <c r="M5" s="1118"/>
      <c r="N5" s="1118"/>
      <c r="O5" s="1118"/>
      <c r="P5" s="1118"/>
      <c r="Q5" s="471"/>
      <c r="X5" s="248"/>
      <c r="Y5" s="248"/>
      <c r="Z5" s="248"/>
      <c r="AA5" s="251"/>
    </row>
    <row r="6" spans="2:34" s="235" customFormat="1" ht="11.25" customHeight="1">
      <c r="C6" s="1120"/>
      <c r="D6" s="1121"/>
      <c r="E6" s="1661" t="str">
        <f>IF(Indice_index!$Z$1=1,"Número","Number")</f>
        <v>Number</v>
      </c>
      <c r="F6" s="1661"/>
      <c r="G6" s="1661"/>
      <c r="H6" s="1661"/>
      <c r="I6" s="1662" t="str">
        <f>IF(Indice_index!$Z$1=1,"Valor médio pago por pensionista (€)","Average Value paid per Pensioner (€)")</f>
        <v>Average Value paid per Pensioner (€)</v>
      </c>
      <c r="K6" s="1663" t="str">
        <f>IF(Indice_index!$Z$1=1,"Número","Number")</f>
        <v>Number</v>
      </c>
      <c r="R6" s="52"/>
      <c r="S6" s="52"/>
      <c r="T6" s="52"/>
      <c r="U6" s="173"/>
    </row>
    <row r="7" spans="2:34" s="235" customFormat="1" ht="33.75">
      <c r="C7" s="1122"/>
      <c r="D7" s="1123"/>
      <c r="E7" s="1124" t="str">
        <f>IF(Indice_index!$Z$1=1,"Velhice e Outros Motivos","Old age and other Reasons")</f>
        <v>Old age and other Reasons</v>
      </c>
      <c r="F7" s="1125" t="str">
        <f>IF(Indice_index!$Z$1=1,"Invalidez","Disability")</f>
        <v>Disability</v>
      </c>
      <c r="G7" s="1124" t="str">
        <f>IF(Indice_index!$Z$1=1,"Sobrevivência e Outros","Survival and Others")</f>
        <v>Survival and Others</v>
      </c>
      <c r="H7" s="1124" t="str">
        <f>IF(Indice_index!$Z$1=1,"Total de Pensionistas","Total of Pensioners")</f>
        <v>Total of Pensioners</v>
      </c>
      <c r="I7" s="1662"/>
      <c r="K7" s="1664"/>
      <c r="R7" s="52"/>
      <c r="S7" s="52"/>
      <c r="T7" s="52"/>
      <c r="U7" s="173"/>
    </row>
    <row r="8" spans="2:34" s="235" customFormat="1" hidden="1">
      <c r="C8" s="1126" t="s">
        <v>15</v>
      </c>
      <c r="D8" s="1127"/>
      <c r="E8" s="175"/>
      <c r="F8" s="175"/>
      <c r="G8" s="175"/>
      <c r="H8" s="175"/>
      <c r="I8" s="174"/>
      <c r="K8" s="174"/>
      <c r="R8" s="52"/>
      <c r="S8" s="52"/>
      <c r="T8" s="52"/>
      <c r="U8" s="173"/>
      <c r="V8" s="173"/>
      <c r="W8" s="173"/>
      <c r="X8" s="173"/>
      <c r="Y8" s="173"/>
      <c r="Z8" s="173"/>
      <c r="AA8" s="173"/>
      <c r="AB8" s="173"/>
      <c r="AC8" s="173"/>
      <c r="AD8" s="173"/>
      <c r="AE8" s="173"/>
      <c r="AF8" s="173"/>
      <c r="AG8" s="173"/>
      <c r="AH8" s="173"/>
    </row>
    <row r="9" spans="2:34" s="235" customFormat="1" hidden="1">
      <c r="C9" s="1126"/>
      <c r="D9" s="175" t="str">
        <f>IF(Indice_index!$Z$1=1,"janeiro","January")</f>
        <v>January</v>
      </c>
      <c r="E9" s="175">
        <v>378477</v>
      </c>
      <c r="F9" s="175">
        <v>75381</v>
      </c>
      <c r="G9" s="175">
        <v>138644</v>
      </c>
      <c r="H9" s="175">
        <v>592502</v>
      </c>
      <c r="I9" s="174">
        <v>1074.8</v>
      </c>
      <c r="K9" s="175">
        <v>556738</v>
      </c>
      <c r="R9" s="52"/>
      <c r="S9" s="52"/>
      <c r="T9" s="52"/>
      <c r="U9" s="173"/>
      <c r="V9" s="173"/>
      <c r="W9" s="173"/>
      <c r="X9" s="173"/>
      <c r="Y9" s="173"/>
      <c r="Z9" s="173"/>
      <c r="AA9" s="173"/>
      <c r="AB9" s="173"/>
      <c r="AC9" s="173"/>
      <c r="AD9" s="173"/>
      <c r="AE9" s="173"/>
      <c r="AF9" s="173"/>
      <c r="AG9" s="173"/>
      <c r="AH9" s="173"/>
    </row>
    <row r="10" spans="2:34" s="235" customFormat="1" hidden="1">
      <c r="C10" s="1126"/>
      <c r="D10" s="175" t="str">
        <f>IF(Indice_index!$Z$1=1,"fevereiro","February")</f>
        <v>February</v>
      </c>
      <c r="E10" s="175">
        <v>379557</v>
      </c>
      <c r="F10" s="175">
        <v>75384</v>
      </c>
      <c r="G10" s="175">
        <v>138827</v>
      </c>
      <c r="H10" s="175">
        <v>593768</v>
      </c>
      <c r="I10" s="174">
        <v>1080.9000000000001</v>
      </c>
      <c r="K10" s="175">
        <v>555064</v>
      </c>
      <c r="R10" s="52"/>
      <c r="S10" s="52"/>
      <c r="T10" s="52"/>
      <c r="U10" s="173"/>
      <c r="V10" s="173"/>
      <c r="W10" s="173"/>
      <c r="X10" s="173"/>
      <c r="Y10" s="173"/>
      <c r="Z10" s="173"/>
      <c r="AA10" s="173"/>
      <c r="AB10" s="173"/>
      <c r="AC10" s="173"/>
      <c r="AD10" s="173"/>
      <c r="AE10" s="173"/>
      <c r="AF10" s="173"/>
      <c r="AG10" s="173"/>
      <c r="AH10" s="173"/>
    </row>
    <row r="11" spans="2:34" s="235" customFormat="1" hidden="1">
      <c r="C11" s="1126"/>
      <c r="D11" s="175" t="str">
        <f>IF(Indice_index!$Z$1=1,"março","March")</f>
        <v>March</v>
      </c>
      <c r="E11" s="175">
        <v>380009</v>
      </c>
      <c r="F11" s="175">
        <v>75439</v>
      </c>
      <c r="G11" s="175">
        <v>139183</v>
      </c>
      <c r="H11" s="175">
        <v>594631</v>
      </c>
      <c r="I11" s="174">
        <v>1083.2</v>
      </c>
      <c r="K11" s="175">
        <v>550279</v>
      </c>
      <c r="R11" s="52"/>
      <c r="S11" s="52"/>
      <c r="T11" s="52"/>
      <c r="U11" s="173"/>
      <c r="V11" s="173"/>
      <c r="W11" s="173"/>
      <c r="X11" s="173"/>
      <c r="Y11" s="173"/>
      <c r="Z11" s="173"/>
      <c r="AA11" s="173"/>
      <c r="AB11" s="173"/>
      <c r="AC11" s="173"/>
      <c r="AD11" s="173"/>
      <c r="AE11" s="173"/>
      <c r="AF11" s="173"/>
      <c r="AG11" s="173"/>
      <c r="AH11" s="173"/>
    </row>
    <row r="12" spans="2:34" s="235" customFormat="1" hidden="1">
      <c r="C12" s="1126"/>
      <c r="D12" s="175" t="str">
        <f>IF(Indice_index!$Z$1=1,"abril","April")</f>
        <v>April</v>
      </c>
      <c r="E12" s="175">
        <v>380486</v>
      </c>
      <c r="F12" s="175">
        <v>75467</v>
      </c>
      <c r="G12" s="175">
        <v>139319</v>
      </c>
      <c r="H12" s="175">
        <v>595272</v>
      </c>
      <c r="I12" s="174">
        <v>1078.8</v>
      </c>
      <c r="K12" s="175">
        <v>548983</v>
      </c>
      <c r="R12" s="52"/>
      <c r="S12" s="52"/>
      <c r="T12" s="52"/>
      <c r="U12" s="173"/>
      <c r="V12" s="173"/>
      <c r="W12" s="173"/>
      <c r="X12" s="173"/>
      <c r="Y12" s="173"/>
      <c r="Z12" s="173"/>
      <c r="AA12" s="173"/>
      <c r="AB12" s="173"/>
      <c r="AC12" s="173"/>
      <c r="AD12" s="173"/>
      <c r="AE12" s="173"/>
      <c r="AF12" s="173"/>
      <c r="AG12" s="173"/>
      <c r="AH12" s="173"/>
    </row>
    <row r="13" spans="2:34" s="235" customFormat="1" hidden="1">
      <c r="C13" s="1126"/>
      <c r="D13" s="175" t="str">
        <f>IF(Indice_index!$Z$1=1,"maio","May")</f>
        <v>May</v>
      </c>
      <c r="E13" s="175">
        <v>381329</v>
      </c>
      <c r="F13" s="175">
        <v>75435</v>
      </c>
      <c r="G13" s="175">
        <v>139536</v>
      </c>
      <c r="H13" s="175">
        <v>596300</v>
      </c>
      <c r="I13" s="174">
        <v>1078.8</v>
      </c>
      <c r="K13" s="175">
        <v>547338</v>
      </c>
      <c r="R13" s="52"/>
      <c r="S13" s="52"/>
      <c r="T13" s="52"/>
      <c r="U13" s="173"/>
      <c r="V13" s="173"/>
      <c r="W13" s="173"/>
      <c r="X13" s="173"/>
      <c r="Y13" s="173"/>
      <c r="Z13" s="173"/>
      <c r="AA13" s="173"/>
      <c r="AB13" s="173"/>
      <c r="AC13" s="173"/>
      <c r="AD13" s="173"/>
      <c r="AE13" s="173"/>
      <c r="AF13" s="173"/>
      <c r="AG13" s="173"/>
      <c r="AH13" s="173"/>
    </row>
    <row r="14" spans="2:34" s="235" customFormat="1" hidden="1">
      <c r="C14" s="1126"/>
      <c r="D14" s="175" t="str">
        <f>IF(Indice_index!$Z$1=1,"junho","June")</f>
        <v>June</v>
      </c>
      <c r="E14" s="175">
        <v>382265</v>
      </c>
      <c r="F14" s="175">
        <v>75476</v>
      </c>
      <c r="G14" s="175">
        <v>139869</v>
      </c>
      <c r="H14" s="175">
        <v>597610</v>
      </c>
      <c r="I14" s="174">
        <v>1080.4000000000001</v>
      </c>
      <c r="K14" s="175">
        <v>545729</v>
      </c>
      <c r="R14" s="52"/>
      <c r="S14" s="52"/>
      <c r="T14" s="52"/>
      <c r="U14" s="173"/>
      <c r="V14" s="173"/>
      <c r="W14" s="173"/>
      <c r="X14" s="173"/>
      <c r="Y14" s="173"/>
      <c r="Z14" s="173"/>
      <c r="AA14" s="173"/>
      <c r="AB14" s="173"/>
      <c r="AC14" s="173"/>
      <c r="AD14" s="173"/>
      <c r="AE14" s="173"/>
      <c r="AF14" s="173"/>
      <c r="AG14" s="173"/>
      <c r="AH14" s="173"/>
    </row>
    <row r="15" spans="2:34" s="235" customFormat="1" hidden="1">
      <c r="C15" s="1126"/>
      <c r="D15" s="175" t="str">
        <f>IF(Indice_index!$Z$1=1,"julho","July")</f>
        <v>July</v>
      </c>
      <c r="E15" s="175">
        <v>383153</v>
      </c>
      <c r="F15" s="175">
        <v>75502</v>
      </c>
      <c r="G15" s="175">
        <v>140055</v>
      </c>
      <c r="H15" s="175">
        <v>598710</v>
      </c>
      <c r="I15" s="174">
        <v>1269.3</v>
      </c>
      <c r="K15" s="175">
        <v>544153</v>
      </c>
      <c r="R15" s="52"/>
      <c r="S15" s="52"/>
      <c r="T15" s="52"/>
      <c r="U15" s="173"/>
      <c r="V15" s="173"/>
      <c r="W15" s="173"/>
      <c r="X15" s="173"/>
      <c r="Y15" s="173"/>
      <c r="Z15" s="173"/>
      <c r="AA15" s="173"/>
      <c r="AB15" s="173"/>
      <c r="AC15" s="173"/>
      <c r="AD15" s="173"/>
      <c r="AE15" s="173"/>
      <c r="AF15" s="173"/>
      <c r="AG15" s="173"/>
      <c r="AH15" s="173"/>
    </row>
    <row r="16" spans="2:34" s="235" customFormat="1" hidden="1">
      <c r="C16" s="1126"/>
      <c r="D16" s="175" t="str">
        <f>IF(Indice_index!$Z$1=1,"agosto","August")</f>
        <v>August</v>
      </c>
      <c r="E16" s="175">
        <v>384236</v>
      </c>
      <c r="F16" s="175">
        <v>75505</v>
      </c>
      <c r="G16" s="175">
        <v>140413</v>
      </c>
      <c r="H16" s="175">
        <v>600154</v>
      </c>
      <c r="I16" s="174">
        <v>1077.3</v>
      </c>
      <c r="K16" s="175">
        <v>542325</v>
      </c>
      <c r="R16" s="52"/>
      <c r="S16" s="52"/>
      <c r="T16" s="52"/>
      <c r="U16" s="173"/>
      <c r="V16" s="173"/>
      <c r="W16" s="173"/>
      <c r="X16" s="173"/>
      <c r="Y16" s="173"/>
      <c r="Z16" s="173"/>
      <c r="AA16" s="173"/>
      <c r="AB16" s="173"/>
      <c r="AC16" s="173"/>
      <c r="AD16" s="173"/>
      <c r="AE16" s="173"/>
      <c r="AF16" s="173"/>
      <c r="AG16" s="173"/>
      <c r="AH16" s="173"/>
    </row>
    <row r="17" spans="3:34" s="235" customFormat="1" hidden="1">
      <c r="C17" s="1126"/>
      <c r="D17" s="175" t="str">
        <f>IF(Indice_index!$Z$1=1,"setembro","September")</f>
        <v>September</v>
      </c>
      <c r="E17" s="175">
        <v>385392</v>
      </c>
      <c r="F17" s="175">
        <v>75465</v>
      </c>
      <c r="G17" s="175">
        <v>140308</v>
      </c>
      <c r="H17" s="175">
        <v>601165</v>
      </c>
      <c r="I17" s="174">
        <v>1076.2</v>
      </c>
      <c r="K17" s="175">
        <v>537842</v>
      </c>
      <c r="R17" s="52"/>
      <c r="S17" s="52"/>
      <c r="T17" s="52"/>
      <c r="U17" s="173"/>
      <c r="V17" s="173"/>
      <c r="W17" s="173"/>
      <c r="X17" s="173"/>
      <c r="Y17" s="173"/>
      <c r="Z17" s="173"/>
      <c r="AA17" s="173"/>
      <c r="AB17" s="173"/>
      <c r="AC17" s="173"/>
      <c r="AD17" s="173"/>
      <c r="AE17" s="173"/>
      <c r="AF17" s="173"/>
      <c r="AG17" s="173"/>
      <c r="AH17" s="173"/>
    </row>
    <row r="18" spans="3:34" s="235" customFormat="1" hidden="1">
      <c r="C18" s="1126"/>
      <c r="D18" s="175" t="str">
        <f>IF(Indice_index!$Z$1=1,"outubro","October")</f>
        <v>October</v>
      </c>
      <c r="E18" s="175">
        <v>386355</v>
      </c>
      <c r="F18" s="175">
        <v>75419</v>
      </c>
      <c r="G18" s="175">
        <v>140373</v>
      </c>
      <c r="H18" s="175">
        <v>602147</v>
      </c>
      <c r="I18" s="174">
        <v>1085.5999999999999</v>
      </c>
      <c r="K18" s="175">
        <v>536095</v>
      </c>
      <c r="R18" s="52"/>
      <c r="S18" s="52"/>
      <c r="T18" s="52"/>
      <c r="U18" s="173"/>
      <c r="V18" s="173"/>
      <c r="W18" s="173"/>
      <c r="X18" s="173"/>
      <c r="Y18" s="173"/>
      <c r="Z18" s="173"/>
      <c r="AA18" s="173"/>
      <c r="AB18" s="173"/>
      <c r="AC18" s="173"/>
      <c r="AD18" s="173"/>
      <c r="AE18" s="173"/>
      <c r="AF18" s="173"/>
      <c r="AG18" s="173"/>
      <c r="AH18" s="173"/>
    </row>
    <row r="19" spans="3:34" s="235" customFormat="1" hidden="1">
      <c r="C19" s="1126"/>
      <c r="D19" s="175" t="str">
        <f>IF(Indice_index!$Z$1=1,"novembro","November")</f>
        <v>November</v>
      </c>
      <c r="E19" s="175">
        <v>386944</v>
      </c>
      <c r="F19" s="175">
        <v>75313</v>
      </c>
      <c r="G19" s="175">
        <v>140552</v>
      </c>
      <c r="H19" s="175">
        <v>602809</v>
      </c>
      <c r="I19" s="174">
        <v>1272.2</v>
      </c>
      <c r="K19" s="175">
        <v>534270</v>
      </c>
      <c r="R19" s="52"/>
      <c r="S19" s="52"/>
      <c r="T19" s="52"/>
      <c r="U19" s="173"/>
      <c r="V19" s="173"/>
      <c r="W19" s="173"/>
      <c r="X19" s="173"/>
      <c r="Y19" s="173"/>
      <c r="Z19" s="173"/>
      <c r="AA19" s="173"/>
      <c r="AB19" s="173"/>
      <c r="AC19" s="173"/>
      <c r="AD19" s="173"/>
      <c r="AE19" s="173"/>
      <c r="AF19" s="173"/>
      <c r="AG19" s="173"/>
      <c r="AH19" s="173"/>
    </row>
    <row r="20" spans="3:34" s="235" customFormat="1" hidden="1">
      <c r="C20" s="1126"/>
      <c r="D20" s="175" t="str">
        <f>IF(Indice_index!$Z$1=1,"dezembro","December")</f>
        <v>December</v>
      </c>
      <c r="E20" s="175">
        <v>387210</v>
      </c>
      <c r="F20" s="175">
        <v>75236</v>
      </c>
      <c r="G20" s="175">
        <v>140821</v>
      </c>
      <c r="H20" s="175">
        <v>603267</v>
      </c>
      <c r="I20" s="174">
        <v>1084.5</v>
      </c>
      <c r="K20" s="175">
        <v>531814</v>
      </c>
      <c r="R20" s="52"/>
      <c r="S20" s="52"/>
      <c r="T20" s="52"/>
      <c r="U20" s="173"/>
      <c r="V20" s="173"/>
      <c r="W20" s="173"/>
      <c r="X20" s="173"/>
      <c r="Y20" s="173"/>
      <c r="Z20" s="173"/>
      <c r="AA20" s="173"/>
      <c r="AB20" s="173"/>
      <c r="AC20" s="173"/>
      <c r="AD20" s="173"/>
      <c r="AE20" s="173"/>
      <c r="AF20" s="173"/>
      <c r="AG20" s="173"/>
      <c r="AH20" s="173"/>
    </row>
    <row r="21" spans="3:34" s="235" customFormat="1" hidden="1">
      <c r="C21" s="1126" t="s">
        <v>16</v>
      </c>
      <c r="D21" s="174"/>
      <c r="E21" s="175"/>
      <c r="F21" s="175"/>
      <c r="G21" s="175"/>
      <c r="H21" s="175"/>
      <c r="I21" s="174"/>
      <c r="K21" s="175"/>
      <c r="R21" s="52"/>
      <c r="S21" s="52"/>
      <c r="T21" s="52"/>
      <c r="U21" s="173"/>
      <c r="V21" s="173"/>
      <c r="W21" s="173"/>
      <c r="X21" s="173"/>
      <c r="Y21" s="173"/>
      <c r="Z21" s="173"/>
      <c r="AA21" s="173"/>
      <c r="AB21" s="173"/>
      <c r="AC21" s="173"/>
      <c r="AD21" s="173"/>
      <c r="AE21" s="173"/>
      <c r="AF21" s="173"/>
      <c r="AG21" s="173"/>
      <c r="AH21" s="173"/>
    </row>
    <row r="22" spans="3:34" s="235" customFormat="1" hidden="1">
      <c r="C22" s="1126"/>
      <c r="D22" s="175" t="str">
        <f>IF(Indice_index!$Z$1=1,"janeiro","January")</f>
        <v>January</v>
      </c>
      <c r="E22" s="175">
        <v>388145</v>
      </c>
      <c r="F22" s="175">
        <v>75252</v>
      </c>
      <c r="G22" s="175">
        <v>140963</v>
      </c>
      <c r="H22" s="175">
        <v>604360</v>
      </c>
      <c r="I22" s="174">
        <v>1077.0999999999999</v>
      </c>
      <c r="K22" s="175">
        <v>529560</v>
      </c>
      <c r="R22" s="52"/>
      <c r="S22" s="52"/>
      <c r="T22" s="52"/>
      <c r="U22" s="173"/>
      <c r="V22" s="173"/>
      <c r="W22" s="173"/>
      <c r="X22" s="173"/>
      <c r="Y22" s="173"/>
      <c r="Z22" s="173"/>
      <c r="AA22" s="173"/>
      <c r="AB22" s="173"/>
      <c r="AC22" s="173"/>
      <c r="AD22" s="173"/>
      <c r="AE22" s="173"/>
      <c r="AF22" s="173"/>
      <c r="AG22" s="173"/>
      <c r="AH22" s="173"/>
    </row>
    <row r="23" spans="3:34" s="235" customFormat="1" hidden="1">
      <c r="C23" s="1128"/>
      <c r="D23" s="175" t="str">
        <f>IF(Indice_index!$Z$1=1,"fevereiro","February")</f>
        <v>February</v>
      </c>
      <c r="E23" s="175">
        <v>388784</v>
      </c>
      <c r="F23" s="175">
        <v>75256</v>
      </c>
      <c r="G23" s="175">
        <v>141107</v>
      </c>
      <c r="H23" s="175">
        <v>605147</v>
      </c>
      <c r="I23" s="174">
        <v>1260</v>
      </c>
      <c r="K23" s="175">
        <v>528161</v>
      </c>
      <c r="R23" s="52"/>
      <c r="S23" s="52"/>
      <c r="T23" s="52"/>
      <c r="U23" s="173"/>
      <c r="V23" s="173"/>
      <c r="W23" s="173"/>
      <c r="X23" s="173"/>
      <c r="Y23" s="173"/>
      <c r="Z23" s="173"/>
      <c r="AA23" s="173"/>
      <c r="AB23" s="173"/>
      <c r="AC23" s="173"/>
      <c r="AD23" s="173"/>
      <c r="AE23" s="173"/>
      <c r="AF23" s="173"/>
      <c r="AG23" s="173"/>
      <c r="AH23" s="173"/>
    </row>
    <row r="24" spans="3:34" s="235" customFormat="1" hidden="1">
      <c r="C24" s="1128"/>
      <c r="D24" s="175" t="str">
        <f>IF(Indice_index!$Z$1=1,"março","March")</f>
        <v>March</v>
      </c>
      <c r="E24" s="175">
        <v>389591</v>
      </c>
      <c r="F24" s="175">
        <v>75178</v>
      </c>
      <c r="G24" s="175">
        <v>140973</v>
      </c>
      <c r="H24" s="175">
        <v>605742</v>
      </c>
      <c r="I24" s="174">
        <v>1167</v>
      </c>
      <c r="K24" s="175">
        <v>527141</v>
      </c>
      <c r="R24" s="52"/>
      <c r="S24" s="52"/>
      <c r="T24" s="52"/>
      <c r="U24" s="173"/>
      <c r="V24" s="173"/>
      <c r="W24" s="173"/>
      <c r="X24" s="173"/>
      <c r="Y24" s="173"/>
      <c r="Z24" s="173"/>
      <c r="AA24" s="173"/>
      <c r="AB24" s="173"/>
      <c r="AC24" s="173"/>
      <c r="AD24" s="173"/>
      <c r="AE24" s="173"/>
      <c r="AF24" s="173"/>
      <c r="AG24" s="173"/>
      <c r="AH24" s="173"/>
    </row>
    <row r="25" spans="3:34" s="235" customFormat="1" hidden="1">
      <c r="C25" s="1128"/>
      <c r="D25" s="175" t="str">
        <f>IF(Indice_index!$Z$1=1,"abril","April")</f>
        <v>April</v>
      </c>
      <c r="E25" s="175">
        <v>390630</v>
      </c>
      <c r="F25" s="175">
        <v>75166</v>
      </c>
      <c r="G25" s="175">
        <v>141087</v>
      </c>
      <c r="H25" s="175">
        <v>606883</v>
      </c>
      <c r="I25" s="174">
        <v>1175.7</v>
      </c>
      <c r="K25" s="175">
        <v>525479</v>
      </c>
      <c r="R25" s="52"/>
      <c r="S25" s="52"/>
      <c r="T25" s="52"/>
      <c r="U25" s="173"/>
      <c r="V25" s="173"/>
      <c r="W25" s="173"/>
      <c r="X25" s="173"/>
      <c r="Y25" s="173"/>
      <c r="Z25" s="173"/>
      <c r="AA25" s="173"/>
      <c r="AB25" s="173"/>
      <c r="AC25" s="173"/>
      <c r="AD25" s="173"/>
      <c r="AE25" s="173"/>
      <c r="AF25" s="173"/>
      <c r="AG25" s="173"/>
      <c r="AH25" s="173"/>
    </row>
    <row r="26" spans="3:34" s="235" customFormat="1" hidden="1">
      <c r="C26" s="1128"/>
      <c r="D26" s="175" t="str">
        <f>IF(Indice_index!$Z$1=1,"maio","May")</f>
        <v>May</v>
      </c>
      <c r="E26" s="175">
        <v>391666</v>
      </c>
      <c r="F26" s="175">
        <v>75184</v>
      </c>
      <c r="G26" s="175">
        <v>141293</v>
      </c>
      <c r="H26" s="175">
        <v>608143</v>
      </c>
      <c r="I26" s="174">
        <v>1168.3</v>
      </c>
      <c r="K26" s="175">
        <v>524195</v>
      </c>
      <c r="R26" s="52"/>
      <c r="S26" s="52"/>
      <c r="T26" s="52"/>
      <c r="U26" s="173"/>
      <c r="V26" s="173"/>
      <c r="W26" s="173"/>
      <c r="X26" s="173"/>
      <c r="Y26" s="173"/>
      <c r="Z26" s="173"/>
      <c r="AA26" s="173"/>
      <c r="AB26" s="173"/>
      <c r="AC26" s="173"/>
      <c r="AD26" s="173"/>
      <c r="AE26" s="173"/>
      <c r="AF26" s="173"/>
      <c r="AG26" s="173"/>
      <c r="AH26" s="173"/>
    </row>
    <row r="27" spans="3:34" s="235" customFormat="1" hidden="1">
      <c r="C27" s="1128"/>
      <c r="D27" s="175" t="str">
        <f>IF(Indice_index!$Z$1=1,"junho","June")</f>
        <v>June</v>
      </c>
      <c r="E27" s="175">
        <v>392161</v>
      </c>
      <c r="F27" s="175">
        <v>75379</v>
      </c>
      <c r="G27" s="175">
        <v>141509</v>
      </c>
      <c r="H27" s="175">
        <v>609049</v>
      </c>
      <c r="I27" s="174">
        <v>1168.9000000000001</v>
      </c>
      <c r="K27" s="175">
        <v>522518</v>
      </c>
      <c r="R27" s="52"/>
      <c r="S27" s="52"/>
      <c r="T27" s="52"/>
      <c r="U27" s="173"/>
      <c r="V27" s="173"/>
      <c r="W27" s="173"/>
      <c r="X27" s="173"/>
      <c r="Y27" s="173"/>
      <c r="Z27" s="173"/>
      <c r="AA27" s="173"/>
      <c r="AB27" s="173"/>
      <c r="AC27" s="173"/>
      <c r="AD27" s="173"/>
      <c r="AE27" s="173"/>
      <c r="AF27" s="173"/>
      <c r="AG27" s="173"/>
      <c r="AH27" s="173"/>
    </row>
    <row r="28" spans="3:34" s="235" customFormat="1" hidden="1">
      <c r="C28" s="1128"/>
      <c r="D28" s="175" t="str">
        <f>IF(Indice_index!$Z$1=1,"julho","July")</f>
        <v>July</v>
      </c>
      <c r="E28" s="175">
        <v>392681</v>
      </c>
      <c r="F28" s="175">
        <v>75366</v>
      </c>
      <c r="G28" s="175">
        <v>141588</v>
      </c>
      <c r="H28" s="175">
        <v>609635</v>
      </c>
      <c r="I28" s="174">
        <v>1455.6</v>
      </c>
      <c r="K28" s="175">
        <v>520906</v>
      </c>
      <c r="R28" s="52"/>
      <c r="S28" s="52"/>
      <c r="T28" s="52"/>
      <c r="U28" s="173"/>
      <c r="V28" s="173"/>
      <c r="W28" s="173"/>
      <c r="X28" s="173"/>
      <c r="Y28" s="173"/>
      <c r="Z28" s="173"/>
      <c r="AA28" s="173"/>
      <c r="AB28" s="173"/>
      <c r="AC28" s="173"/>
      <c r="AD28" s="173"/>
      <c r="AE28" s="173"/>
      <c r="AF28" s="173"/>
      <c r="AG28" s="173"/>
      <c r="AH28" s="173"/>
    </row>
    <row r="29" spans="3:34" s="235" customFormat="1" hidden="1">
      <c r="C29" s="1128"/>
      <c r="D29" s="175" t="str">
        <f>IF(Indice_index!$Z$1=1,"agosto","August")</f>
        <v>August</v>
      </c>
      <c r="E29" s="175">
        <v>392934</v>
      </c>
      <c r="F29" s="175">
        <v>75334</v>
      </c>
      <c r="G29" s="175">
        <v>141928</v>
      </c>
      <c r="H29" s="175">
        <v>610196</v>
      </c>
      <c r="I29" s="174">
        <v>1170</v>
      </c>
      <c r="K29" s="175">
        <v>518485</v>
      </c>
      <c r="R29" s="52"/>
      <c r="S29" s="52"/>
      <c r="T29" s="52"/>
      <c r="U29" s="173"/>
      <c r="V29" s="173"/>
      <c r="W29" s="173"/>
      <c r="X29" s="173"/>
      <c r="Y29" s="173"/>
      <c r="Z29" s="173"/>
      <c r="AA29" s="173"/>
      <c r="AB29" s="173"/>
      <c r="AC29" s="173"/>
      <c r="AD29" s="173"/>
      <c r="AE29" s="173"/>
      <c r="AF29" s="173"/>
      <c r="AG29" s="173"/>
      <c r="AH29" s="173"/>
    </row>
    <row r="30" spans="3:34" s="235" customFormat="1" hidden="1">
      <c r="C30" s="1128"/>
      <c r="D30" s="175" t="str">
        <f>IF(Indice_index!$Z$1=1,"setembro","September")</f>
        <v>September</v>
      </c>
      <c r="E30" s="175">
        <v>393003</v>
      </c>
      <c r="F30" s="175">
        <v>75221</v>
      </c>
      <c r="G30" s="175">
        <v>141747</v>
      </c>
      <c r="H30" s="175">
        <v>609971</v>
      </c>
      <c r="I30" s="174">
        <v>1168.3</v>
      </c>
      <c r="K30" s="175">
        <v>514324</v>
      </c>
      <c r="R30" s="52"/>
      <c r="S30" s="52"/>
      <c r="T30" s="52"/>
      <c r="U30" s="173"/>
      <c r="V30" s="173"/>
      <c r="W30" s="173"/>
      <c r="X30" s="173"/>
      <c r="Y30" s="173"/>
      <c r="Z30" s="173"/>
      <c r="AA30" s="173"/>
      <c r="AB30" s="173"/>
      <c r="AC30" s="173"/>
      <c r="AD30" s="173"/>
      <c r="AE30" s="173"/>
      <c r="AF30" s="173"/>
      <c r="AG30" s="173"/>
      <c r="AH30" s="173"/>
    </row>
    <row r="31" spans="3:34" s="235" customFormat="1" hidden="1">
      <c r="C31" s="1128"/>
      <c r="D31" s="175" t="str">
        <f>IF(Indice_index!$Z$1=1,"outubro","October")</f>
        <v>October</v>
      </c>
      <c r="E31" s="175">
        <v>393366</v>
      </c>
      <c r="F31" s="175">
        <v>75145</v>
      </c>
      <c r="G31" s="175">
        <v>141879</v>
      </c>
      <c r="H31" s="175">
        <v>610390</v>
      </c>
      <c r="I31" s="174">
        <v>1191.9000000000001</v>
      </c>
      <c r="K31" s="175">
        <v>512853</v>
      </c>
      <c r="R31" s="52"/>
      <c r="S31" s="52"/>
      <c r="T31" s="52"/>
      <c r="U31" s="173"/>
      <c r="V31" s="173"/>
      <c r="W31" s="173"/>
      <c r="X31" s="173"/>
      <c r="Y31" s="173"/>
      <c r="Z31" s="173"/>
      <c r="AA31" s="173"/>
      <c r="AB31" s="173"/>
      <c r="AC31" s="173"/>
      <c r="AD31" s="173"/>
      <c r="AE31" s="173"/>
      <c r="AF31" s="173"/>
      <c r="AG31" s="173"/>
      <c r="AH31" s="173"/>
    </row>
    <row r="32" spans="3:34" s="235" customFormat="1" hidden="1">
      <c r="C32" s="1128"/>
      <c r="D32" s="175" t="str">
        <f>IF(Indice_index!$Z$1=1,"novembro","November")</f>
        <v>November</v>
      </c>
      <c r="E32" s="175">
        <v>394675</v>
      </c>
      <c r="F32" s="175">
        <v>75318</v>
      </c>
      <c r="G32" s="175">
        <v>142341</v>
      </c>
      <c r="H32" s="175">
        <v>612334</v>
      </c>
      <c r="I32" s="174">
        <v>1947.9</v>
      </c>
      <c r="K32" s="175">
        <v>511640</v>
      </c>
      <c r="R32" s="52"/>
      <c r="S32" s="52"/>
      <c r="T32" s="52"/>
      <c r="U32" s="173"/>
      <c r="V32" s="173"/>
      <c r="W32" s="173"/>
      <c r="X32" s="173"/>
      <c r="Y32" s="173"/>
      <c r="Z32" s="173"/>
      <c r="AA32" s="173"/>
      <c r="AB32" s="173"/>
      <c r="AC32" s="173"/>
      <c r="AD32" s="173"/>
      <c r="AE32" s="173"/>
      <c r="AF32" s="173"/>
      <c r="AG32" s="173"/>
      <c r="AH32" s="173"/>
    </row>
    <row r="33" spans="3:34" s="235" customFormat="1" hidden="1">
      <c r="C33" s="1128"/>
      <c r="D33" s="175" t="str">
        <f>IF(Indice_index!$Z$1=1,"dezembro","December")</f>
        <v>December</v>
      </c>
      <c r="E33" s="175">
        <v>395901</v>
      </c>
      <c r="F33" s="175">
        <v>75248</v>
      </c>
      <c r="G33" s="175">
        <v>142747</v>
      </c>
      <c r="H33" s="175">
        <v>613896</v>
      </c>
      <c r="I33" s="174">
        <v>1179.4000000000001</v>
      </c>
      <c r="K33" s="175">
        <v>509869</v>
      </c>
      <c r="R33" s="52"/>
      <c r="S33" s="52"/>
      <c r="T33" s="52"/>
      <c r="U33" s="173"/>
      <c r="V33" s="173"/>
      <c r="W33" s="173"/>
      <c r="X33" s="173"/>
      <c r="Y33" s="173"/>
      <c r="Z33" s="173"/>
      <c r="AA33" s="173"/>
      <c r="AB33" s="173"/>
      <c r="AC33" s="173"/>
      <c r="AD33" s="173"/>
      <c r="AE33" s="173"/>
      <c r="AF33" s="173"/>
      <c r="AG33" s="173"/>
      <c r="AH33" s="173"/>
    </row>
    <row r="34" spans="3:34" s="235" customFormat="1" hidden="1">
      <c r="C34" s="1126" t="s">
        <v>17</v>
      </c>
      <c r="D34" s="175"/>
      <c r="E34" s="175"/>
      <c r="F34" s="175"/>
      <c r="G34" s="175"/>
      <c r="H34" s="175"/>
      <c r="I34" s="174"/>
      <c r="K34" s="174"/>
      <c r="R34" s="52"/>
      <c r="S34" s="52"/>
      <c r="T34" s="52"/>
      <c r="U34" s="173"/>
      <c r="V34" s="173"/>
      <c r="W34" s="173"/>
      <c r="X34" s="173"/>
      <c r="Y34" s="173"/>
      <c r="Z34" s="173"/>
      <c r="AA34" s="173"/>
      <c r="AB34" s="173"/>
      <c r="AC34" s="173"/>
      <c r="AD34" s="173"/>
      <c r="AE34" s="173"/>
      <c r="AF34" s="173"/>
      <c r="AG34" s="173"/>
      <c r="AH34" s="173"/>
    </row>
    <row r="35" spans="3:34" s="235" customFormat="1" hidden="1">
      <c r="C35" s="1128"/>
      <c r="D35" s="175" t="str">
        <f>IF(Indice_index!$Z$1=1,"janeiro","January")</f>
        <v>January</v>
      </c>
      <c r="E35" s="175">
        <v>396763</v>
      </c>
      <c r="F35" s="175">
        <v>75359</v>
      </c>
      <c r="G35" s="175">
        <v>142835</v>
      </c>
      <c r="H35" s="175">
        <v>614957</v>
      </c>
      <c r="I35" s="174">
        <v>1186.4000000000001</v>
      </c>
      <c r="K35" s="175">
        <v>506394</v>
      </c>
      <c r="R35" s="52"/>
      <c r="S35" s="52"/>
      <c r="T35" s="52"/>
      <c r="U35" s="173"/>
      <c r="V35" s="173"/>
      <c r="W35" s="173"/>
      <c r="X35" s="173"/>
      <c r="Y35" s="173"/>
      <c r="Z35" s="173"/>
      <c r="AA35" s="173"/>
      <c r="AB35" s="173"/>
      <c r="AC35" s="173"/>
      <c r="AD35" s="173"/>
      <c r="AE35" s="173"/>
      <c r="AF35" s="173"/>
      <c r="AG35" s="173"/>
      <c r="AH35" s="173"/>
    </row>
    <row r="36" spans="3:34" s="235" customFormat="1" hidden="1">
      <c r="C36" s="1128"/>
      <c r="D36" s="175" t="str">
        <f>IF(Indice_index!$Z$1=1,"fevereiro","February")</f>
        <v>February</v>
      </c>
      <c r="E36" s="175">
        <v>397263</v>
      </c>
      <c r="F36" s="175">
        <v>75266</v>
      </c>
      <c r="G36" s="175">
        <v>142920</v>
      </c>
      <c r="H36" s="175">
        <v>615449</v>
      </c>
      <c r="I36" s="174">
        <v>1159.7</v>
      </c>
      <c r="K36" s="175">
        <v>504549</v>
      </c>
      <c r="R36" s="52"/>
      <c r="S36" s="52"/>
      <c r="T36" s="52"/>
      <c r="U36" s="173"/>
      <c r="V36" s="173"/>
      <c r="W36" s="173"/>
      <c r="X36" s="173"/>
      <c r="Y36" s="173"/>
      <c r="Z36" s="173"/>
      <c r="AA36" s="173"/>
      <c r="AB36" s="173"/>
      <c r="AC36" s="173"/>
      <c r="AD36" s="173"/>
      <c r="AE36" s="173"/>
      <c r="AF36" s="173"/>
      <c r="AG36" s="173"/>
      <c r="AH36" s="173"/>
    </row>
    <row r="37" spans="3:34" s="235" customFormat="1" hidden="1">
      <c r="C37" s="1128"/>
      <c r="D37" s="175" t="str">
        <f>IF(Indice_index!$Z$1=1,"março","March")</f>
        <v>March</v>
      </c>
      <c r="E37" s="175">
        <v>397932</v>
      </c>
      <c r="F37" s="175">
        <v>75141</v>
      </c>
      <c r="G37" s="175">
        <v>143128</v>
      </c>
      <c r="H37" s="175">
        <v>616201</v>
      </c>
      <c r="I37" s="174">
        <v>1159.0999999999999</v>
      </c>
      <c r="K37" s="175">
        <v>502632</v>
      </c>
      <c r="R37" s="52"/>
      <c r="S37" s="52"/>
      <c r="T37" s="52"/>
      <c r="U37" s="173"/>
      <c r="V37" s="173"/>
      <c r="W37" s="173"/>
      <c r="X37" s="173"/>
      <c r="Y37" s="173"/>
      <c r="Z37" s="173"/>
      <c r="AA37" s="173"/>
      <c r="AB37" s="173"/>
      <c r="AC37" s="173"/>
      <c r="AD37" s="173"/>
      <c r="AE37" s="173"/>
      <c r="AF37" s="173"/>
      <c r="AG37" s="173"/>
      <c r="AH37" s="173"/>
    </row>
    <row r="38" spans="3:34" s="235" customFormat="1" hidden="1">
      <c r="C38" s="1128"/>
      <c r="D38" s="175" t="str">
        <f>IF(Indice_index!$Z$1=1,"abril","April")</f>
        <v>April</v>
      </c>
      <c r="E38" s="175">
        <v>398439</v>
      </c>
      <c r="F38" s="175">
        <v>75278</v>
      </c>
      <c r="G38" s="175">
        <v>143389</v>
      </c>
      <c r="H38" s="175">
        <v>617106</v>
      </c>
      <c r="I38" s="174">
        <v>1162.0999999999999</v>
      </c>
      <c r="K38" s="175">
        <v>500432</v>
      </c>
      <c r="R38" s="52"/>
      <c r="S38" s="52"/>
      <c r="T38" s="52"/>
      <c r="U38" s="173"/>
      <c r="V38" s="173"/>
      <c r="W38" s="173"/>
      <c r="X38" s="173"/>
      <c r="Y38" s="173"/>
      <c r="Z38" s="173"/>
      <c r="AA38" s="173"/>
      <c r="AB38" s="173"/>
      <c r="AC38" s="173"/>
      <c r="AD38" s="173"/>
      <c r="AE38" s="173"/>
      <c r="AF38" s="173"/>
      <c r="AG38" s="173"/>
      <c r="AH38" s="173"/>
    </row>
    <row r="39" spans="3:34" s="235" customFormat="1" hidden="1">
      <c r="C39" s="1128"/>
      <c r="D39" s="175" t="str">
        <f>IF(Indice_index!$Z$1=1,"maio","May")</f>
        <v>May</v>
      </c>
      <c r="E39" s="175">
        <v>399256</v>
      </c>
      <c r="F39" s="175">
        <v>75235</v>
      </c>
      <c r="G39" s="175">
        <v>143535</v>
      </c>
      <c r="H39" s="175">
        <v>618026</v>
      </c>
      <c r="I39" s="174">
        <v>1157.7</v>
      </c>
      <c r="K39" s="175">
        <v>498495</v>
      </c>
      <c r="R39" s="52"/>
      <c r="S39" s="52"/>
      <c r="T39" s="52"/>
      <c r="U39" s="173"/>
      <c r="V39" s="173"/>
      <c r="W39" s="173"/>
      <c r="X39" s="173"/>
      <c r="Y39" s="173"/>
      <c r="Z39" s="173"/>
      <c r="AA39" s="173"/>
      <c r="AB39" s="173"/>
      <c r="AC39" s="173"/>
      <c r="AD39" s="173"/>
      <c r="AE39" s="173"/>
      <c r="AF39" s="173"/>
      <c r="AG39" s="173"/>
      <c r="AH39" s="173"/>
    </row>
    <row r="40" spans="3:34" s="235" customFormat="1" hidden="1">
      <c r="C40" s="1128"/>
      <c r="D40" s="175" t="str">
        <f>IF(Indice_index!$Z$1=1,"junho","June")</f>
        <v>June</v>
      </c>
      <c r="E40" s="175">
        <v>400007</v>
      </c>
      <c r="F40" s="175">
        <v>75203</v>
      </c>
      <c r="G40" s="175">
        <v>143766</v>
      </c>
      <c r="H40" s="175">
        <v>618976</v>
      </c>
      <c r="I40" s="174">
        <v>1158.5</v>
      </c>
      <c r="K40" s="175">
        <v>496204</v>
      </c>
      <c r="R40" s="52"/>
      <c r="S40" s="52"/>
      <c r="T40" s="52"/>
      <c r="U40" s="173"/>
      <c r="V40" s="173"/>
      <c r="W40" s="173"/>
      <c r="X40" s="173"/>
      <c r="Y40" s="173"/>
      <c r="Z40" s="173"/>
      <c r="AA40" s="173"/>
      <c r="AB40" s="173"/>
      <c r="AC40" s="173"/>
      <c r="AD40" s="173"/>
      <c r="AE40" s="173"/>
      <c r="AF40" s="173"/>
      <c r="AG40" s="173"/>
      <c r="AH40" s="173"/>
    </row>
    <row r="41" spans="3:34" s="235" customFormat="1" hidden="1">
      <c r="C41" s="1128"/>
      <c r="D41" s="175" t="str">
        <f>IF(Indice_index!$Z$1=1,"julho","July")</f>
        <v>July</v>
      </c>
      <c r="E41" s="175">
        <v>401116</v>
      </c>
      <c r="F41" s="175">
        <v>75124</v>
      </c>
      <c r="G41" s="175">
        <v>156493</v>
      </c>
      <c r="H41" s="175">
        <v>632733</v>
      </c>
      <c r="I41" s="174">
        <v>2155.4</v>
      </c>
      <c r="K41" s="175">
        <v>493968</v>
      </c>
      <c r="R41" s="52"/>
      <c r="S41" s="52"/>
      <c r="T41" s="52"/>
      <c r="U41" s="173"/>
      <c r="V41" s="173"/>
      <c r="W41" s="173"/>
      <c r="X41" s="173"/>
      <c r="Y41" s="173"/>
      <c r="Z41" s="173"/>
      <c r="AA41" s="173"/>
      <c r="AB41" s="173"/>
      <c r="AC41" s="173"/>
      <c r="AD41" s="173"/>
      <c r="AE41" s="173"/>
      <c r="AF41" s="173"/>
      <c r="AG41" s="173"/>
      <c r="AH41" s="173"/>
    </row>
    <row r="42" spans="3:34" s="235" customFormat="1" hidden="1">
      <c r="C42" s="1128"/>
      <c r="D42" s="175" t="str">
        <f>IF(Indice_index!$Z$1=1,"agosto","August")</f>
        <v>August</v>
      </c>
      <c r="E42" s="175">
        <v>403188</v>
      </c>
      <c r="F42" s="175">
        <v>75226</v>
      </c>
      <c r="G42" s="175">
        <v>156768</v>
      </c>
      <c r="H42" s="175">
        <v>635182</v>
      </c>
      <c r="I42" s="174">
        <v>1185.7</v>
      </c>
      <c r="K42" s="175">
        <v>492048</v>
      </c>
      <c r="R42" s="52"/>
      <c r="S42" s="52"/>
      <c r="T42" s="52"/>
      <c r="U42" s="173"/>
      <c r="V42" s="173"/>
      <c r="W42" s="173"/>
      <c r="X42" s="173"/>
      <c r="Y42" s="173"/>
      <c r="Z42" s="173"/>
      <c r="AA42" s="173"/>
      <c r="AB42" s="173"/>
      <c r="AC42" s="173"/>
      <c r="AD42" s="173"/>
      <c r="AE42" s="173"/>
      <c r="AF42" s="173"/>
      <c r="AG42" s="173"/>
      <c r="AH42" s="173"/>
    </row>
    <row r="43" spans="3:34" s="235" customFormat="1" hidden="1">
      <c r="C43" s="1128"/>
      <c r="D43" s="175" t="str">
        <f>IF(Indice_index!$Z$1=1,"setembro","September")</f>
        <v>September</v>
      </c>
      <c r="E43" s="175">
        <v>404943</v>
      </c>
      <c r="F43" s="175">
        <v>75323</v>
      </c>
      <c r="G43" s="175">
        <v>156636</v>
      </c>
      <c r="H43" s="175">
        <v>636902</v>
      </c>
      <c r="I43" s="174">
        <v>1141.7</v>
      </c>
      <c r="K43" s="175">
        <v>488783</v>
      </c>
      <c r="R43" s="52"/>
      <c r="S43" s="52"/>
      <c r="T43" s="52"/>
      <c r="U43" s="173"/>
      <c r="V43" s="173"/>
      <c r="W43" s="173"/>
      <c r="X43" s="173"/>
      <c r="Y43" s="173"/>
      <c r="Z43" s="173"/>
      <c r="AA43" s="173"/>
      <c r="AB43" s="173"/>
      <c r="AC43" s="173"/>
      <c r="AD43" s="173"/>
      <c r="AE43" s="173"/>
      <c r="AF43" s="173"/>
      <c r="AG43" s="173"/>
      <c r="AH43" s="173"/>
    </row>
    <row r="44" spans="3:34" s="235" customFormat="1" hidden="1">
      <c r="C44" s="1128"/>
      <c r="D44" s="175" t="str">
        <f>IF(Indice_index!$Z$1=1,"outubro","October")</f>
        <v>October</v>
      </c>
      <c r="E44" s="175">
        <v>405843</v>
      </c>
      <c r="F44" s="175">
        <v>75237</v>
      </c>
      <c r="G44" s="175">
        <v>156863</v>
      </c>
      <c r="H44" s="175">
        <v>637943</v>
      </c>
      <c r="I44" s="174">
        <v>1151.4000000000001</v>
      </c>
      <c r="K44" s="175">
        <v>487328</v>
      </c>
      <c r="R44" s="52"/>
      <c r="S44" s="52"/>
      <c r="T44" s="52"/>
      <c r="U44" s="173"/>
      <c r="V44" s="173"/>
      <c r="W44" s="173"/>
      <c r="X44" s="173"/>
      <c r="Y44" s="173"/>
      <c r="Z44" s="173"/>
      <c r="AA44" s="173"/>
      <c r="AB44" s="173"/>
      <c r="AC44" s="173"/>
      <c r="AD44" s="173"/>
      <c r="AE44" s="173"/>
      <c r="AF44" s="173"/>
      <c r="AG44" s="173"/>
      <c r="AH44" s="173"/>
    </row>
    <row r="45" spans="3:34" s="235" customFormat="1" hidden="1">
      <c r="C45" s="1128"/>
      <c r="D45" s="175" t="str">
        <f>IF(Indice_index!$Z$1=1,"novembro","November")</f>
        <v>November</v>
      </c>
      <c r="E45" s="175">
        <v>406835</v>
      </c>
      <c r="F45" s="175">
        <v>75169</v>
      </c>
      <c r="G45" s="175">
        <v>157124</v>
      </c>
      <c r="H45" s="175">
        <v>639128</v>
      </c>
      <c r="I45" s="174">
        <v>1146.0999999999999</v>
      </c>
      <c r="K45" s="175">
        <v>485819</v>
      </c>
      <c r="R45" s="52"/>
      <c r="S45" s="52"/>
      <c r="T45" s="52"/>
      <c r="U45" s="173"/>
      <c r="V45" s="173"/>
      <c r="W45" s="173"/>
      <c r="X45" s="173"/>
      <c r="Y45" s="173"/>
      <c r="Z45" s="173"/>
      <c r="AA45" s="173"/>
      <c r="AB45" s="173"/>
      <c r="AC45" s="173"/>
      <c r="AD45" s="173"/>
      <c r="AE45" s="173"/>
      <c r="AF45" s="173"/>
      <c r="AG45" s="173"/>
      <c r="AH45" s="173"/>
    </row>
    <row r="46" spans="3:34" s="235" customFormat="1" hidden="1">
      <c r="C46" s="1128"/>
      <c r="D46" s="175" t="str">
        <f>IF(Indice_index!$Z$1=1,"dezembro","December")</f>
        <v>December</v>
      </c>
      <c r="E46" s="175">
        <v>407620</v>
      </c>
      <c r="F46" s="175">
        <v>75086</v>
      </c>
      <c r="G46" s="175">
        <v>157273</v>
      </c>
      <c r="H46" s="175">
        <v>639979</v>
      </c>
      <c r="I46" s="174">
        <v>1187.0999999999999</v>
      </c>
      <c r="K46" s="175">
        <v>484526</v>
      </c>
      <c r="R46" s="52"/>
      <c r="S46" s="52"/>
      <c r="T46" s="52"/>
      <c r="U46" s="173"/>
      <c r="V46" s="173"/>
      <c r="W46" s="173"/>
      <c r="X46" s="173"/>
      <c r="Y46" s="173"/>
      <c r="Z46" s="173"/>
      <c r="AA46" s="173"/>
      <c r="AB46" s="173"/>
      <c r="AC46" s="173"/>
      <c r="AD46" s="173"/>
      <c r="AE46" s="173"/>
      <c r="AF46" s="173"/>
      <c r="AG46" s="173"/>
      <c r="AH46" s="173"/>
    </row>
    <row r="47" spans="3:34" s="235" customFormat="1" hidden="1">
      <c r="C47" s="1126" t="s">
        <v>18</v>
      </c>
      <c r="D47" s="175"/>
      <c r="E47" s="175"/>
      <c r="F47" s="175"/>
      <c r="G47" s="175"/>
      <c r="H47" s="175"/>
      <c r="I47" s="174"/>
      <c r="K47" s="175"/>
      <c r="R47" s="52"/>
      <c r="S47" s="52"/>
      <c r="T47" s="52"/>
      <c r="U47" s="173"/>
      <c r="V47" s="173"/>
      <c r="W47" s="173"/>
      <c r="X47" s="173"/>
      <c r="Y47" s="173"/>
      <c r="Z47" s="173"/>
      <c r="AA47" s="173"/>
      <c r="AB47" s="173"/>
      <c r="AC47" s="173"/>
      <c r="AD47" s="173"/>
      <c r="AE47" s="173"/>
      <c r="AF47" s="173"/>
      <c r="AG47" s="173"/>
      <c r="AH47" s="173"/>
    </row>
    <row r="48" spans="3:34" s="235" customFormat="1" hidden="1">
      <c r="C48" s="1128"/>
      <c r="D48" s="175" t="str">
        <f>IF(Indice_index!$Z$1=1,"janeiro","January")</f>
        <v>January</v>
      </c>
      <c r="E48" s="175">
        <v>408667</v>
      </c>
      <c r="F48" s="175">
        <v>75024</v>
      </c>
      <c r="G48" s="175">
        <v>157314</v>
      </c>
      <c r="H48" s="175">
        <v>641005</v>
      </c>
      <c r="I48" s="174">
        <v>1164.4000000000001</v>
      </c>
      <c r="K48" s="175">
        <v>482823</v>
      </c>
      <c r="R48" s="52"/>
      <c r="S48" s="52"/>
      <c r="T48" s="52"/>
      <c r="U48" s="173"/>
      <c r="V48" s="173"/>
      <c r="W48" s="173"/>
      <c r="X48" s="173"/>
      <c r="Y48" s="173"/>
      <c r="Z48" s="173"/>
      <c r="AA48" s="173"/>
      <c r="AB48" s="173"/>
      <c r="AC48" s="173"/>
      <c r="AD48" s="173"/>
      <c r="AE48" s="173"/>
      <c r="AF48" s="173"/>
      <c r="AG48" s="173"/>
      <c r="AH48" s="173"/>
    </row>
    <row r="49" spans="3:34" s="235" customFormat="1" hidden="1">
      <c r="C49" s="1128"/>
      <c r="D49" s="175" t="str">
        <f>IF(Indice_index!$Z$1=1,"fevereiro","February")</f>
        <v>February</v>
      </c>
      <c r="E49" s="175">
        <v>409396</v>
      </c>
      <c r="F49" s="175">
        <v>74874</v>
      </c>
      <c r="G49" s="175">
        <v>157126</v>
      </c>
      <c r="H49" s="175">
        <v>641396</v>
      </c>
      <c r="I49" s="174">
        <v>1145.4000000000001</v>
      </c>
      <c r="K49" s="175">
        <v>482096</v>
      </c>
      <c r="R49" s="52"/>
      <c r="S49" s="52"/>
      <c r="T49" s="52"/>
      <c r="U49" s="173"/>
      <c r="V49" s="173"/>
      <c r="W49" s="173"/>
      <c r="X49" s="173"/>
      <c r="Y49" s="173"/>
      <c r="Z49" s="173"/>
      <c r="AA49" s="173"/>
      <c r="AB49" s="173"/>
      <c r="AC49" s="173"/>
      <c r="AD49" s="173"/>
      <c r="AE49" s="173"/>
      <c r="AF49" s="173"/>
      <c r="AG49" s="173"/>
      <c r="AH49" s="173"/>
    </row>
    <row r="50" spans="3:34" s="235" customFormat="1" hidden="1">
      <c r="C50" s="1128"/>
      <c r="D50" s="175" t="str">
        <f>IF(Indice_index!$Z$1=1,"março","March")</f>
        <v>March</v>
      </c>
      <c r="E50" s="175">
        <v>410091</v>
      </c>
      <c r="F50" s="175">
        <v>74722</v>
      </c>
      <c r="G50" s="175">
        <v>156983</v>
      </c>
      <c r="H50" s="175">
        <v>641796</v>
      </c>
      <c r="I50" s="174">
        <v>1145.5999999999999</v>
      </c>
      <c r="K50" s="175">
        <v>481344</v>
      </c>
      <c r="R50" s="52"/>
      <c r="S50" s="52"/>
      <c r="T50" s="52"/>
      <c r="U50" s="173"/>
      <c r="V50" s="173"/>
      <c r="W50" s="173"/>
      <c r="X50" s="173"/>
      <c r="Y50" s="173"/>
      <c r="Z50" s="173"/>
      <c r="AA50" s="173"/>
      <c r="AB50" s="173"/>
      <c r="AC50" s="173"/>
      <c r="AD50" s="173"/>
      <c r="AE50" s="173"/>
      <c r="AF50" s="173"/>
      <c r="AG50" s="173"/>
      <c r="AH50" s="173"/>
    </row>
    <row r="51" spans="3:34" s="235" customFormat="1" hidden="1">
      <c r="C51" s="1128"/>
      <c r="D51" s="175" t="str">
        <f>IF(Indice_index!$Z$1=1,"abril","April")</f>
        <v>April</v>
      </c>
      <c r="E51" s="175">
        <v>410488</v>
      </c>
      <c r="F51" s="175">
        <v>74660</v>
      </c>
      <c r="G51" s="175">
        <v>157177</v>
      </c>
      <c r="H51" s="175">
        <v>642325</v>
      </c>
      <c r="I51" s="174">
        <v>1151</v>
      </c>
      <c r="K51" s="175">
        <v>480229</v>
      </c>
      <c r="R51" s="52"/>
      <c r="S51" s="52"/>
      <c r="T51" s="52"/>
      <c r="U51" s="173"/>
      <c r="V51" s="173"/>
      <c r="W51" s="173"/>
      <c r="X51" s="173"/>
      <c r="Y51" s="173"/>
      <c r="Z51" s="173"/>
      <c r="AA51" s="173"/>
      <c r="AB51" s="173"/>
      <c r="AC51" s="173"/>
      <c r="AD51" s="173"/>
      <c r="AE51" s="173"/>
      <c r="AF51" s="173"/>
      <c r="AG51" s="173"/>
      <c r="AH51" s="173"/>
    </row>
    <row r="52" spans="3:34" s="235" customFormat="1" hidden="1">
      <c r="C52" s="1128"/>
      <c r="D52" s="175" t="str">
        <f>IF(Indice_index!$Z$1=1,"maio","May")</f>
        <v>May</v>
      </c>
      <c r="E52" s="175">
        <v>411009</v>
      </c>
      <c r="F52" s="175">
        <v>74591</v>
      </c>
      <c r="G52" s="175">
        <v>158931</v>
      </c>
      <c r="H52" s="175">
        <v>644531</v>
      </c>
      <c r="I52" s="174">
        <v>1145.7</v>
      </c>
      <c r="K52" s="175">
        <v>479986</v>
      </c>
      <c r="R52" s="52"/>
      <c r="S52" s="52"/>
      <c r="T52" s="52"/>
      <c r="U52" s="173"/>
      <c r="V52" s="173"/>
      <c r="W52" s="173"/>
      <c r="X52" s="173"/>
      <c r="Y52" s="173"/>
      <c r="Z52" s="173"/>
      <c r="AA52" s="173"/>
      <c r="AB52" s="173"/>
      <c r="AC52" s="173"/>
      <c r="AD52" s="173"/>
      <c r="AE52" s="173"/>
      <c r="AF52" s="173"/>
      <c r="AG52" s="173"/>
      <c r="AH52" s="173"/>
    </row>
    <row r="53" spans="3:34" s="235" customFormat="1" hidden="1">
      <c r="C53" s="1128"/>
      <c r="D53" s="175" t="str">
        <f>IF(Indice_index!$Z$1=1,"junho","June")</f>
        <v>June</v>
      </c>
      <c r="E53" s="175">
        <v>411477</v>
      </c>
      <c r="F53" s="175">
        <v>74573</v>
      </c>
      <c r="G53" s="175">
        <v>159067</v>
      </c>
      <c r="H53" s="175">
        <v>645117</v>
      </c>
      <c r="I53" s="174">
        <v>1144</v>
      </c>
      <c r="K53" s="175">
        <v>479407</v>
      </c>
      <c r="R53" s="52"/>
      <c r="S53" s="52"/>
      <c r="T53" s="52"/>
      <c r="U53" s="173"/>
      <c r="V53" s="173"/>
      <c r="W53" s="173"/>
      <c r="X53" s="173"/>
      <c r="Y53" s="173"/>
      <c r="Z53" s="173"/>
      <c r="AA53" s="173"/>
      <c r="AB53" s="173"/>
      <c r="AC53" s="173"/>
      <c r="AD53" s="173"/>
      <c r="AE53" s="173"/>
      <c r="AF53" s="173"/>
      <c r="AG53" s="173"/>
      <c r="AH53" s="173"/>
    </row>
    <row r="54" spans="3:34" s="235" customFormat="1" hidden="1">
      <c r="C54" s="1128"/>
      <c r="D54" s="175" t="str">
        <f>IF(Indice_index!$Z$1=1,"julho","July")</f>
        <v>July</v>
      </c>
      <c r="E54" s="175">
        <v>411370</v>
      </c>
      <c r="F54" s="175">
        <v>74549</v>
      </c>
      <c r="G54" s="175">
        <v>159339</v>
      </c>
      <c r="H54" s="175">
        <v>645258</v>
      </c>
      <c r="I54" s="174">
        <v>2159.5</v>
      </c>
      <c r="K54" s="175">
        <v>478593</v>
      </c>
      <c r="R54" s="52"/>
      <c r="S54" s="52"/>
      <c r="T54" s="52"/>
      <c r="U54" s="173"/>
      <c r="V54" s="173"/>
      <c r="W54" s="173"/>
      <c r="X54" s="173"/>
      <c r="Y54" s="173"/>
      <c r="Z54" s="173"/>
      <c r="AA54" s="173"/>
      <c r="AB54" s="173"/>
      <c r="AC54" s="173"/>
      <c r="AD54" s="173"/>
      <c r="AE54" s="173"/>
      <c r="AF54" s="173"/>
      <c r="AG54" s="173"/>
      <c r="AH54" s="173"/>
    </row>
    <row r="55" spans="3:34" s="235" customFormat="1" hidden="1">
      <c r="C55" s="1128"/>
      <c r="D55" s="175" t="str">
        <f>IF(Indice_index!$Z$1=1,"agosto","August")</f>
        <v>August</v>
      </c>
      <c r="E55" s="175">
        <v>411859</v>
      </c>
      <c r="F55" s="175">
        <v>74524</v>
      </c>
      <c r="G55" s="175">
        <v>159580</v>
      </c>
      <c r="H55" s="175">
        <v>645963</v>
      </c>
      <c r="I55" s="174">
        <v>1142.5</v>
      </c>
      <c r="K55" s="175">
        <v>477503</v>
      </c>
      <c r="R55" s="52"/>
      <c r="S55" s="52"/>
      <c r="T55" s="52"/>
      <c r="U55" s="173"/>
      <c r="V55" s="173"/>
      <c r="W55" s="173"/>
      <c r="X55" s="173"/>
      <c r="Y55" s="173"/>
      <c r="Z55" s="173"/>
      <c r="AA55" s="173"/>
      <c r="AB55" s="173"/>
      <c r="AC55" s="173"/>
      <c r="AD55" s="173"/>
      <c r="AE55" s="173"/>
      <c r="AF55" s="173"/>
      <c r="AG55" s="173"/>
      <c r="AH55" s="173"/>
    </row>
    <row r="56" spans="3:34" s="235" customFormat="1" hidden="1">
      <c r="C56" s="1128"/>
      <c r="D56" s="175" t="str">
        <f>IF(Indice_index!$Z$1=1,"setembro","September")</f>
        <v>September</v>
      </c>
      <c r="E56" s="175">
        <v>412056</v>
      </c>
      <c r="F56" s="175">
        <v>74525</v>
      </c>
      <c r="G56" s="175">
        <v>159606</v>
      </c>
      <c r="H56" s="175">
        <v>646187</v>
      </c>
      <c r="I56" s="174">
        <v>1143.3</v>
      </c>
      <c r="K56" s="175">
        <v>476137</v>
      </c>
      <c r="R56" s="52"/>
      <c r="S56" s="52"/>
      <c r="T56" s="52"/>
      <c r="U56" s="173"/>
      <c r="V56" s="173"/>
      <c r="W56" s="173"/>
      <c r="X56" s="173"/>
      <c r="Y56" s="173"/>
      <c r="Z56" s="173"/>
      <c r="AA56" s="173"/>
      <c r="AB56" s="173"/>
      <c r="AC56" s="173"/>
      <c r="AD56" s="173"/>
      <c r="AE56" s="173"/>
      <c r="AF56" s="173"/>
      <c r="AG56" s="173"/>
      <c r="AH56" s="173"/>
    </row>
    <row r="57" spans="3:34" s="235" customFormat="1" hidden="1">
      <c r="C57" s="1128"/>
      <c r="D57" s="175" t="str">
        <f>IF(Indice_index!$Z$1=1,"outubro","October")</f>
        <v>October</v>
      </c>
      <c r="E57" s="175">
        <v>412131</v>
      </c>
      <c r="F57" s="175">
        <v>74487</v>
      </c>
      <c r="G57" s="175">
        <v>159530</v>
      </c>
      <c r="H57" s="175">
        <v>646148</v>
      </c>
      <c r="I57" s="174">
        <v>1152.2</v>
      </c>
      <c r="K57" s="175">
        <v>475241</v>
      </c>
      <c r="R57" s="52"/>
      <c r="S57" s="52"/>
      <c r="T57" s="52"/>
      <c r="U57" s="173"/>
      <c r="V57" s="173"/>
      <c r="W57" s="173"/>
      <c r="X57" s="173"/>
      <c r="Y57" s="173"/>
      <c r="Z57" s="173"/>
      <c r="AA57" s="173"/>
      <c r="AB57" s="173"/>
      <c r="AC57" s="173"/>
      <c r="AD57" s="173"/>
      <c r="AE57" s="173"/>
      <c r="AF57" s="173"/>
      <c r="AG57" s="173"/>
      <c r="AH57" s="173"/>
    </row>
    <row r="58" spans="3:34" s="235" customFormat="1" hidden="1">
      <c r="C58" s="1128"/>
      <c r="D58" s="175" t="str">
        <f>IF(Indice_index!$Z$1=1,"novembro","November")</f>
        <v>November</v>
      </c>
      <c r="E58" s="175">
        <v>411979</v>
      </c>
      <c r="F58" s="175">
        <v>74393</v>
      </c>
      <c r="G58" s="175">
        <v>159755</v>
      </c>
      <c r="H58" s="175">
        <v>646127</v>
      </c>
      <c r="I58" s="174">
        <v>1141.4000000000001</v>
      </c>
      <c r="K58" s="175">
        <v>474462</v>
      </c>
      <c r="R58" s="52"/>
      <c r="S58" s="52"/>
      <c r="T58" s="52"/>
      <c r="U58" s="173"/>
      <c r="V58" s="173"/>
      <c r="W58" s="173"/>
      <c r="X58" s="173"/>
      <c r="Y58" s="173"/>
      <c r="Z58" s="173"/>
      <c r="AA58" s="173"/>
      <c r="AB58" s="173"/>
      <c r="AC58" s="173"/>
      <c r="AD58" s="173"/>
      <c r="AE58" s="173"/>
      <c r="AF58" s="173"/>
      <c r="AG58" s="173"/>
      <c r="AH58" s="173"/>
    </row>
    <row r="59" spans="3:34" s="235" customFormat="1" hidden="1">
      <c r="C59" s="1128"/>
      <c r="D59" s="175" t="str">
        <f>IF(Indice_index!$Z$1=1,"dezembro","December")</f>
        <v>December</v>
      </c>
      <c r="E59" s="175">
        <v>411870</v>
      </c>
      <c r="F59" s="175">
        <v>74399</v>
      </c>
      <c r="G59" s="175">
        <v>159924</v>
      </c>
      <c r="H59" s="175">
        <v>646193</v>
      </c>
      <c r="I59" s="174">
        <v>1108.3</v>
      </c>
      <c r="K59" s="175">
        <v>473446</v>
      </c>
      <c r="R59" s="52"/>
      <c r="S59" s="52"/>
      <c r="T59" s="52"/>
      <c r="U59" s="173"/>
      <c r="V59" s="173"/>
      <c r="W59" s="173"/>
      <c r="X59" s="173"/>
      <c r="Y59" s="173"/>
      <c r="Z59" s="173"/>
      <c r="AA59" s="173"/>
      <c r="AB59" s="173"/>
      <c r="AC59" s="173"/>
      <c r="AD59" s="173"/>
      <c r="AE59" s="173"/>
      <c r="AF59" s="173"/>
      <c r="AG59" s="173"/>
      <c r="AH59" s="173"/>
    </row>
    <row r="60" spans="3:34" s="235" customFormat="1" hidden="1">
      <c r="C60" s="1129">
        <v>2016</v>
      </c>
      <c r="D60" s="175"/>
      <c r="E60" s="175"/>
      <c r="F60" s="175"/>
      <c r="G60" s="175"/>
      <c r="H60" s="175"/>
      <c r="I60" s="174"/>
      <c r="K60" s="175"/>
      <c r="R60" s="52"/>
      <c r="S60" s="52"/>
      <c r="T60" s="52"/>
      <c r="U60" s="173"/>
      <c r="V60" s="173"/>
      <c r="W60" s="173"/>
      <c r="X60" s="173"/>
      <c r="Y60" s="173"/>
      <c r="Z60" s="173"/>
      <c r="AA60" s="173"/>
      <c r="AB60" s="173"/>
      <c r="AC60" s="173"/>
      <c r="AD60" s="173"/>
      <c r="AE60" s="173"/>
      <c r="AF60" s="173"/>
      <c r="AG60" s="173"/>
      <c r="AH60" s="173"/>
    </row>
    <row r="61" spans="3:34" s="235" customFormat="1" hidden="1">
      <c r="C61" s="1128"/>
      <c r="D61" s="175" t="str">
        <f>IF(Indice_index!$Z$1=1,"janeiro","January")</f>
        <v>January</v>
      </c>
      <c r="E61" s="175">
        <v>411718</v>
      </c>
      <c r="F61" s="175">
        <v>74348</v>
      </c>
      <c r="G61" s="175">
        <v>159909</v>
      </c>
      <c r="H61" s="175">
        <v>645975</v>
      </c>
      <c r="I61" s="174">
        <v>1166.4000000000001</v>
      </c>
      <c r="J61" s="174"/>
      <c r="K61" s="175">
        <v>472236</v>
      </c>
      <c r="R61" s="52"/>
      <c r="S61" s="52"/>
      <c r="T61" s="52"/>
      <c r="U61" s="173"/>
      <c r="V61" s="173"/>
      <c r="W61" s="173"/>
      <c r="X61" s="173"/>
      <c r="Y61" s="173"/>
      <c r="Z61" s="173"/>
      <c r="AA61" s="173"/>
      <c r="AB61" s="173"/>
      <c r="AC61" s="173"/>
      <c r="AD61" s="173"/>
      <c r="AE61" s="173"/>
      <c r="AF61" s="173"/>
      <c r="AG61" s="173"/>
      <c r="AH61" s="173"/>
    </row>
    <row r="62" spans="3:34" s="235" customFormat="1" hidden="1">
      <c r="C62" s="1128"/>
      <c r="D62" s="175" t="str">
        <f>IF(Indice_index!$Z$1=1,"fevereiro","February")</f>
        <v>February</v>
      </c>
      <c r="E62" s="175">
        <v>411422</v>
      </c>
      <c r="F62" s="175">
        <v>74216</v>
      </c>
      <c r="G62" s="175">
        <v>159832</v>
      </c>
      <c r="H62" s="175">
        <v>645470</v>
      </c>
      <c r="I62" s="174">
        <v>1174</v>
      </c>
      <c r="J62" s="174"/>
      <c r="K62" s="175">
        <v>471532</v>
      </c>
      <c r="R62" s="52"/>
      <c r="S62" s="52"/>
      <c r="T62" s="52"/>
      <c r="U62" s="173"/>
      <c r="V62" s="173"/>
      <c r="W62" s="173"/>
      <c r="X62" s="173"/>
      <c r="Y62" s="173"/>
      <c r="Z62" s="173"/>
      <c r="AA62" s="173"/>
      <c r="AB62" s="173"/>
      <c r="AC62" s="173"/>
      <c r="AD62" s="173"/>
      <c r="AE62" s="173"/>
      <c r="AF62" s="173"/>
      <c r="AG62" s="173"/>
      <c r="AH62" s="173"/>
    </row>
    <row r="63" spans="3:34" s="235" customFormat="1" hidden="1">
      <c r="C63" s="1128"/>
      <c r="D63" s="175" t="str">
        <f>IF(Indice_index!$Z$1=1,"março","March")</f>
        <v>March</v>
      </c>
      <c r="E63" s="175">
        <v>411217</v>
      </c>
      <c r="F63" s="175">
        <v>74134</v>
      </c>
      <c r="G63" s="175">
        <v>159822</v>
      </c>
      <c r="H63" s="175">
        <v>645173</v>
      </c>
      <c r="I63" s="174">
        <v>1142.2</v>
      </c>
      <c r="J63" s="174"/>
      <c r="K63" s="175">
        <v>470960</v>
      </c>
      <c r="R63" s="52"/>
      <c r="S63" s="52"/>
      <c r="T63" s="52"/>
      <c r="U63" s="173"/>
      <c r="V63" s="173"/>
      <c r="W63" s="173"/>
      <c r="X63" s="173"/>
      <c r="Y63" s="173"/>
      <c r="Z63" s="173"/>
      <c r="AA63" s="173"/>
      <c r="AB63" s="173"/>
      <c r="AC63" s="173"/>
      <c r="AD63" s="173"/>
      <c r="AE63" s="173"/>
      <c r="AF63" s="173"/>
      <c r="AG63" s="173"/>
      <c r="AH63" s="173"/>
    </row>
    <row r="64" spans="3:34" s="235" customFormat="1" hidden="1">
      <c r="C64" s="1128"/>
      <c r="D64" s="175" t="str">
        <f>IF(Indice_index!$Z$1=1,"abril","April")</f>
        <v>April</v>
      </c>
      <c r="E64" s="175">
        <v>411066</v>
      </c>
      <c r="F64" s="175">
        <v>74063</v>
      </c>
      <c r="G64" s="175">
        <v>159895</v>
      </c>
      <c r="H64" s="175">
        <v>645024</v>
      </c>
      <c r="I64" s="174">
        <v>1149.5</v>
      </c>
      <c r="J64" s="174"/>
      <c r="K64" s="175">
        <v>470289</v>
      </c>
      <c r="R64" s="52"/>
      <c r="S64" s="52"/>
      <c r="T64" s="52"/>
      <c r="U64" s="173"/>
      <c r="V64" s="173"/>
      <c r="W64" s="173"/>
      <c r="X64" s="173"/>
      <c r="Y64" s="173"/>
      <c r="Z64" s="173"/>
      <c r="AA64" s="173"/>
      <c r="AB64" s="173"/>
      <c r="AC64" s="173"/>
      <c r="AD64" s="173"/>
      <c r="AE64" s="173"/>
      <c r="AF64" s="173"/>
      <c r="AG64" s="173"/>
      <c r="AH64" s="173"/>
    </row>
    <row r="65" spans="3:34" s="235" customFormat="1" hidden="1">
      <c r="C65" s="1128"/>
      <c r="D65" s="175" t="str">
        <f>IF(Indice_index!$Z$1=1,"maio","May")</f>
        <v>May</v>
      </c>
      <c r="E65" s="175">
        <v>410687</v>
      </c>
      <c r="F65" s="175">
        <v>73966</v>
      </c>
      <c r="G65" s="175">
        <v>159648</v>
      </c>
      <c r="H65" s="175">
        <v>644301</v>
      </c>
      <c r="I65" s="174">
        <v>1142.8</v>
      </c>
      <c r="J65" s="174"/>
      <c r="K65" s="175">
        <v>469543</v>
      </c>
      <c r="R65" s="52"/>
      <c r="S65" s="52"/>
      <c r="T65" s="52"/>
      <c r="U65" s="173"/>
      <c r="V65" s="173"/>
      <c r="W65" s="173"/>
      <c r="X65" s="173"/>
      <c r="Y65" s="173"/>
      <c r="Z65" s="173"/>
      <c r="AA65" s="173"/>
      <c r="AB65" s="173"/>
      <c r="AC65" s="173"/>
      <c r="AD65" s="173"/>
      <c r="AE65" s="173"/>
      <c r="AF65" s="173"/>
      <c r="AG65" s="173"/>
      <c r="AH65" s="173"/>
    </row>
    <row r="66" spans="3:34" s="235" customFormat="1" hidden="1">
      <c r="C66" s="1128"/>
      <c r="D66" s="175" t="str">
        <f>IF(Indice_index!$Z$1=1,"junho","June")</f>
        <v>June</v>
      </c>
      <c r="E66" s="175">
        <v>410431</v>
      </c>
      <c r="F66" s="175">
        <v>73883</v>
      </c>
      <c r="G66" s="175">
        <v>159884</v>
      </c>
      <c r="H66" s="175">
        <v>644198</v>
      </c>
      <c r="I66" s="174">
        <v>1161.0999999999999</v>
      </c>
      <c r="J66" s="174"/>
      <c r="K66" s="175">
        <v>469096</v>
      </c>
      <c r="R66" s="52"/>
      <c r="S66" s="52"/>
      <c r="T66" s="52"/>
      <c r="U66" s="173"/>
      <c r="V66" s="173"/>
      <c r="W66" s="173"/>
      <c r="X66" s="173"/>
      <c r="Y66" s="173"/>
      <c r="Z66" s="173"/>
      <c r="AA66" s="173"/>
      <c r="AB66" s="173"/>
      <c r="AC66" s="173"/>
      <c r="AD66" s="173"/>
      <c r="AE66" s="173"/>
      <c r="AF66" s="173"/>
      <c r="AG66" s="173"/>
      <c r="AH66" s="173"/>
    </row>
    <row r="67" spans="3:34" s="235" customFormat="1" hidden="1">
      <c r="C67" s="1128"/>
      <c r="D67" s="175" t="str">
        <f>IF(Indice_index!$Z$1=1,"julho","July")</f>
        <v>July</v>
      </c>
      <c r="E67" s="175">
        <v>410147</v>
      </c>
      <c r="F67" s="175">
        <v>73871</v>
      </c>
      <c r="G67" s="175">
        <v>159990</v>
      </c>
      <c r="H67" s="175">
        <v>644008</v>
      </c>
      <c r="I67" s="174">
        <v>2187.1</v>
      </c>
      <c r="J67" s="174"/>
      <c r="K67" s="175">
        <v>468440</v>
      </c>
      <c r="R67" s="52"/>
      <c r="S67" s="52"/>
      <c r="T67" s="52"/>
      <c r="U67" s="173"/>
      <c r="V67" s="173"/>
      <c r="W67" s="173"/>
      <c r="X67" s="173"/>
      <c r="Y67" s="173"/>
      <c r="Z67" s="173"/>
      <c r="AA67" s="173"/>
      <c r="AB67" s="173"/>
      <c r="AC67" s="173"/>
      <c r="AD67" s="173"/>
      <c r="AE67" s="173"/>
      <c r="AF67" s="173"/>
      <c r="AG67" s="173"/>
      <c r="AH67" s="173"/>
    </row>
    <row r="68" spans="3:34" s="235" customFormat="1" hidden="1">
      <c r="C68" s="1128"/>
      <c r="D68" s="175" t="str">
        <f>IF(Indice_index!$Z$1=1,"agosto","August")</f>
        <v>August</v>
      </c>
      <c r="E68" s="175">
        <v>409927</v>
      </c>
      <c r="F68" s="175">
        <v>73850</v>
      </c>
      <c r="G68" s="175">
        <v>160048</v>
      </c>
      <c r="H68" s="175">
        <v>643825</v>
      </c>
      <c r="I68" s="174">
        <v>1169.9000000000001</v>
      </c>
      <c r="J68" s="174"/>
      <c r="K68" s="175">
        <v>467630</v>
      </c>
      <c r="R68" s="52"/>
      <c r="S68" s="52"/>
      <c r="T68" s="52"/>
      <c r="U68" s="173"/>
      <c r="V68" s="173"/>
      <c r="W68" s="173"/>
      <c r="X68" s="173"/>
      <c r="Y68" s="173"/>
      <c r="Z68" s="173"/>
      <c r="AA68" s="173"/>
      <c r="AB68" s="173"/>
      <c r="AC68" s="173"/>
      <c r="AD68" s="173"/>
      <c r="AE68" s="173"/>
      <c r="AF68" s="173"/>
      <c r="AG68" s="173"/>
      <c r="AH68" s="173"/>
    </row>
    <row r="69" spans="3:34" s="235" customFormat="1" hidden="1">
      <c r="C69" s="1128"/>
      <c r="D69" s="175" t="str">
        <f>IF(Indice_index!$Z$1=1,"setembro","September")</f>
        <v>September</v>
      </c>
      <c r="E69" s="175">
        <v>409714</v>
      </c>
      <c r="F69" s="175">
        <v>73855</v>
      </c>
      <c r="G69" s="175">
        <v>159934</v>
      </c>
      <c r="H69" s="175">
        <v>643503</v>
      </c>
      <c r="I69" s="174">
        <v>1161.8</v>
      </c>
      <c r="J69" s="174"/>
      <c r="K69" s="175">
        <v>466384</v>
      </c>
      <c r="R69" s="52"/>
      <c r="S69" s="52"/>
      <c r="T69" s="52"/>
      <c r="U69" s="173"/>
      <c r="V69" s="173"/>
      <c r="W69" s="173"/>
      <c r="X69" s="173"/>
      <c r="Y69" s="173"/>
      <c r="Z69" s="173"/>
      <c r="AA69" s="173"/>
      <c r="AB69" s="173"/>
      <c r="AC69" s="173"/>
      <c r="AD69" s="173"/>
      <c r="AE69" s="173"/>
      <c r="AF69" s="173"/>
      <c r="AG69" s="173"/>
      <c r="AH69" s="173"/>
    </row>
    <row r="70" spans="3:34" s="235" customFormat="1" hidden="1">
      <c r="C70" s="1128"/>
      <c r="D70" s="175" t="str">
        <f>IF(Indice_index!$Z$1=1,"outubro","October")</f>
        <v>October</v>
      </c>
      <c r="E70" s="175">
        <v>409434</v>
      </c>
      <c r="F70" s="175">
        <v>73800</v>
      </c>
      <c r="G70" s="175">
        <v>159797</v>
      </c>
      <c r="H70" s="175">
        <v>643031</v>
      </c>
      <c r="I70" s="174">
        <v>1171.3</v>
      </c>
      <c r="J70" s="174"/>
      <c r="K70" s="175">
        <v>465559</v>
      </c>
      <c r="R70" s="52"/>
      <c r="S70" s="52"/>
      <c r="T70" s="52"/>
      <c r="U70" s="173"/>
      <c r="V70" s="173"/>
      <c r="W70" s="173"/>
      <c r="X70" s="173"/>
      <c r="Y70" s="173"/>
      <c r="Z70" s="173"/>
      <c r="AA70" s="173"/>
      <c r="AB70" s="173"/>
      <c r="AC70" s="173"/>
      <c r="AD70" s="173"/>
      <c r="AE70" s="173"/>
      <c r="AF70" s="173"/>
      <c r="AG70" s="173"/>
      <c r="AH70" s="173"/>
    </row>
    <row r="71" spans="3:34" s="174" customFormat="1" hidden="1">
      <c r="C71" s="1128"/>
      <c r="D71" s="175" t="str">
        <f>IF(Indice_index!$Z$1=1,"novembro","November")</f>
        <v>November</v>
      </c>
      <c r="E71" s="175">
        <v>409108</v>
      </c>
      <c r="F71" s="175">
        <v>73710</v>
      </c>
      <c r="G71" s="175">
        <v>159949</v>
      </c>
      <c r="H71" s="175">
        <v>642767</v>
      </c>
      <c r="I71" s="174">
        <v>1159</v>
      </c>
      <c r="K71" s="175">
        <v>464885</v>
      </c>
      <c r="R71" s="164"/>
      <c r="S71" s="164"/>
      <c r="T71" s="164"/>
      <c r="U71" s="175"/>
      <c r="V71" s="175"/>
      <c r="W71" s="175"/>
      <c r="X71" s="175"/>
      <c r="Y71" s="175"/>
      <c r="Z71" s="175"/>
      <c r="AA71" s="175"/>
      <c r="AB71" s="175"/>
      <c r="AC71" s="175"/>
      <c r="AD71" s="175"/>
      <c r="AE71" s="175"/>
      <c r="AF71" s="175"/>
      <c r="AG71" s="175"/>
      <c r="AH71" s="175"/>
    </row>
    <row r="72" spans="3:34" s="235" customFormat="1" hidden="1">
      <c r="C72" s="1128"/>
      <c r="D72" s="175" t="str">
        <f>IF(Indice_index!$Z$1=1,"dezembro","December")</f>
        <v>December</v>
      </c>
      <c r="E72" s="175">
        <v>408924</v>
      </c>
      <c r="F72" s="175">
        <v>73690</v>
      </c>
      <c r="G72" s="175">
        <v>160016</v>
      </c>
      <c r="H72" s="175">
        <v>642630</v>
      </c>
      <c r="I72" s="174">
        <v>1159.5</v>
      </c>
      <c r="J72" s="174"/>
      <c r="K72" s="175">
        <v>463861</v>
      </c>
      <c r="R72" s="52"/>
      <c r="S72" s="52"/>
      <c r="T72" s="52"/>
      <c r="U72" s="173"/>
      <c r="V72" s="173"/>
      <c r="W72" s="173"/>
      <c r="X72" s="173"/>
      <c r="Y72" s="173"/>
      <c r="Z72" s="173"/>
      <c r="AA72" s="173"/>
      <c r="AB72" s="173"/>
      <c r="AC72" s="173"/>
      <c r="AD72" s="173"/>
      <c r="AE72" s="173"/>
      <c r="AF72" s="173"/>
      <c r="AG72" s="173"/>
      <c r="AH72" s="173"/>
    </row>
    <row r="73" spans="3:34" s="235" customFormat="1" hidden="1">
      <c r="C73" s="1129">
        <v>2017</v>
      </c>
      <c r="D73" s="175"/>
      <c r="E73" s="175"/>
      <c r="F73" s="175"/>
      <c r="G73" s="175"/>
      <c r="H73" s="175"/>
      <c r="I73" s="174"/>
      <c r="K73" s="175"/>
      <c r="R73" s="52"/>
      <c r="S73" s="52"/>
      <c r="T73" s="52"/>
      <c r="U73" s="173"/>
      <c r="V73" s="173"/>
      <c r="W73" s="173"/>
      <c r="X73" s="173"/>
      <c r="Y73" s="173"/>
      <c r="Z73" s="173"/>
      <c r="AA73" s="173"/>
      <c r="AB73" s="173"/>
      <c r="AC73" s="173"/>
      <c r="AD73" s="173"/>
      <c r="AE73" s="173"/>
      <c r="AF73" s="173"/>
      <c r="AG73" s="173"/>
      <c r="AH73" s="173"/>
    </row>
    <row r="74" spans="3:34" s="174" customFormat="1" hidden="1">
      <c r="C74" s="1128"/>
      <c r="D74" s="175" t="str">
        <f>IF(Indice_index!$Z$1=1,"janeiro","January")</f>
        <v>January</v>
      </c>
      <c r="E74" s="175">
        <v>408939</v>
      </c>
      <c r="F74" s="175">
        <v>73624</v>
      </c>
      <c r="G74" s="175">
        <v>160065</v>
      </c>
      <c r="H74" s="175">
        <v>642628</v>
      </c>
      <c r="I74" s="174">
        <v>1143.5</v>
      </c>
      <c r="K74" s="175">
        <v>462411</v>
      </c>
      <c r="M74" s="235"/>
      <c r="R74" s="164"/>
      <c r="S74" s="164"/>
      <c r="T74" s="164"/>
      <c r="U74" s="175"/>
      <c r="V74" s="175"/>
      <c r="W74" s="175"/>
      <c r="X74" s="175"/>
      <c r="Y74" s="175"/>
      <c r="Z74" s="175"/>
      <c r="AA74" s="175"/>
      <c r="AB74" s="175"/>
      <c r="AC74" s="175"/>
      <c r="AD74" s="175"/>
      <c r="AE74" s="175"/>
      <c r="AF74" s="175"/>
      <c r="AG74" s="175"/>
      <c r="AH74" s="175"/>
    </row>
    <row r="75" spans="3:34" s="235" customFormat="1" hidden="1">
      <c r="C75" s="1128"/>
      <c r="D75" s="175" t="str">
        <f>IF(Indice_index!$Z$1=1,"fevereiro","February")</f>
        <v>February</v>
      </c>
      <c r="E75" s="175">
        <v>408288</v>
      </c>
      <c r="F75" s="175">
        <v>73455</v>
      </c>
      <c r="G75" s="175">
        <v>159914</v>
      </c>
      <c r="H75" s="175">
        <v>641657</v>
      </c>
      <c r="I75" s="174">
        <v>1119.4000000000001</v>
      </c>
      <c r="J75" s="174"/>
      <c r="K75" s="175">
        <v>461805</v>
      </c>
      <c r="R75" s="52"/>
      <c r="S75" s="52"/>
      <c r="T75" s="52"/>
      <c r="U75" s="173"/>
      <c r="V75" s="173"/>
      <c r="W75" s="173"/>
      <c r="X75" s="173"/>
      <c r="Y75" s="173"/>
      <c r="Z75" s="173"/>
      <c r="AA75" s="173"/>
      <c r="AB75" s="173"/>
      <c r="AC75" s="173"/>
      <c r="AD75" s="173"/>
      <c r="AE75" s="173"/>
      <c r="AF75" s="173"/>
      <c r="AG75" s="173"/>
      <c r="AH75" s="173"/>
    </row>
    <row r="76" spans="3:34" s="174" customFormat="1" hidden="1">
      <c r="C76" s="1128"/>
      <c r="D76" s="175" t="str">
        <f>IF(Indice_index!$Z$1=1,"março","March")</f>
        <v>March</v>
      </c>
      <c r="E76" s="175">
        <v>407540</v>
      </c>
      <c r="F76" s="175">
        <v>73348</v>
      </c>
      <c r="G76" s="175">
        <v>159347</v>
      </c>
      <c r="H76" s="175">
        <v>640235</v>
      </c>
      <c r="I76" s="174">
        <v>1130.3</v>
      </c>
      <c r="K76" s="175">
        <v>461332</v>
      </c>
      <c r="R76" s="164"/>
      <c r="S76" s="164"/>
      <c r="T76" s="164"/>
      <c r="U76" s="175"/>
      <c r="V76" s="175"/>
      <c r="W76" s="175"/>
      <c r="X76" s="175"/>
      <c r="Y76" s="175"/>
      <c r="Z76" s="175"/>
      <c r="AA76" s="175"/>
      <c r="AB76" s="175"/>
      <c r="AC76" s="175"/>
      <c r="AD76" s="175"/>
      <c r="AE76" s="175"/>
      <c r="AF76" s="175"/>
      <c r="AG76" s="175"/>
      <c r="AH76" s="175"/>
    </row>
    <row r="77" spans="3:34" s="235" customFormat="1" hidden="1">
      <c r="C77" s="1128"/>
      <c r="D77" s="175" t="str">
        <f>IF(Indice_index!$Z$1=1,"abril","April")</f>
        <v>April</v>
      </c>
      <c r="E77" s="175">
        <v>407110</v>
      </c>
      <c r="F77" s="175">
        <v>73249</v>
      </c>
      <c r="G77" s="175">
        <v>160092</v>
      </c>
      <c r="H77" s="175">
        <v>640451</v>
      </c>
      <c r="I77" s="174">
        <v>1126.4000000000001</v>
      </c>
      <c r="J77" s="174"/>
      <c r="K77" s="175">
        <v>460761</v>
      </c>
      <c r="R77" s="52"/>
      <c r="S77" s="52"/>
      <c r="T77" s="52"/>
      <c r="U77" s="173"/>
      <c r="V77" s="173"/>
      <c r="W77" s="173"/>
      <c r="X77" s="173"/>
      <c r="Y77" s="173"/>
      <c r="Z77" s="173"/>
      <c r="AA77" s="173"/>
      <c r="AB77" s="173"/>
      <c r="AC77" s="173"/>
      <c r="AD77" s="173"/>
      <c r="AE77" s="173"/>
      <c r="AF77" s="173"/>
      <c r="AG77" s="173"/>
      <c r="AH77" s="173"/>
    </row>
    <row r="78" spans="3:34" s="174" customFormat="1" hidden="1">
      <c r="C78" s="1128"/>
      <c r="D78" s="175" t="str">
        <f>IF(Indice_index!$Z$1=1,"maio","May")</f>
        <v>May</v>
      </c>
      <c r="E78" s="175">
        <v>407141</v>
      </c>
      <c r="F78" s="175">
        <v>73177</v>
      </c>
      <c r="G78" s="175">
        <v>159861</v>
      </c>
      <c r="H78" s="175">
        <v>640179</v>
      </c>
      <c r="I78" s="174">
        <v>1122.4000000000001</v>
      </c>
      <c r="K78" s="175">
        <v>460119</v>
      </c>
      <c r="R78" s="164"/>
      <c r="S78" s="164"/>
      <c r="T78" s="164"/>
      <c r="U78" s="175"/>
      <c r="V78" s="175"/>
      <c r="W78" s="175"/>
      <c r="X78" s="175"/>
      <c r="Y78" s="175"/>
      <c r="Z78" s="175"/>
      <c r="AA78" s="175"/>
      <c r="AB78" s="175"/>
      <c r="AC78" s="175"/>
      <c r="AD78" s="175"/>
      <c r="AE78" s="175"/>
      <c r="AF78" s="175"/>
      <c r="AG78" s="175"/>
      <c r="AH78" s="175"/>
    </row>
    <row r="79" spans="3:34" s="174" customFormat="1" hidden="1">
      <c r="C79" s="1128"/>
      <c r="D79" s="175" t="str">
        <f>IF(Indice_index!$Z$1=1,"junho","June")</f>
        <v>June</v>
      </c>
      <c r="E79" s="175">
        <v>407346</v>
      </c>
      <c r="F79" s="175">
        <v>73104</v>
      </c>
      <c r="G79" s="175">
        <v>160094</v>
      </c>
      <c r="H79" s="175">
        <v>640544</v>
      </c>
      <c r="I79" s="174">
        <v>1121.5999999999999</v>
      </c>
      <c r="K79" s="175">
        <v>459273</v>
      </c>
      <c r="R79" s="164"/>
      <c r="S79" s="164"/>
      <c r="T79" s="164"/>
      <c r="U79" s="175"/>
      <c r="V79" s="175"/>
      <c r="W79" s="175"/>
      <c r="X79" s="175"/>
      <c r="Y79" s="175"/>
      <c r="Z79" s="175"/>
      <c r="AA79" s="175"/>
      <c r="AB79" s="175"/>
      <c r="AC79" s="175"/>
      <c r="AD79" s="175"/>
      <c r="AE79" s="175"/>
      <c r="AF79" s="175"/>
      <c r="AG79" s="175"/>
      <c r="AH79" s="175"/>
    </row>
    <row r="80" spans="3:34" s="235" customFormat="1" hidden="1">
      <c r="C80" s="1128"/>
      <c r="D80" s="175" t="str">
        <f>IF(Indice_index!$Z$1=1,"julho","July")</f>
        <v>July</v>
      </c>
      <c r="E80" s="175">
        <v>407953</v>
      </c>
      <c r="F80" s="175">
        <v>73062</v>
      </c>
      <c r="G80" s="175">
        <v>160095</v>
      </c>
      <c r="H80" s="175">
        <v>641110</v>
      </c>
      <c r="I80" s="174">
        <v>2155.1999999999998</v>
      </c>
      <c r="J80" s="174"/>
      <c r="K80" s="175">
        <v>458272</v>
      </c>
      <c r="R80" s="52"/>
      <c r="S80" s="52"/>
      <c r="T80" s="52"/>
      <c r="U80" s="173"/>
      <c r="V80" s="173"/>
      <c r="W80" s="173"/>
      <c r="X80" s="173"/>
      <c r="Y80" s="173"/>
      <c r="Z80" s="173"/>
      <c r="AA80" s="173"/>
      <c r="AB80" s="173"/>
      <c r="AC80" s="173"/>
      <c r="AD80" s="173"/>
      <c r="AE80" s="173"/>
      <c r="AF80" s="173"/>
      <c r="AG80" s="173"/>
      <c r="AH80" s="173"/>
    </row>
    <row r="81" spans="3:34" s="235" customFormat="1" hidden="1">
      <c r="C81" s="1128"/>
      <c r="D81" s="175" t="str">
        <f>IF(Indice_index!$Z$1=1,"agosto","August")</f>
        <v>August</v>
      </c>
      <c r="E81" s="175">
        <v>408428</v>
      </c>
      <c r="F81" s="175">
        <v>72982</v>
      </c>
      <c r="G81" s="175">
        <v>160151</v>
      </c>
      <c r="H81" s="175">
        <v>641561</v>
      </c>
      <c r="I81" s="174">
        <v>1131.8</v>
      </c>
      <c r="J81" s="174"/>
      <c r="K81" s="175">
        <v>457677</v>
      </c>
      <c r="R81" s="52"/>
      <c r="S81" s="52"/>
      <c r="T81" s="52"/>
      <c r="U81" s="173"/>
      <c r="V81" s="173"/>
      <c r="W81" s="173"/>
      <c r="X81" s="173"/>
      <c r="Y81" s="173"/>
      <c r="Z81" s="173"/>
      <c r="AA81" s="173"/>
      <c r="AB81" s="173"/>
      <c r="AC81" s="173"/>
      <c r="AD81" s="173"/>
      <c r="AE81" s="173"/>
      <c r="AF81" s="173"/>
      <c r="AG81" s="173"/>
      <c r="AH81" s="173"/>
    </row>
    <row r="82" spans="3:34" s="235" customFormat="1" hidden="1">
      <c r="C82" s="1128"/>
      <c r="D82" s="175" t="str">
        <f>IF(Indice_index!$Z$1=1,"setembro","September")</f>
        <v>September</v>
      </c>
      <c r="E82" s="175">
        <v>408630</v>
      </c>
      <c r="F82" s="175">
        <v>72970</v>
      </c>
      <c r="G82" s="175">
        <v>160113</v>
      </c>
      <c r="H82" s="175">
        <v>641713</v>
      </c>
      <c r="I82" s="174">
        <v>1126.4000000000001</v>
      </c>
      <c r="J82" s="174"/>
      <c r="K82" s="175">
        <v>456190</v>
      </c>
      <c r="R82" s="52"/>
      <c r="S82" s="52"/>
      <c r="T82" s="52"/>
      <c r="U82" s="173"/>
      <c r="V82" s="173"/>
      <c r="W82" s="173"/>
      <c r="X82" s="173"/>
      <c r="Y82" s="173"/>
      <c r="Z82" s="173"/>
      <c r="AA82" s="173"/>
      <c r="AB82" s="173"/>
      <c r="AC82" s="173"/>
      <c r="AD82" s="173"/>
      <c r="AE82" s="173"/>
      <c r="AF82" s="173"/>
      <c r="AG82" s="173"/>
      <c r="AH82" s="173"/>
    </row>
    <row r="83" spans="3:34" s="235" customFormat="1" hidden="1">
      <c r="C83" s="1128"/>
      <c r="D83" s="175" t="str">
        <f>IF(Indice_index!$Z$1=1,"outubro","October")</f>
        <v>October</v>
      </c>
      <c r="E83" s="175">
        <v>408900</v>
      </c>
      <c r="F83" s="175">
        <v>72837</v>
      </c>
      <c r="G83" s="175">
        <v>163540</v>
      </c>
      <c r="H83" s="175">
        <v>645277</v>
      </c>
      <c r="I83" s="174">
        <v>1128.7</v>
      </c>
      <c r="J83" s="174"/>
      <c r="K83" s="175">
        <v>455463</v>
      </c>
      <c r="R83" s="52"/>
      <c r="S83" s="52"/>
      <c r="T83" s="52"/>
      <c r="U83" s="173"/>
      <c r="V83" s="173"/>
      <c r="W83" s="173"/>
      <c r="X83" s="173"/>
      <c r="Y83" s="173"/>
      <c r="Z83" s="173"/>
      <c r="AA83" s="173"/>
      <c r="AB83" s="173"/>
      <c r="AC83" s="173"/>
      <c r="AD83" s="173"/>
      <c r="AE83" s="173"/>
      <c r="AF83" s="173"/>
      <c r="AG83" s="173"/>
      <c r="AH83" s="173"/>
    </row>
    <row r="84" spans="3:34" s="235" customFormat="1" hidden="1">
      <c r="C84" s="1128"/>
      <c r="D84" s="175" t="str">
        <f>IF(Indice_index!$Z$1=1,"novembro","November")</f>
        <v>November</v>
      </c>
      <c r="E84" s="175">
        <v>409275</v>
      </c>
      <c r="F84" s="175">
        <v>72804</v>
      </c>
      <c r="G84" s="175">
        <v>163607</v>
      </c>
      <c r="H84" s="175">
        <v>645686</v>
      </c>
      <c r="I84" s="174">
        <v>1647.8</v>
      </c>
      <c r="J84" s="174"/>
      <c r="K84" s="175">
        <v>454775</v>
      </c>
      <c r="R84" s="52"/>
      <c r="S84" s="52"/>
      <c r="T84" s="52"/>
      <c r="U84" s="173"/>
      <c r="V84" s="173"/>
      <c r="W84" s="173"/>
      <c r="X84" s="173"/>
      <c r="Y84" s="173"/>
      <c r="Z84" s="173"/>
      <c r="AA84" s="173"/>
      <c r="AB84" s="173"/>
      <c r="AC84" s="173"/>
      <c r="AD84" s="173"/>
      <c r="AE84" s="173"/>
      <c r="AF84" s="173"/>
      <c r="AG84" s="173"/>
      <c r="AH84" s="173"/>
    </row>
    <row r="85" spans="3:34" s="235" customFormat="1" hidden="1">
      <c r="C85" s="1128"/>
      <c r="D85" s="175" t="str">
        <f>IF(Indice_index!$Z$1=1,"dezembro","December")</f>
        <v>December</v>
      </c>
      <c r="E85" s="175">
        <v>409132</v>
      </c>
      <c r="F85" s="175">
        <v>72745</v>
      </c>
      <c r="G85" s="175">
        <v>163836</v>
      </c>
      <c r="H85" s="175">
        <v>645713</v>
      </c>
      <c r="I85" s="174">
        <v>1132.8</v>
      </c>
      <c r="J85" s="174"/>
      <c r="K85" s="175">
        <v>453977</v>
      </c>
      <c r="R85" s="52"/>
      <c r="S85" s="52"/>
      <c r="T85" s="52"/>
      <c r="U85" s="173"/>
      <c r="V85" s="173"/>
      <c r="W85" s="173"/>
      <c r="X85" s="173"/>
      <c r="Y85" s="173"/>
      <c r="Z85" s="173"/>
      <c r="AA85" s="173"/>
      <c r="AB85" s="173"/>
      <c r="AC85" s="173"/>
      <c r="AD85" s="173"/>
      <c r="AE85" s="173"/>
      <c r="AF85" s="173"/>
      <c r="AG85" s="173"/>
      <c r="AH85" s="173"/>
    </row>
    <row r="86" spans="3:34" s="235" customFormat="1" ht="15" customHeight="1">
      <c r="C86" s="1129">
        <v>2018</v>
      </c>
      <c r="D86" s="175"/>
      <c r="E86" s="175"/>
      <c r="F86" s="175"/>
      <c r="G86" s="175"/>
      <c r="H86" s="175"/>
      <c r="I86" s="174"/>
      <c r="J86" s="174"/>
      <c r="K86" s="175"/>
      <c r="R86" s="52"/>
      <c r="S86" s="52"/>
      <c r="T86" s="52"/>
      <c r="U86" s="173"/>
      <c r="V86" s="173"/>
      <c r="W86" s="173"/>
      <c r="X86" s="173"/>
      <c r="Y86" s="173"/>
      <c r="Z86" s="173"/>
      <c r="AA86" s="173"/>
      <c r="AB86" s="173"/>
      <c r="AC86" s="173"/>
      <c r="AD86" s="173"/>
      <c r="AE86" s="173"/>
      <c r="AF86" s="173"/>
      <c r="AG86" s="173"/>
      <c r="AH86" s="173"/>
    </row>
    <row r="87" spans="3:34" s="235" customFormat="1" ht="15" customHeight="1">
      <c r="C87" s="1128"/>
      <c r="D87" s="175" t="str">
        <f>IF(Indice_index!$Z$1=1,"janeiro","January")</f>
        <v>January</v>
      </c>
      <c r="E87" s="173">
        <v>409052</v>
      </c>
      <c r="F87" s="173">
        <v>72672</v>
      </c>
      <c r="G87" s="173">
        <v>163845</v>
      </c>
      <c r="H87" s="173">
        <v>645569</v>
      </c>
      <c r="I87" s="235">
        <v>1116.3</v>
      </c>
      <c r="K87" s="173">
        <v>452574</v>
      </c>
      <c r="M87" s="238"/>
      <c r="N87" s="238"/>
      <c r="O87" s="238"/>
      <c r="P87" s="238"/>
      <c r="Q87" s="238"/>
      <c r="R87" s="238"/>
      <c r="S87" s="238"/>
      <c r="T87" s="52"/>
      <c r="U87" s="173"/>
      <c r="V87" s="173"/>
      <c r="W87" s="173"/>
      <c r="X87" s="173"/>
      <c r="Y87" s="173"/>
      <c r="Z87" s="173"/>
      <c r="AA87" s="173"/>
      <c r="AB87" s="173"/>
      <c r="AC87" s="173"/>
      <c r="AD87" s="173"/>
      <c r="AE87" s="173"/>
      <c r="AF87" s="173"/>
      <c r="AG87" s="173"/>
      <c r="AH87" s="173"/>
    </row>
    <row r="88" spans="3:34" s="235" customFormat="1" ht="15" customHeight="1">
      <c r="C88" s="1128"/>
      <c r="D88" s="175" t="str">
        <f>IF(Indice_index!$Z$1=1,"fevereiro","February")</f>
        <v>February</v>
      </c>
      <c r="E88" s="173">
        <v>408712</v>
      </c>
      <c r="F88" s="173">
        <v>72479</v>
      </c>
      <c r="G88" s="173">
        <v>163737</v>
      </c>
      <c r="H88" s="173">
        <v>644928</v>
      </c>
      <c r="I88" s="235">
        <v>1102.5</v>
      </c>
      <c r="K88" s="173">
        <v>451857</v>
      </c>
      <c r="M88" s="238"/>
      <c r="N88" s="238"/>
      <c r="O88" s="238"/>
      <c r="P88" s="238"/>
      <c r="Q88" s="238"/>
      <c r="R88" s="238"/>
      <c r="S88" s="238"/>
      <c r="T88" s="52"/>
      <c r="U88" s="173"/>
      <c r="V88" s="173"/>
      <c r="W88" s="173"/>
      <c r="X88" s="173"/>
      <c r="Y88" s="173"/>
      <c r="Z88" s="173"/>
      <c r="AA88" s="173"/>
      <c r="AB88" s="173"/>
      <c r="AC88" s="173"/>
      <c r="AD88" s="173"/>
      <c r="AE88" s="173"/>
      <c r="AF88" s="173"/>
      <c r="AG88" s="173"/>
      <c r="AH88" s="173"/>
    </row>
    <row r="89" spans="3:34" s="235" customFormat="1" ht="15" customHeight="1">
      <c r="C89" s="1128"/>
      <c r="D89" s="175" t="str">
        <f>IF(Indice_index!$Z$1=1,"março","March")</f>
        <v>March</v>
      </c>
      <c r="E89" s="173">
        <v>408346</v>
      </c>
      <c r="F89" s="173">
        <v>72372</v>
      </c>
      <c r="G89" s="173">
        <v>163498</v>
      </c>
      <c r="H89" s="173">
        <v>644216</v>
      </c>
      <c r="I89" s="235">
        <v>1090.8</v>
      </c>
      <c r="K89" s="173">
        <v>451216</v>
      </c>
      <c r="M89" s="238"/>
      <c r="N89" s="238"/>
      <c r="O89" s="238"/>
      <c r="P89" s="238"/>
      <c r="Q89" s="238"/>
      <c r="R89" s="238"/>
      <c r="S89" s="238"/>
      <c r="T89" s="52"/>
      <c r="U89" s="173"/>
      <c r="V89" s="173"/>
      <c r="W89" s="173"/>
      <c r="X89" s="173"/>
      <c r="Y89" s="173"/>
      <c r="Z89" s="173"/>
      <c r="AA89" s="173"/>
      <c r="AB89" s="173"/>
      <c r="AC89" s="173"/>
      <c r="AD89" s="173"/>
      <c r="AE89" s="173"/>
      <c r="AF89" s="173"/>
      <c r="AG89" s="173"/>
      <c r="AH89" s="173"/>
    </row>
    <row r="90" spans="3:34" s="235" customFormat="1" ht="15" customHeight="1">
      <c r="C90" s="1128"/>
      <c r="D90" s="175" t="str">
        <f>IF(Indice_index!$Z$1=1,"abril","April")</f>
        <v>April</v>
      </c>
      <c r="E90" s="173">
        <v>407815</v>
      </c>
      <c r="F90" s="173">
        <v>72188</v>
      </c>
      <c r="G90" s="173">
        <v>163281</v>
      </c>
      <c r="H90" s="173">
        <v>643284</v>
      </c>
      <c r="I90" s="235">
        <v>1100.2</v>
      </c>
      <c r="K90" s="173">
        <v>450496</v>
      </c>
      <c r="M90" s="238"/>
      <c r="N90" s="238"/>
      <c r="O90" s="238"/>
      <c r="P90" s="238"/>
      <c r="Q90" s="238"/>
      <c r="R90" s="238"/>
      <c r="S90" s="238"/>
      <c r="T90" s="52"/>
      <c r="U90" s="173"/>
      <c r="V90" s="173"/>
      <c r="W90" s="173"/>
      <c r="X90" s="173"/>
      <c r="Y90" s="173"/>
      <c r="Z90" s="173"/>
      <c r="AA90" s="173"/>
      <c r="AB90" s="173"/>
      <c r="AC90" s="173"/>
      <c r="AD90" s="173"/>
      <c r="AE90" s="173"/>
      <c r="AF90" s="173"/>
      <c r="AG90" s="173"/>
      <c r="AH90" s="173"/>
    </row>
    <row r="91" spans="3:34" s="235" customFormat="1" ht="15" customHeight="1">
      <c r="C91" s="1128"/>
      <c r="D91" s="175" t="str">
        <f>IF(Indice_index!$Z$1=1,"maio","May")</f>
        <v>May</v>
      </c>
      <c r="E91" s="173">
        <v>407971</v>
      </c>
      <c r="F91" s="173">
        <v>72134</v>
      </c>
      <c r="G91" s="173">
        <v>162934</v>
      </c>
      <c r="H91" s="173">
        <v>643039</v>
      </c>
      <c r="I91" s="235">
        <v>1095.9000000000001</v>
      </c>
      <c r="K91" s="173">
        <v>449662</v>
      </c>
      <c r="M91" s="238"/>
      <c r="N91" s="238"/>
      <c r="O91" s="238"/>
      <c r="P91" s="238"/>
      <c r="Q91" s="238"/>
      <c r="R91" s="238"/>
      <c r="S91" s="238"/>
      <c r="T91" s="52"/>
      <c r="U91" s="173"/>
      <c r="V91" s="173"/>
      <c r="W91" s="173"/>
      <c r="X91" s="173"/>
      <c r="Y91" s="173"/>
      <c r="Z91" s="173"/>
      <c r="AA91" s="173"/>
      <c r="AB91" s="173"/>
      <c r="AC91" s="173"/>
      <c r="AD91" s="173"/>
      <c r="AE91" s="173"/>
      <c r="AF91" s="173"/>
      <c r="AG91" s="173"/>
      <c r="AH91" s="173"/>
    </row>
    <row r="92" spans="3:34" s="235" customFormat="1" ht="15" customHeight="1">
      <c r="C92" s="1128"/>
      <c r="D92" s="175" t="str">
        <f>IF(Indice_index!$Z$1=1,"junho","June")</f>
        <v>June</v>
      </c>
      <c r="E92" s="173">
        <v>407744</v>
      </c>
      <c r="F92" s="173">
        <v>72014</v>
      </c>
      <c r="G92" s="173">
        <v>162816</v>
      </c>
      <c r="H92" s="173">
        <v>642574</v>
      </c>
      <c r="I92" s="235">
        <v>1096.5999999999999</v>
      </c>
      <c r="K92" s="173">
        <v>448884</v>
      </c>
      <c r="M92" s="238"/>
      <c r="N92" s="238"/>
      <c r="O92" s="238"/>
      <c r="P92" s="238"/>
      <c r="Q92" s="238"/>
      <c r="R92" s="238"/>
      <c r="S92" s="238"/>
      <c r="T92" s="52"/>
      <c r="U92" s="173"/>
      <c r="V92" s="173"/>
      <c r="W92" s="173"/>
      <c r="X92" s="173"/>
      <c r="Y92" s="173"/>
      <c r="Z92" s="173"/>
      <c r="AA92" s="173"/>
      <c r="AB92" s="173"/>
      <c r="AC92" s="173"/>
      <c r="AD92" s="173"/>
      <c r="AE92" s="173"/>
      <c r="AF92" s="173"/>
      <c r="AG92" s="173"/>
      <c r="AH92" s="173"/>
    </row>
    <row r="93" spans="3:34" s="235" customFormat="1" ht="15" customHeight="1">
      <c r="C93" s="1128"/>
      <c r="D93" s="175" t="str">
        <f>IF(Indice_index!$Z$1=1,"julho","July")</f>
        <v>July</v>
      </c>
      <c r="E93" s="173">
        <v>407647</v>
      </c>
      <c r="F93" s="173">
        <v>71945</v>
      </c>
      <c r="G93" s="173">
        <v>162897</v>
      </c>
      <c r="H93" s="173">
        <v>642489</v>
      </c>
      <c r="I93" s="235">
        <v>2144.1999999999998</v>
      </c>
      <c r="K93" s="173">
        <v>448063</v>
      </c>
      <c r="M93" s="238"/>
      <c r="N93" s="238"/>
      <c r="O93" s="238"/>
      <c r="P93" s="238"/>
      <c r="Q93" s="238"/>
      <c r="R93" s="238"/>
      <c r="S93" s="238"/>
      <c r="T93" s="52"/>
      <c r="U93" s="173"/>
      <c r="V93" s="173"/>
      <c r="W93" s="173"/>
      <c r="X93" s="173"/>
      <c r="Y93" s="173"/>
      <c r="Z93" s="173"/>
      <c r="AA93" s="173"/>
      <c r="AB93" s="173"/>
      <c r="AC93" s="173"/>
      <c r="AD93" s="173"/>
      <c r="AE93" s="173"/>
      <c r="AF93" s="173"/>
      <c r="AG93" s="173"/>
      <c r="AH93" s="173"/>
    </row>
    <row r="94" spans="3:34" s="235" customFormat="1" ht="15" customHeight="1">
      <c r="C94" s="1128"/>
      <c r="D94" s="175" t="str">
        <f>IF(Indice_index!$Z$1=1,"agosto","August")</f>
        <v>August</v>
      </c>
      <c r="E94" s="175">
        <v>407684</v>
      </c>
      <c r="F94" s="175">
        <v>71867</v>
      </c>
      <c r="G94" s="175">
        <v>162936</v>
      </c>
      <c r="H94" s="175">
        <v>642487</v>
      </c>
      <c r="I94" s="174">
        <v>1097.7</v>
      </c>
      <c r="J94" s="174"/>
      <c r="K94" s="175">
        <v>447165</v>
      </c>
      <c r="M94" s="238"/>
      <c r="N94" s="238"/>
      <c r="O94" s="238"/>
      <c r="P94" s="238"/>
      <c r="Q94" s="238"/>
      <c r="R94" s="238"/>
      <c r="S94" s="238"/>
      <c r="T94" s="52"/>
      <c r="U94" s="173"/>
      <c r="V94" s="173"/>
      <c r="W94" s="173"/>
      <c r="X94" s="173"/>
      <c r="Y94" s="173"/>
      <c r="Z94" s="173"/>
      <c r="AA94" s="173"/>
      <c r="AB94" s="173"/>
      <c r="AC94" s="173"/>
      <c r="AD94" s="173"/>
      <c r="AE94" s="173"/>
      <c r="AF94" s="173"/>
      <c r="AG94" s="173"/>
      <c r="AH94" s="173"/>
    </row>
    <row r="95" spans="3:34" s="235" customFormat="1" ht="15" customHeight="1">
      <c r="C95" s="1128"/>
      <c r="D95" s="175" t="str">
        <f>IF(Indice_index!$Z$1=1,"setembro","September")</f>
        <v>September</v>
      </c>
      <c r="E95" s="175">
        <v>407781</v>
      </c>
      <c r="F95" s="175">
        <v>71807</v>
      </c>
      <c r="G95" s="175">
        <v>162807</v>
      </c>
      <c r="H95" s="175">
        <v>642395</v>
      </c>
      <c r="I95" s="174">
        <v>1098.4000000000001</v>
      </c>
      <c r="J95" s="174"/>
      <c r="K95" s="175">
        <v>446011</v>
      </c>
      <c r="M95" s="238"/>
      <c r="N95" s="238"/>
      <c r="O95" s="238"/>
      <c r="P95" s="238"/>
      <c r="Q95" s="238"/>
      <c r="R95" s="238"/>
      <c r="S95" s="238"/>
      <c r="T95" s="52"/>
      <c r="U95" s="173"/>
      <c r="V95" s="173"/>
      <c r="W95" s="173"/>
      <c r="X95" s="173"/>
      <c r="Y95" s="173"/>
      <c r="Z95" s="173"/>
      <c r="AA95" s="173"/>
      <c r="AB95" s="173"/>
      <c r="AC95" s="173"/>
      <c r="AD95" s="173"/>
      <c r="AE95" s="173"/>
      <c r="AF95" s="173"/>
      <c r="AG95" s="173"/>
      <c r="AH95" s="173"/>
    </row>
    <row r="96" spans="3:34" s="235" customFormat="1" ht="15" customHeight="1">
      <c r="C96" s="1128"/>
      <c r="D96" s="175" t="str">
        <f>IF(Indice_index!$Z$1=1,"outubro","October")</f>
        <v>October</v>
      </c>
      <c r="E96" s="175">
        <v>407480</v>
      </c>
      <c r="F96" s="175">
        <v>71695</v>
      </c>
      <c r="G96" s="175">
        <v>162615</v>
      </c>
      <c r="H96" s="175">
        <v>641790</v>
      </c>
      <c r="I96" s="174">
        <v>1108.7</v>
      </c>
      <c r="J96" s="174"/>
      <c r="K96" s="175">
        <v>445215</v>
      </c>
      <c r="M96" s="238"/>
      <c r="N96" s="238"/>
      <c r="O96" s="238"/>
      <c r="P96" s="238"/>
      <c r="Q96" s="238"/>
      <c r="R96" s="238"/>
      <c r="S96" s="238"/>
      <c r="T96" s="52"/>
      <c r="U96" s="173"/>
      <c r="V96" s="173"/>
      <c r="W96" s="173"/>
      <c r="X96" s="173"/>
      <c r="Y96" s="173"/>
      <c r="Z96" s="173"/>
      <c r="AA96" s="173"/>
      <c r="AB96" s="173"/>
      <c r="AC96" s="173"/>
      <c r="AD96" s="173"/>
      <c r="AE96" s="173"/>
      <c r="AF96" s="173"/>
      <c r="AG96" s="173"/>
      <c r="AH96" s="173"/>
    </row>
    <row r="97" spans="3:34" s="235" customFormat="1" ht="15" customHeight="1">
      <c r="C97" s="1128"/>
      <c r="D97" s="175" t="str">
        <f>IF(Indice_index!$Z$1=1,"novembro","November")</f>
        <v>November</v>
      </c>
      <c r="E97" s="175">
        <v>407421</v>
      </c>
      <c r="F97" s="175">
        <v>71630</v>
      </c>
      <c r="G97" s="175">
        <v>162922</v>
      </c>
      <c r="H97" s="175">
        <v>641973</v>
      </c>
      <c r="I97" s="174">
        <v>2172.6999999999998</v>
      </c>
      <c r="J97" s="174"/>
      <c r="K97" s="175">
        <v>444449</v>
      </c>
      <c r="M97" s="238"/>
      <c r="N97" s="238"/>
      <c r="O97" s="238"/>
      <c r="P97" s="238"/>
      <c r="Q97" s="238"/>
      <c r="R97" s="238"/>
      <c r="S97" s="238"/>
      <c r="T97" s="52"/>
      <c r="U97" s="173"/>
      <c r="V97" s="173"/>
      <c r="W97" s="173"/>
      <c r="X97" s="173"/>
      <c r="Y97" s="173"/>
      <c r="Z97" s="173"/>
      <c r="AA97" s="173"/>
      <c r="AB97" s="173"/>
      <c r="AC97" s="173"/>
      <c r="AD97" s="173"/>
      <c r="AE97" s="173"/>
      <c r="AF97" s="173"/>
      <c r="AG97" s="173"/>
      <c r="AH97" s="173"/>
    </row>
    <row r="98" spans="3:34" s="174" customFormat="1" ht="15" customHeight="1">
      <c r="C98" s="1130"/>
      <c r="D98" s="175" t="str">
        <f>IF(Indice_index!$Z$1=1,"dezembro","December")</f>
        <v>December</v>
      </c>
      <c r="E98" s="175">
        <v>407476</v>
      </c>
      <c r="F98" s="175">
        <v>71656</v>
      </c>
      <c r="G98" s="175">
        <v>163168</v>
      </c>
      <c r="H98" s="175">
        <v>642300</v>
      </c>
      <c r="I98" s="174">
        <v>1119.8</v>
      </c>
      <c r="J98" s="175"/>
      <c r="K98" s="175">
        <v>443528</v>
      </c>
      <c r="M98" s="238"/>
      <c r="N98" s="238"/>
      <c r="O98" s="238"/>
      <c r="P98" s="238"/>
      <c r="Q98" s="238"/>
      <c r="R98" s="238"/>
      <c r="S98" s="238"/>
      <c r="T98" s="164"/>
      <c r="U98" s="175"/>
      <c r="V98" s="175"/>
      <c r="W98" s="175"/>
      <c r="X98" s="175"/>
      <c r="Y98" s="175"/>
      <c r="Z98" s="175"/>
      <c r="AA98" s="175"/>
      <c r="AB98" s="175"/>
      <c r="AC98" s="175"/>
      <c r="AD98" s="175"/>
      <c r="AE98" s="175"/>
      <c r="AF98" s="175"/>
      <c r="AG98" s="175"/>
      <c r="AH98" s="175"/>
    </row>
    <row r="99" spans="3:34" s="235" customFormat="1" ht="15" customHeight="1">
      <c r="C99" s="1129">
        <v>2019</v>
      </c>
      <c r="D99" s="175"/>
      <c r="E99" s="175"/>
      <c r="F99" s="175"/>
      <c r="G99" s="175"/>
      <c r="H99" s="175"/>
      <c r="I99" s="174"/>
      <c r="J99" s="174"/>
      <c r="K99" s="175"/>
      <c r="M99" s="238"/>
      <c r="N99" s="238"/>
      <c r="O99" s="238"/>
      <c r="P99" s="238"/>
      <c r="Q99" s="238"/>
      <c r="R99" s="238"/>
      <c r="S99" s="238"/>
      <c r="T99" s="52"/>
      <c r="U99" s="173"/>
      <c r="V99" s="173"/>
      <c r="W99" s="173"/>
      <c r="X99" s="173"/>
      <c r="Y99" s="173"/>
      <c r="Z99" s="173"/>
      <c r="AA99" s="173"/>
      <c r="AB99" s="173"/>
      <c r="AC99" s="173"/>
      <c r="AD99" s="173"/>
      <c r="AE99" s="173"/>
      <c r="AF99" s="173"/>
      <c r="AG99" s="173"/>
      <c r="AH99" s="173"/>
    </row>
    <row r="100" spans="3:34" s="235" customFormat="1" ht="15" customHeight="1">
      <c r="C100" s="1128"/>
      <c r="D100" s="175" t="str">
        <f>IF(Indice_index!$Z$1=1,"janeiro","January")</f>
        <v>January</v>
      </c>
      <c r="E100" s="1131">
        <v>407457</v>
      </c>
      <c r="F100" s="1131">
        <v>71632</v>
      </c>
      <c r="G100" s="1131">
        <v>163301</v>
      </c>
      <c r="H100" s="1131">
        <v>642390</v>
      </c>
      <c r="I100" s="1132">
        <v>1144.9000000000001</v>
      </c>
      <c r="J100" s="1132"/>
      <c r="K100" s="1131">
        <v>442491</v>
      </c>
      <c r="M100" s="238"/>
      <c r="N100" s="238"/>
      <c r="O100" s="238"/>
      <c r="P100" s="238"/>
      <c r="Q100" s="238"/>
      <c r="R100" s="238"/>
      <c r="S100" s="238"/>
      <c r="T100" s="52"/>
      <c r="U100" s="173"/>
      <c r="V100" s="173"/>
      <c r="W100" s="173"/>
      <c r="X100" s="173"/>
      <c r="Y100" s="173"/>
      <c r="Z100" s="173"/>
      <c r="AA100" s="173"/>
      <c r="AB100" s="173"/>
      <c r="AC100" s="173"/>
      <c r="AD100" s="173"/>
      <c r="AE100" s="173"/>
      <c r="AF100" s="173"/>
      <c r="AG100" s="173"/>
      <c r="AH100" s="173"/>
    </row>
    <row r="101" spans="3:34" s="235" customFormat="1" ht="15" customHeight="1">
      <c r="C101" s="1128"/>
      <c r="D101" s="175" t="str">
        <f>IF(Indice_index!$Z$1=1,"fevereiro","February")</f>
        <v>February</v>
      </c>
      <c r="E101" s="1131">
        <v>407174</v>
      </c>
      <c r="F101" s="1131">
        <v>71523</v>
      </c>
      <c r="G101" s="1131">
        <v>163477</v>
      </c>
      <c r="H101" s="1131">
        <v>642174</v>
      </c>
      <c r="I101" s="1132">
        <v>1120.0999999999999</v>
      </c>
      <c r="J101" s="1132"/>
      <c r="K101" s="1131">
        <v>441603</v>
      </c>
      <c r="M101" s="238"/>
      <c r="N101" s="238"/>
      <c r="O101" s="238"/>
      <c r="P101" s="238"/>
      <c r="Q101" s="238"/>
      <c r="R101" s="238"/>
      <c r="S101" s="238"/>
      <c r="T101" s="52"/>
      <c r="U101" s="173"/>
      <c r="V101" s="173"/>
      <c r="W101" s="173"/>
      <c r="X101" s="173"/>
      <c r="Y101" s="173"/>
      <c r="Z101" s="173"/>
      <c r="AA101" s="173"/>
      <c r="AB101" s="173"/>
      <c r="AC101" s="173"/>
      <c r="AD101" s="173"/>
      <c r="AE101" s="173"/>
      <c r="AF101" s="173"/>
      <c r="AG101" s="173"/>
      <c r="AH101" s="173"/>
    </row>
    <row r="102" spans="3:34" s="235" customFormat="1" ht="15" customHeight="1">
      <c r="C102" s="1128"/>
      <c r="D102" s="175" t="str">
        <f>IF(Indice_index!$Z$1=1,"março","March")</f>
        <v>March</v>
      </c>
      <c r="E102" s="1131">
        <v>406468</v>
      </c>
      <c r="F102" s="1131">
        <v>71486</v>
      </c>
      <c r="G102" s="1131">
        <v>163448</v>
      </c>
      <c r="H102" s="1131">
        <v>641402</v>
      </c>
      <c r="I102" s="1132">
        <v>1108.9000000000001</v>
      </c>
      <c r="J102" s="1132"/>
      <c r="K102" s="1131">
        <v>440601</v>
      </c>
      <c r="M102" s="238"/>
      <c r="N102" s="238"/>
      <c r="O102" s="238"/>
      <c r="P102" s="238"/>
      <c r="Q102" s="238"/>
      <c r="R102" s="238"/>
      <c r="S102" s="238"/>
      <c r="T102" s="52"/>
      <c r="U102" s="173"/>
      <c r="V102" s="173"/>
      <c r="W102" s="173"/>
      <c r="X102" s="173"/>
      <c r="Y102" s="173"/>
      <c r="Z102" s="173"/>
      <c r="AA102" s="173"/>
      <c r="AB102" s="173"/>
      <c r="AC102" s="173"/>
      <c r="AD102" s="173"/>
      <c r="AE102" s="173"/>
      <c r="AF102" s="173"/>
      <c r="AG102" s="173"/>
      <c r="AH102" s="173"/>
    </row>
    <row r="103" spans="3:34" s="235" customFormat="1" ht="15" customHeight="1">
      <c r="C103" s="1128"/>
      <c r="D103" s="175" t="str">
        <f>IF(Indice_index!$Z$1=1,"abril","April")</f>
        <v>April</v>
      </c>
      <c r="E103" s="1131">
        <v>406554</v>
      </c>
      <c r="F103" s="1131">
        <v>71547</v>
      </c>
      <c r="G103" s="1131">
        <v>163401</v>
      </c>
      <c r="H103" s="1131">
        <v>641502</v>
      </c>
      <c r="I103" s="1132">
        <v>1115.8</v>
      </c>
      <c r="J103" s="1132"/>
      <c r="K103" s="1131">
        <v>439717</v>
      </c>
      <c r="M103" s="238"/>
      <c r="N103" s="238"/>
      <c r="O103" s="238"/>
      <c r="P103" s="238"/>
      <c r="Q103" s="238"/>
      <c r="R103" s="238"/>
      <c r="S103" s="238"/>
      <c r="T103" s="52"/>
      <c r="U103" s="173"/>
      <c r="V103" s="173"/>
      <c r="W103" s="173"/>
      <c r="X103" s="173"/>
      <c r="Y103" s="173"/>
      <c r="Z103" s="173"/>
      <c r="AA103" s="173"/>
      <c r="AB103" s="173"/>
      <c r="AC103" s="173"/>
      <c r="AD103" s="173"/>
      <c r="AE103" s="173"/>
      <c r="AF103" s="173"/>
      <c r="AG103" s="173"/>
      <c r="AH103" s="173"/>
    </row>
    <row r="104" spans="3:34" s="235" customFormat="1" ht="15" customHeight="1">
      <c r="C104" s="1128"/>
      <c r="D104" s="175" t="str">
        <f>IF(Indice_index!$Z$1=1,"maio","May")</f>
        <v>May</v>
      </c>
      <c r="E104" s="1131">
        <v>406842</v>
      </c>
      <c r="F104" s="1131">
        <v>71546</v>
      </c>
      <c r="G104" s="1131">
        <v>163306</v>
      </c>
      <c r="H104" s="1131">
        <v>641694</v>
      </c>
      <c r="I104" s="1132">
        <v>1112.3</v>
      </c>
      <c r="J104" s="1132"/>
      <c r="K104" s="1131">
        <v>438794</v>
      </c>
      <c r="M104" s="238"/>
      <c r="N104" s="238"/>
      <c r="O104" s="238"/>
      <c r="P104" s="238"/>
      <c r="Q104" s="238"/>
      <c r="R104" s="238"/>
      <c r="S104" s="238"/>
      <c r="T104" s="52"/>
      <c r="U104" s="173"/>
      <c r="V104" s="173"/>
      <c r="W104" s="173"/>
      <c r="X104" s="173"/>
      <c r="Y104" s="173"/>
      <c r="Z104" s="173"/>
      <c r="AA104" s="173"/>
      <c r="AB104" s="173"/>
      <c r="AC104" s="173"/>
      <c r="AD104" s="173"/>
      <c r="AE104" s="173"/>
      <c r="AF104" s="173"/>
      <c r="AG104" s="173"/>
      <c r="AH104" s="173"/>
    </row>
    <row r="105" spans="3:34" s="235" customFormat="1" ht="15" customHeight="1">
      <c r="C105" s="1128"/>
      <c r="D105" s="175" t="str">
        <f>IF(Indice_index!$Z$1=1,"junho","June")</f>
        <v>June</v>
      </c>
      <c r="E105" s="1131">
        <v>406804</v>
      </c>
      <c r="F105" s="1131">
        <v>71532</v>
      </c>
      <c r="G105" s="1131">
        <v>163596</v>
      </c>
      <c r="H105" s="1131">
        <v>641932</v>
      </c>
      <c r="I105" s="1132">
        <v>1113.0999999999999</v>
      </c>
      <c r="J105" s="1132"/>
      <c r="K105" s="1131">
        <v>437767</v>
      </c>
      <c r="M105" s="238"/>
      <c r="N105" s="238"/>
      <c r="O105" s="238"/>
      <c r="P105" s="238"/>
      <c r="Q105" s="238"/>
      <c r="R105" s="238"/>
      <c r="S105" s="238"/>
      <c r="T105" s="52"/>
      <c r="U105" s="173"/>
      <c r="V105" s="173"/>
      <c r="W105" s="173"/>
      <c r="X105" s="173"/>
      <c r="Y105" s="173"/>
      <c r="Z105" s="173"/>
      <c r="AA105" s="173"/>
      <c r="AB105" s="173"/>
      <c r="AC105" s="173"/>
      <c r="AD105" s="173"/>
      <c r="AE105" s="173"/>
      <c r="AF105" s="173"/>
      <c r="AG105" s="173"/>
      <c r="AH105" s="173"/>
    </row>
    <row r="106" spans="3:34" s="235" customFormat="1" ht="15" customHeight="1">
      <c r="C106" s="1128"/>
      <c r="D106" s="175" t="str">
        <f>IF(Indice_index!$Z$1=1,"julho","July")</f>
        <v>July</v>
      </c>
      <c r="E106" s="1131">
        <v>407083</v>
      </c>
      <c r="F106" s="1131">
        <v>71510</v>
      </c>
      <c r="G106" s="1131">
        <v>163772</v>
      </c>
      <c r="H106" s="1131">
        <v>642365</v>
      </c>
      <c r="I106" s="1132">
        <v>2173.6</v>
      </c>
      <c r="J106" s="1132"/>
      <c r="K106" s="1131">
        <v>436900</v>
      </c>
      <c r="M106" s="238"/>
      <c r="N106" s="238"/>
      <c r="O106" s="238"/>
      <c r="P106" s="238"/>
      <c r="Q106" s="238"/>
      <c r="R106" s="238"/>
      <c r="S106" s="238"/>
      <c r="T106" s="52"/>
      <c r="U106" s="173"/>
      <c r="V106" s="173"/>
      <c r="W106" s="173"/>
      <c r="X106" s="173"/>
      <c r="Y106" s="173"/>
      <c r="Z106" s="173"/>
      <c r="AA106" s="173"/>
      <c r="AB106" s="173"/>
      <c r="AC106" s="173"/>
      <c r="AD106" s="173"/>
      <c r="AE106" s="173"/>
      <c r="AF106" s="173"/>
      <c r="AG106" s="173"/>
      <c r="AH106" s="173"/>
    </row>
    <row r="107" spans="3:34" s="235" customFormat="1" ht="15" customHeight="1">
      <c r="C107" s="1128"/>
      <c r="D107" s="175" t="str">
        <f>IF(Indice_index!$Z$1=1,"agosto","August")</f>
        <v>August</v>
      </c>
      <c r="E107" s="1131">
        <v>407210</v>
      </c>
      <c r="F107" s="1131">
        <v>71452</v>
      </c>
      <c r="G107" s="1131">
        <v>164027</v>
      </c>
      <c r="H107" s="1131">
        <v>642689</v>
      </c>
      <c r="I107" s="1132">
        <v>1132.9000000000001</v>
      </c>
      <c r="J107" s="1132"/>
      <c r="K107" s="1131">
        <v>435837</v>
      </c>
      <c r="M107" s="233"/>
      <c r="N107" s="233"/>
      <c r="O107" s="233"/>
      <c r="P107" s="233"/>
      <c r="Q107" s="233"/>
      <c r="R107" s="233"/>
      <c r="S107" s="233"/>
      <c r="T107" s="52"/>
      <c r="U107" s="173"/>
      <c r="V107" s="173"/>
      <c r="W107" s="173"/>
      <c r="X107" s="173"/>
      <c r="Y107" s="173"/>
      <c r="Z107" s="173"/>
      <c r="AA107" s="173"/>
      <c r="AB107" s="173"/>
      <c r="AC107" s="173"/>
      <c r="AD107" s="173"/>
      <c r="AE107" s="173"/>
      <c r="AF107" s="173"/>
      <c r="AG107" s="173"/>
      <c r="AH107" s="173"/>
    </row>
    <row r="108" spans="3:34" s="235" customFormat="1" ht="15" customHeight="1">
      <c r="C108" s="1128"/>
      <c r="D108" s="175" t="str">
        <f>IF(Indice_index!$Z$1=1,"setembro","September")</f>
        <v>September</v>
      </c>
      <c r="E108" s="1131">
        <v>407461</v>
      </c>
      <c r="F108" s="1131">
        <v>71450</v>
      </c>
      <c r="G108" s="1131">
        <v>164231</v>
      </c>
      <c r="H108" s="1131">
        <v>643142</v>
      </c>
      <c r="I108" s="1132">
        <v>1113.5999999999999</v>
      </c>
      <c r="J108" s="1132"/>
      <c r="K108" s="1131">
        <v>434703</v>
      </c>
      <c r="M108" s="233"/>
      <c r="N108" s="233"/>
      <c r="O108" s="233"/>
      <c r="P108" s="233"/>
      <c r="Q108" s="233"/>
      <c r="R108" s="233"/>
      <c r="S108" s="233"/>
      <c r="T108" s="52"/>
      <c r="U108" s="173"/>
      <c r="V108" s="173"/>
      <c r="W108" s="173"/>
      <c r="X108" s="173"/>
      <c r="Y108" s="173"/>
      <c r="Z108" s="173"/>
      <c r="AA108" s="173"/>
      <c r="AB108" s="173"/>
      <c r="AC108" s="173"/>
      <c r="AD108" s="173"/>
      <c r="AE108" s="173"/>
      <c r="AF108" s="173"/>
      <c r="AG108" s="173"/>
      <c r="AH108" s="173"/>
    </row>
    <row r="109" spans="3:34" s="235" customFormat="1" ht="15" customHeight="1">
      <c r="C109" s="1128"/>
      <c r="D109" s="175" t="str">
        <f>IF(Indice_index!$Z$1=1,"outubro","October")</f>
        <v>October</v>
      </c>
      <c r="E109" s="1133">
        <v>407389</v>
      </c>
      <c r="F109" s="1133">
        <v>71309</v>
      </c>
      <c r="G109" s="1133">
        <v>164320</v>
      </c>
      <c r="H109" s="1133">
        <v>643018</v>
      </c>
      <c r="I109" s="1134">
        <v>1111.7</v>
      </c>
      <c r="J109" s="1134"/>
      <c r="K109" s="1133">
        <v>433596</v>
      </c>
      <c r="M109" s="233"/>
      <c r="N109" s="233"/>
      <c r="O109" s="233"/>
      <c r="P109" s="233"/>
      <c r="Q109" s="233"/>
      <c r="R109" s="233"/>
      <c r="S109" s="233"/>
      <c r="T109" s="52"/>
      <c r="U109" s="173"/>
      <c r="V109" s="173"/>
      <c r="W109" s="173"/>
      <c r="X109" s="173"/>
      <c r="Y109" s="173"/>
      <c r="Z109" s="173"/>
      <c r="AA109" s="173"/>
      <c r="AB109" s="173"/>
      <c r="AC109" s="173"/>
      <c r="AD109" s="173"/>
      <c r="AE109" s="173"/>
      <c r="AF109" s="173"/>
      <c r="AG109" s="173"/>
      <c r="AH109" s="173"/>
    </row>
    <row r="110" spans="3:34" s="235" customFormat="1" ht="15" customHeight="1">
      <c r="C110" s="1128"/>
      <c r="D110" s="175" t="str">
        <f>IF(Indice_index!$Z$1=1,"novembro","November")</f>
        <v>November</v>
      </c>
      <c r="E110" s="1135">
        <v>408592</v>
      </c>
      <c r="F110" s="1135">
        <v>71287</v>
      </c>
      <c r="G110" s="1135">
        <v>164693</v>
      </c>
      <c r="H110" s="1135">
        <v>644572</v>
      </c>
      <c r="I110" s="1136">
        <v>2221.3000000000002</v>
      </c>
      <c r="J110" s="1136"/>
      <c r="K110" s="1135">
        <v>432386</v>
      </c>
      <c r="M110" s="233"/>
      <c r="N110" s="233"/>
      <c r="O110" s="233"/>
      <c r="P110" s="233"/>
      <c r="Q110" s="233"/>
      <c r="R110" s="233"/>
      <c r="S110" s="233"/>
      <c r="T110" s="52"/>
      <c r="U110" s="173"/>
      <c r="V110" s="173"/>
      <c r="W110" s="173"/>
      <c r="X110" s="173"/>
      <c r="Y110" s="173"/>
      <c r="Z110" s="173"/>
      <c r="AA110" s="173"/>
      <c r="AB110" s="173"/>
      <c r="AC110" s="173"/>
      <c r="AD110" s="173"/>
      <c r="AE110" s="173"/>
      <c r="AF110" s="173"/>
      <c r="AG110" s="173"/>
      <c r="AH110" s="173"/>
    </row>
    <row r="111" spans="3:34" s="174" customFormat="1" ht="15" customHeight="1">
      <c r="C111" s="1130"/>
      <c r="D111" s="175" t="str">
        <f>IF(Indice_index!$Z$1=1,"dezembro","December")</f>
        <v>December</v>
      </c>
      <c r="E111" s="175">
        <v>409789</v>
      </c>
      <c r="F111" s="175">
        <v>71225</v>
      </c>
      <c r="G111" s="175">
        <v>164514</v>
      </c>
      <c r="H111" s="175">
        <v>645528</v>
      </c>
      <c r="I111" s="174">
        <v>1129.8</v>
      </c>
      <c r="J111" s="175"/>
      <c r="K111" s="175">
        <v>431132</v>
      </c>
      <c r="M111" s="233"/>
      <c r="N111" s="233"/>
      <c r="O111" s="233"/>
      <c r="P111" s="233"/>
      <c r="Q111" s="233"/>
      <c r="R111" s="233"/>
      <c r="S111" s="233"/>
      <c r="T111" s="164"/>
      <c r="U111" s="175"/>
      <c r="V111" s="175"/>
      <c r="W111" s="175"/>
      <c r="X111" s="175"/>
      <c r="Y111" s="175"/>
      <c r="Z111" s="175"/>
      <c r="AA111" s="175"/>
      <c r="AB111" s="175"/>
      <c r="AC111" s="175"/>
      <c r="AD111" s="175"/>
      <c r="AE111" s="175"/>
      <c r="AF111" s="175"/>
      <c r="AG111" s="175"/>
      <c r="AH111" s="175"/>
    </row>
    <row r="112" spans="3:34" s="235" customFormat="1" ht="15" customHeight="1">
      <c r="C112" s="1129">
        <v>2020</v>
      </c>
      <c r="D112" s="175"/>
      <c r="E112" s="175"/>
      <c r="F112" s="175"/>
      <c r="G112" s="175"/>
      <c r="H112" s="175"/>
      <c r="I112" s="174"/>
      <c r="J112" s="174"/>
      <c r="K112" s="175"/>
      <c r="M112" s="238"/>
      <c r="N112" s="238"/>
      <c r="O112" s="238"/>
      <c r="P112" s="238"/>
      <c r="Q112" s="238"/>
      <c r="R112" s="238"/>
      <c r="S112" s="238"/>
      <c r="T112" s="52"/>
      <c r="U112" s="173"/>
      <c r="V112" s="173"/>
      <c r="W112" s="173"/>
      <c r="X112" s="173"/>
      <c r="Y112" s="173"/>
      <c r="Z112" s="173"/>
      <c r="AA112" s="173"/>
      <c r="AB112" s="173"/>
      <c r="AC112" s="173"/>
      <c r="AD112" s="173"/>
      <c r="AE112" s="173"/>
      <c r="AF112" s="173"/>
      <c r="AG112" s="173"/>
      <c r="AH112" s="173"/>
    </row>
    <row r="113" spans="3:34" s="235" customFormat="1" ht="15" customHeight="1">
      <c r="C113" s="1128"/>
      <c r="D113" s="175" t="str">
        <f>IF(Indice_index!$Z$1=1,"janeiro","January")</f>
        <v>January</v>
      </c>
      <c r="E113" s="1131">
        <v>410101</v>
      </c>
      <c r="F113" s="1131">
        <v>71061</v>
      </c>
      <c r="G113" s="1131">
        <v>165420</v>
      </c>
      <c r="H113" s="1131">
        <v>646582</v>
      </c>
      <c r="I113" s="1132">
        <v>1146.5</v>
      </c>
      <c r="J113" s="1132"/>
      <c r="K113" s="1131">
        <v>429965</v>
      </c>
      <c r="M113" s="238"/>
      <c r="N113" s="238"/>
      <c r="O113" s="238"/>
      <c r="P113" s="238"/>
      <c r="Q113" s="238"/>
      <c r="R113" s="238"/>
      <c r="S113" s="238"/>
      <c r="T113" s="52"/>
      <c r="U113" s="173"/>
      <c r="V113" s="173"/>
      <c r="W113" s="173"/>
      <c r="X113" s="173"/>
      <c r="Y113" s="173"/>
      <c r="Z113" s="173"/>
      <c r="AA113" s="173"/>
      <c r="AB113" s="173"/>
      <c r="AC113" s="173"/>
      <c r="AD113" s="173"/>
      <c r="AE113" s="173"/>
      <c r="AF113" s="173"/>
      <c r="AG113" s="173"/>
      <c r="AH113" s="173"/>
    </row>
    <row r="114" spans="3:34" s="235" customFormat="1" ht="15" customHeight="1">
      <c r="C114" s="1128"/>
      <c r="D114" s="175" t="str">
        <f>IF(Indice_index!$Z$1=1,"fevereiro","February")</f>
        <v>February</v>
      </c>
      <c r="E114" s="1131">
        <v>410094</v>
      </c>
      <c r="F114" s="1131">
        <v>70877</v>
      </c>
      <c r="G114" s="1131">
        <v>165251</v>
      </c>
      <c r="H114" s="1131">
        <v>646222</v>
      </c>
      <c r="I114" s="1132">
        <v>1125.4000000000001</v>
      </c>
      <c r="J114" s="1132"/>
      <c r="K114" s="1131">
        <v>428711</v>
      </c>
      <c r="M114" s="238"/>
      <c r="N114" s="238"/>
      <c r="O114" s="238"/>
      <c r="P114" s="238"/>
      <c r="Q114" s="238"/>
      <c r="R114" s="238"/>
      <c r="S114" s="238"/>
      <c r="T114" s="52"/>
      <c r="U114" s="173"/>
      <c r="V114" s="173"/>
      <c r="W114" s="173"/>
      <c r="X114" s="173"/>
      <c r="Y114" s="173"/>
      <c r="Z114" s="173"/>
      <c r="AA114" s="173"/>
      <c r="AB114" s="173"/>
      <c r="AC114" s="173"/>
      <c r="AD114" s="173"/>
      <c r="AE114" s="173"/>
      <c r="AF114" s="173"/>
      <c r="AG114" s="173"/>
      <c r="AH114" s="173"/>
    </row>
    <row r="115" spans="3:34" s="235" customFormat="1" ht="15" customHeight="1">
      <c r="C115" s="1128"/>
      <c r="D115" s="175" t="str">
        <f>IF(Indice_index!$Z$1=1,"março","March")</f>
        <v>March</v>
      </c>
      <c r="E115" s="1131">
        <v>410087</v>
      </c>
      <c r="F115" s="1131">
        <v>70899</v>
      </c>
      <c r="G115" s="1131">
        <v>165182</v>
      </c>
      <c r="H115" s="1131">
        <v>646168</v>
      </c>
      <c r="I115" s="1132">
        <v>1121.3</v>
      </c>
      <c r="J115" s="1132"/>
      <c r="K115" s="1131">
        <v>427630</v>
      </c>
      <c r="M115" s="238"/>
      <c r="N115" s="238"/>
      <c r="O115" s="238"/>
      <c r="P115" s="238"/>
      <c r="Q115" s="238"/>
      <c r="R115" s="238"/>
      <c r="S115" s="238"/>
      <c r="T115" s="52"/>
      <c r="U115" s="173"/>
      <c r="V115" s="173"/>
      <c r="W115" s="173"/>
      <c r="X115" s="173"/>
      <c r="Y115" s="173"/>
      <c r="Z115" s="173"/>
      <c r="AA115" s="173"/>
      <c r="AB115" s="173"/>
      <c r="AC115" s="173"/>
      <c r="AD115" s="173"/>
      <c r="AE115" s="173"/>
      <c r="AF115" s="173"/>
      <c r="AG115" s="173"/>
      <c r="AH115" s="173"/>
    </row>
    <row r="116" spans="3:34" s="235" customFormat="1" ht="15" customHeight="1">
      <c r="C116" s="1128"/>
      <c r="D116" s="175" t="str">
        <f>IF(Indice_index!$Z$1=1,"abril","April")</f>
        <v>April</v>
      </c>
      <c r="E116" s="1131">
        <v>410375</v>
      </c>
      <c r="F116" s="1131">
        <v>70760</v>
      </c>
      <c r="G116" s="1131">
        <v>165317</v>
      </c>
      <c r="H116" s="1131">
        <v>646452</v>
      </c>
      <c r="I116" s="1132">
        <v>1121.3</v>
      </c>
      <c r="J116" s="1132"/>
      <c r="K116" s="1131">
        <v>426527</v>
      </c>
      <c r="M116" s="238"/>
      <c r="N116" s="238"/>
      <c r="O116" s="238"/>
      <c r="P116" s="238"/>
      <c r="Q116" s="238"/>
      <c r="R116" s="238"/>
      <c r="S116" s="238"/>
      <c r="T116" s="52"/>
      <c r="U116" s="173"/>
      <c r="V116" s="173"/>
      <c r="W116" s="173"/>
      <c r="X116" s="173"/>
      <c r="Y116" s="173"/>
      <c r="Z116" s="173"/>
      <c r="AA116" s="173"/>
      <c r="AB116" s="173"/>
      <c r="AC116" s="173"/>
      <c r="AD116" s="173"/>
      <c r="AE116" s="173"/>
      <c r="AF116" s="173"/>
      <c r="AG116" s="173"/>
      <c r="AH116" s="173"/>
    </row>
    <row r="117" spans="3:34" s="235" customFormat="1" ht="15" customHeight="1">
      <c r="C117" s="1128"/>
      <c r="D117" s="175" t="str">
        <f>IF(Indice_index!$Z$1=1,"maio","May")</f>
        <v>May</v>
      </c>
      <c r="E117" s="1137">
        <v>410802</v>
      </c>
      <c r="F117" s="1137">
        <v>70571</v>
      </c>
      <c r="G117" s="1137">
        <v>165247</v>
      </c>
      <c r="H117" s="1137">
        <v>646620</v>
      </c>
      <c r="I117" s="1138">
        <v>1119.5999999999999</v>
      </c>
      <c r="J117" s="1138"/>
      <c r="K117" s="1137">
        <v>425361</v>
      </c>
      <c r="M117" s="238"/>
      <c r="N117" s="238"/>
      <c r="O117" s="238"/>
      <c r="P117" s="238"/>
      <c r="Q117" s="238"/>
      <c r="R117" s="238"/>
      <c r="S117" s="238"/>
      <c r="T117" s="52"/>
      <c r="U117" s="173"/>
      <c r="V117" s="173"/>
      <c r="W117" s="173"/>
      <c r="X117" s="173"/>
      <c r="Y117" s="173"/>
      <c r="Z117" s="173"/>
      <c r="AA117" s="173"/>
      <c r="AB117" s="173"/>
      <c r="AC117" s="173"/>
      <c r="AD117" s="173"/>
      <c r="AE117" s="173"/>
      <c r="AF117" s="173"/>
      <c r="AG117" s="173"/>
      <c r="AH117" s="173"/>
    </row>
    <row r="118" spans="3:34" s="235" customFormat="1" ht="15" customHeight="1">
      <c r="C118" s="1128"/>
      <c r="D118" s="175" t="str">
        <f>IF(Indice_index!$Z$1=1,"junho","June")</f>
        <v>June</v>
      </c>
      <c r="E118" s="1131">
        <v>411240</v>
      </c>
      <c r="F118" s="1131">
        <v>70372</v>
      </c>
      <c r="G118" s="1131">
        <v>165253</v>
      </c>
      <c r="H118" s="1131">
        <v>646865</v>
      </c>
      <c r="I118" s="1132">
        <v>1119.5999999999999</v>
      </c>
      <c r="J118" s="1132"/>
      <c r="K118" s="1131">
        <v>424164</v>
      </c>
      <c r="M118" s="238"/>
      <c r="N118" s="238"/>
      <c r="O118" s="238"/>
      <c r="P118" s="238"/>
      <c r="Q118" s="238"/>
      <c r="R118" s="238"/>
      <c r="S118" s="238"/>
      <c r="T118" s="52"/>
      <c r="U118" s="173"/>
      <c r="V118" s="173"/>
      <c r="W118" s="173"/>
      <c r="X118" s="173"/>
      <c r="Y118" s="173"/>
      <c r="Z118" s="173"/>
      <c r="AA118" s="173"/>
      <c r="AB118" s="173"/>
      <c r="AC118" s="173"/>
      <c r="AD118" s="173"/>
      <c r="AE118" s="173"/>
      <c r="AF118" s="173"/>
      <c r="AG118" s="173"/>
      <c r="AH118" s="173"/>
    </row>
    <row r="119" spans="3:34" s="235" customFormat="1" ht="15" customHeight="1">
      <c r="C119" s="1128"/>
      <c r="D119" s="175" t="str">
        <f>IF(Indice_index!$Z$1=1,"julho","July")</f>
        <v>July</v>
      </c>
      <c r="E119" s="1131">
        <v>411780</v>
      </c>
      <c r="F119" s="1131">
        <v>70237</v>
      </c>
      <c r="G119" s="1131">
        <v>165534</v>
      </c>
      <c r="H119" s="1131">
        <v>647551</v>
      </c>
      <c r="I119" s="1132">
        <v>2184.8000000000002</v>
      </c>
      <c r="J119" s="1132"/>
      <c r="K119" s="1131">
        <v>422899</v>
      </c>
      <c r="M119" s="238"/>
      <c r="N119" s="238"/>
      <c r="O119" s="238"/>
      <c r="P119" s="238"/>
      <c r="Q119" s="238"/>
      <c r="R119" s="238"/>
      <c r="S119" s="238"/>
      <c r="T119" s="52"/>
      <c r="U119" s="173"/>
      <c r="V119" s="173"/>
      <c r="W119" s="173"/>
      <c r="X119" s="173"/>
      <c r="Y119" s="173"/>
      <c r="Z119" s="173"/>
      <c r="AA119" s="173"/>
      <c r="AB119" s="173"/>
      <c r="AC119" s="173"/>
      <c r="AD119" s="173"/>
      <c r="AE119" s="173"/>
      <c r="AF119" s="173"/>
      <c r="AG119" s="173"/>
      <c r="AH119" s="173"/>
    </row>
    <row r="120" spans="3:34" s="235" customFormat="1" ht="15" customHeight="1">
      <c r="C120" s="1128"/>
      <c r="D120" s="175" t="str">
        <f>IF(Indice_index!$Z$1=1,"agosto","August")</f>
        <v>August</v>
      </c>
      <c r="E120" s="1131">
        <v>412314</v>
      </c>
      <c r="F120" s="1131">
        <v>70041</v>
      </c>
      <c r="G120" s="1131">
        <v>165867</v>
      </c>
      <c r="H120" s="1131">
        <v>648222</v>
      </c>
      <c r="I120" s="1132">
        <v>1124.2</v>
      </c>
      <c r="J120" s="1132"/>
      <c r="K120" s="1131">
        <v>421587</v>
      </c>
      <c r="M120" s="233"/>
      <c r="N120" s="233"/>
      <c r="O120" s="233"/>
      <c r="P120" s="233"/>
      <c r="Q120" s="233"/>
      <c r="R120" s="233"/>
      <c r="S120" s="233"/>
      <c r="T120" s="52"/>
      <c r="U120" s="173"/>
      <c r="V120" s="173"/>
      <c r="W120" s="173"/>
      <c r="X120" s="173"/>
      <c r="Y120" s="173"/>
      <c r="Z120" s="173"/>
      <c r="AA120" s="173"/>
      <c r="AB120" s="173"/>
      <c r="AC120" s="173"/>
      <c r="AD120" s="173"/>
      <c r="AE120" s="173"/>
      <c r="AF120" s="173"/>
      <c r="AG120" s="173"/>
      <c r="AH120" s="173"/>
    </row>
    <row r="121" spans="3:34" s="235" customFormat="1" ht="15" customHeight="1">
      <c r="C121" s="1128"/>
      <c r="D121" s="175" t="str">
        <f>IF(Indice_index!$Z$1=1,"setembro","September")</f>
        <v>September</v>
      </c>
      <c r="E121" s="1131">
        <v>412631</v>
      </c>
      <c r="F121" s="1131">
        <v>69806</v>
      </c>
      <c r="G121" s="1131">
        <v>165824</v>
      </c>
      <c r="H121" s="1131">
        <v>648261</v>
      </c>
      <c r="I121" s="1132">
        <v>1124.9000000000001</v>
      </c>
      <c r="J121" s="1132"/>
      <c r="K121" s="1131">
        <v>419894</v>
      </c>
      <c r="M121" s="233"/>
      <c r="N121" s="233"/>
      <c r="O121" s="233"/>
      <c r="P121" s="233"/>
      <c r="Q121" s="233"/>
      <c r="R121" s="233"/>
      <c r="S121" s="233"/>
      <c r="T121" s="52"/>
      <c r="U121" s="173"/>
      <c r="V121" s="173"/>
      <c r="W121" s="173"/>
      <c r="X121" s="173"/>
      <c r="Y121" s="173"/>
      <c r="Z121" s="173"/>
      <c r="AA121" s="173"/>
      <c r="AB121" s="173"/>
      <c r="AC121" s="173"/>
      <c r="AD121" s="173"/>
      <c r="AE121" s="173"/>
      <c r="AF121" s="173"/>
      <c r="AG121" s="173"/>
      <c r="AH121" s="173"/>
    </row>
    <row r="122" spans="3:34" s="235" customFormat="1" ht="15" customHeight="1">
      <c r="C122" s="1128"/>
      <c r="D122" s="175" t="str">
        <f>IF(Indice_index!$Z$1=1,"outubro","October")</f>
        <v>October</v>
      </c>
      <c r="E122" s="1139">
        <v>412895</v>
      </c>
      <c r="F122" s="1139">
        <v>69624</v>
      </c>
      <c r="G122" s="1139">
        <v>165869</v>
      </c>
      <c r="H122" s="1139">
        <v>648388</v>
      </c>
      <c r="I122" s="1140">
        <v>1119.8</v>
      </c>
      <c r="J122" s="1134"/>
      <c r="K122" s="1141">
        <v>418736</v>
      </c>
      <c r="M122" s="233"/>
      <c r="N122" s="233"/>
      <c r="O122" s="233"/>
      <c r="P122" s="233"/>
      <c r="Q122" s="233"/>
      <c r="R122" s="233"/>
      <c r="S122" s="233"/>
      <c r="T122" s="52"/>
      <c r="U122" s="173"/>
      <c r="V122" s="173"/>
      <c r="W122" s="173"/>
      <c r="X122" s="173"/>
      <c r="Y122" s="173"/>
      <c r="Z122" s="173"/>
      <c r="AA122" s="173"/>
      <c r="AB122" s="173"/>
      <c r="AC122" s="173"/>
      <c r="AD122" s="173"/>
      <c r="AE122" s="173"/>
      <c r="AF122" s="173"/>
      <c r="AG122" s="173"/>
      <c r="AH122" s="173"/>
    </row>
    <row r="123" spans="3:34" s="235" customFormat="1" ht="15" customHeight="1">
      <c r="C123" s="1128"/>
      <c r="D123" s="175" t="str">
        <f>IF(Indice_index!$Z$1=1,"novembro","November")</f>
        <v>November</v>
      </c>
      <c r="E123" s="1142">
        <v>413065</v>
      </c>
      <c r="F123" s="1142">
        <v>69489</v>
      </c>
      <c r="G123" s="1142">
        <v>166049</v>
      </c>
      <c r="H123" s="1142">
        <v>648603</v>
      </c>
      <c r="I123" s="1143">
        <v>2220.1999999999998</v>
      </c>
      <c r="J123" s="1143"/>
      <c r="K123" s="1142">
        <v>418012</v>
      </c>
      <c r="M123" s="233"/>
      <c r="N123" s="233"/>
      <c r="O123" s="233"/>
      <c r="P123" s="233"/>
      <c r="Q123" s="233"/>
      <c r="R123" s="233"/>
      <c r="S123" s="233"/>
      <c r="T123" s="52"/>
      <c r="U123" s="173"/>
      <c r="V123" s="173"/>
      <c r="W123" s="173"/>
      <c r="X123" s="173"/>
      <c r="Y123" s="173"/>
      <c r="Z123" s="173"/>
      <c r="AA123" s="173"/>
      <c r="AB123" s="173"/>
      <c r="AC123" s="173"/>
      <c r="AD123" s="173"/>
      <c r="AE123" s="173"/>
      <c r="AF123" s="173"/>
      <c r="AG123" s="173"/>
      <c r="AH123" s="173"/>
    </row>
    <row r="124" spans="3:34" s="174" customFormat="1" ht="15" customHeight="1">
      <c r="C124" s="1130"/>
      <c r="D124" s="175" t="str">
        <f>IF(Indice_index!$Z$1=1,"dezembro","December")</f>
        <v>December</v>
      </c>
      <c r="E124" s="1144">
        <v>413108</v>
      </c>
      <c r="F124" s="1144">
        <v>69321</v>
      </c>
      <c r="G124" s="1144">
        <v>166218</v>
      </c>
      <c r="H124" s="1144">
        <v>648647</v>
      </c>
      <c r="I124" s="1145">
        <v>1140.3</v>
      </c>
      <c r="J124" s="1145"/>
      <c r="K124" s="1144">
        <v>416874</v>
      </c>
      <c r="M124" s="233"/>
      <c r="N124" s="233"/>
      <c r="O124" s="233"/>
      <c r="P124" s="233"/>
      <c r="Q124" s="233"/>
      <c r="R124" s="233"/>
      <c r="S124" s="233"/>
      <c r="T124" s="164"/>
      <c r="U124" s="175"/>
      <c r="V124" s="175"/>
      <c r="W124" s="175"/>
      <c r="X124" s="175"/>
      <c r="Y124" s="175"/>
      <c r="Z124" s="175"/>
      <c r="AA124" s="175"/>
      <c r="AB124" s="175"/>
      <c r="AC124" s="175"/>
      <c r="AD124" s="175"/>
      <c r="AE124" s="175"/>
      <c r="AF124" s="175"/>
      <c r="AG124" s="175"/>
      <c r="AH124" s="175"/>
    </row>
    <row r="125" spans="3:34" s="235" customFormat="1" ht="15" customHeight="1">
      <c r="C125" s="1129" t="s">
        <v>83</v>
      </c>
      <c r="D125" s="175"/>
      <c r="E125" s="175"/>
      <c r="F125" s="175"/>
      <c r="G125" s="175"/>
      <c r="H125" s="175"/>
      <c r="I125" s="174"/>
      <c r="J125" s="174"/>
      <c r="K125" s="175"/>
      <c r="M125" s="238"/>
      <c r="N125" s="238"/>
      <c r="O125" s="238"/>
      <c r="P125" s="238"/>
      <c r="Q125" s="238"/>
      <c r="R125" s="238"/>
      <c r="S125" s="238"/>
      <c r="T125" s="52"/>
      <c r="U125" s="173"/>
      <c r="V125" s="173"/>
      <c r="W125" s="173"/>
      <c r="X125" s="173"/>
      <c r="Y125" s="173"/>
      <c r="Z125" s="173"/>
      <c r="AA125" s="173"/>
      <c r="AB125" s="173"/>
      <c r="AC125" s="173"/>
      <c r="AD125" s="173"/>
      <c r="AE125" s="173"/>
      <c r="AF125" s="173"/>
      <c r="AG125" s="173"/>
      <c r="AH125" s="173"/>
    </row>
    <row r="126" spans="3:34" s="235" customFormat="1" ht="15" customHeight="1">
      <c r="C126" s="1128"/>
      <c r="D126" s="175" t="str">
        <f>IF(Indice_index!$Z$1=1,"janeiro","January")</f>
        <v>January</v>
      </c>
      <c r="E126" s="1131">
        <v>413072</v>
      </c>
      <c r="F126" s="1131">
        <v>69149</v>
      </c>
      <c r="G126" s="1131">
        <v>166134</v>
      </c>
      <c r="H126" s="1131">
        <v>648355</v>
      </c>
      <c r="I126" s="1132">
        <v>1156.8</v>
      </c>
      <c r="J126" s="1132"/>
      <c r="K126" s="1131">
        <v>415779</v>
      </c>
      <c r="M126" s="238"/>
      <c r="N126" s="238"/>
      <c r="O126" s="238"/>
      <c r="P126" s="238"/>
      <c r="Q126" s="238"/>
      <c r="R126" s="238"/>
      <c r="S126" s="238"/>
      <c r="T126" s="52"/>
      <c r="U126" s="173"/>
      <c r="V126" s="173"/>
      <c r="W126" s="173"/>
      <c r="X126" s="173"/>
      <c r="Y126" s="173"/>
      <c r="Z126" s="173"/>
      <c r="AA126" s="173"/>
      <c r="AB126" s="173"/>
      <c r="AC126" s="173"/>
      <c r="AD126" s="173"/>
      <c r="AE126" s="173"/>
      <c r="AF126" s="173"/>
      <c r="AG126" s="173"/>
      <c r="AH126" s="173"/>
    </row>
    <row r="127" spans="3:34" s="235" customFormat="1" ht="15" customHeight="1">
      <c r="C127" s="1128"/>
      <c r="D127" s="175" t="str">
        <f>IF(Indice_index!$Z$1=1,"fevereiro","February")</f>
        <v>February</v>
      </c>
      <c r="E127" s="1131">
        <v>412612</v>
      </c>
      <c r="F127" s="1131">
        <v>68915</v>
      </c>
      <c r="G127" s="1131">
        <v>165958</v>
      </c>
      <c r="H127" s="1131">
        <v>647485</v>
      </c>
      <c r="I127" s="1132">
        <v>1128.3</v>
      </c>
      <c r="J127" s="1132"/>
      <c r="K127" s="1131">
        <v>414791</v>
      </c>
      <c r="M127" s="238"/>
      <c r="N127" s="238"/>
      <c r="O127" s="238"/>
      <c r="P127" s="238"/>
      <c r="Q127" s="238"/>
      <c r="R127" s="238"/>
      <c r="S127" s="238"/>
      <c r="T127" s="52"/>
      <c r="U127" s="173"/>
      <c r="V127" s="173"/>
      <c r="W127" s="173"/>
      <c r="X127" s="173"/>
      <c r="Y127" s="173"/>
      <c r="Z127" s="173"/>
      <c r="AA127" s="173"/>
      <c r="AB127" s="173"/>
      <c r="AC127" s="173"/>
      <c r="AD127" s="173"/>
      <c r="AE127" s="173"/>
      <c r="AF127" s="173"/>
      <c r="AG127" s="173"/>
      <c r="AH127" s="173"/>
    </row>
    <row r="128" spans="3:34" s="235" customFormat="1" ht="15" customHeight="1">
      <c r="C128" s="1128"/>
      <c r="D128" s="175" t="str">
        <f>IF(Indice_index!$Z$1=1,"março","March")</f>
        <v>March</v>
      </c>
      <c r="E128" s="1146">
        <v>411718</v>
      </c>
      <c r="F128" s="1146">
        <v>68662</v>
      </c>
      <c r="G128" s="1146">
        <v>165536</v>
      </c>
      <c r="H128" s="1146">
        <v>645916</v>
      </c>
      <c r="I128" s="1147">
        <v>1128.8</v>
      </c>
      <c r="J128" s="1147"/>
      <c r="K128" s="1146">
        <v>413590</v>
      </c>
      <c r="M128" s="238"/>
      <c r="N128" s="238"/>
      <c r="O128" s="238"/>
      <c r="P128" s="238"/>
      <c r="Q128" s="238"/>
      <c r="R128" s="238"/>
      <c r="S128" s="238"/>
      <c r="T128" s="52"/>
      <c r="U128" s="173"/>
      <c r="V128" s="173"/>
      <c r="W128" s="173"/>
      <c r="X128" s="173"/>
      <c r="Y128" s="173"/>
      <c r="Z128" s="173"/>
      <c r="AA128" s="173"/>
      <c r="AB128" s="173"/>
      <c r="AC128" s="173"/>
      <c r="AD128" s="173"/>
      <c r="AE128" s="173"/>
      <c r="AF128" s="173"/>
      <c r="AG128" s="173"/>
      <c r="AH128" s="173"/>
    </row>
    <row r="129" spans="3:34" s="235" customFormat="1" ht="15" customHeight="1">
      <c r="C129" s="1128"/>
      <c r="D129" s="175" t="str">
        <f>IF(Indice_index!$Z$1=1,"abril","April")</f>
        <v>April</v>
      </c>
      <c r="E129" s="1131">
        <v>411435</v>
      </c>
      <c r="F129" s="1131">
        <v>68332</v>
      </c>
      <c r="G129" s="1131">
        <v>165633</v>
      </c>
      <c r="H129" s="1131">
        <v>645400</v>
      </c>
      <c r="I129" s="1132">
        <v>1133.4000000000001</v>
      </c>
      <c r="J129" s="1132"/>
      <c r="K129" s="1131">
        <v>412461</v>
      </c>
      <c r="M129" s="238"/>
      <c r="N129" s="238"/>
      <c r="O129" s="238"/>
      <c r="P129" s="238"/>
      <c r="Q129" s="238"/>
      <c r="R129" s="238"/>
      <c r="S129" s="238"/>
      <c r="T129" s="52"/>
      <c r="U129" s="173"/>
      <c r="V129" s="173"/>
      <c r="W129" s="173"/>
      <c r="X129" s="173"/>
      <c r="Y129" s="173"/>
      <c r="Z129" s="173"/>
      <c r="AA129" s="173"/>
      <c r="AB129" s="173"/>
      <c r="AC129" s="173"/>
      <c r="AD129" s="173"/>
      <c r="AE129" s="173"/>
      <c r="AF129" s="173"/>
      <c r="AG129" s="173"/>
      <c r="AH129" s="173"/>
    </row>
    <row r="130" spans="3:34" s="235" customFormat="1" ht="15" customHeight="1">
      <c r="C130" s="1128"/>
      <c r="D130" s="175" t="str">
        <f>IF(Indice_index!$Z$1=1,"maio","May")</f>
        <v>May</v>
      </c>
      <c r="E130" s="1148">
        <v>411709</v>
      </c>
      <c r="F130" s="1148">
        <v>68218</v>
      </c>
      <c r="G130" s="1148">
        <v>165542</v>
      </c>
      <c r="H130" s="1148">
        <v>645469</v>
      </c>
      <c r="I130" s="1149">
        <v>1132.5</v>
      </c>
      <c r="J130" s="1149"/>
      <c r="K130" s="1148">
        <v>411324</v>
      </c>
      <c r="M130" s="238"/>
      <c r="N130" s="238"/>
      <c r="O130" s="238"/>
      <c r="P130" s="238"/>
      <c r="Q130" s="238"/>
      <c r="R130" s="238"/>
      <c r="S130" s="238"/>
      <c r="T130" s="52"/>
      <c r="U130" s="173"/>
      <c r="V130" s="173"/>
      <c r="W130" s="173"/>
      <c r="X130" s="173"/>
      <c r="Y130" s="173"/>
      <c r="Z130" s="173"/>
      <c r="AA130" s="173"/>
      <c r="AB130" s="173"/>
      <c r="AC130" s="173"/>
      <c r="AD130" s="173"/>
      <c r="AE130" s="173"/>
      <c r="AF130" s="173"/>
      <c r="AG130" s="173"/>
      <c r="AH130" s="173"/>
    </row>
    <row r="131" spans="3:34" s="235" customFormat="1" ht="15" customHeight="1">
      <c r="C131" s="1128"/>
      <c r="D131" s="175" t="str">
        <f>IF(Indice_index!$Z$1=1,"junho","June")</f>
        <v>June</v>
      </c>
      <c r="E131" s="1150">
        <v>412113</v>
      </c>
      <c r="F131" s="1150">
        <v>68103</v>
      </c>
      <c r="G131" s="1150">
        <v>164864</v>
      </c>
      <c r="H131" s="1150">
        <v>645080</v>
      </c>
      <c r="I131" s="1151">
        <v>1132.2</v>
      </c>
      <c r="J131" s="1151"/>
      <c r="K131" s="1150">
        <v>410051</v>
      </c>
      <c r="M131" s="238"/>
      <c r="N131" s="238"/>
      <c r="O131" s="238"/>
      <c r="P131" s="238"/>
      <c r="Q131" s="238"/>
      <c r="R131" s="238"/>
      <c r="S131" s="238"/>
      <c r="T131" s="52"/>
      <c r="U131" s="173"/>
      <c r="V131" s="173"/>
      <c r="W131" s="173"/>
      <c r="X131" s="173"/>
      <c r="Y131" s="173"/>
      <c r="Z131" s="173"/>
      <c r="AA131" s="173"/>
      <c r="AB131" s="173"/>
      <c r="AC131" s="173"/>
      <c r="AD131" s="173"/>
      <c r="AE131" s="173"/>
      <c r="AF131" s="173"/>
      <c r="AG131" s="173"/>
      <c r="AH131" s="173"/>
    </row>
    <row r="132" spans="3:34" s="235" customFormat="1" ht="15" customHeight="1">
      <c r="C132" s="1128"/>
      <c r="D132" s="175" t="str">
        <f>IF(Indice_index!$Z$1=1,"julho","July")</f>
        <v>July</v>
      </c>
      <c r="E132" s="1152">
        <v>412768</v>
      </c>
      <c r="F132" s="1152">
        <v>67998</v>
      </c>
      <c r="G132" s="1152">
        <v>165065</v>
      </c>
      <c r="H132" s="1152">
        <v>645831</v>
      </c>
      <c r="I132" s="1153">
        <v>2207.4</v>
      </c>
      <c r="J132" s="1153"/>
      <c r="K132" s="1152">
        <v>408523</v>
      </c>
      <c r="M132" s="238"/>
      <c r="N132" s="238"/>
      <c r="O132" s="238"/>
      <c r="P132" s="238"/>
      <c r="Q132" s="238"/>
      <c r="R132" s="238"/>
      <c r="S132" s="238"/>
      <c r="T132" s="52"/>
      <c r="U132" s="173"/>
      <c r="V132" s="173"/>
      <c r="W132" s="173"/>
      <c r="X132" s="173"/>
      <c r="Y132" s="173"/>
      <c r="Z132" s="173"/>
      <c r="AA132" s="173"/>
      <c r="AB132" s="173"/>
      <c r="AC132" s="173"/>
      <c r="AD132" s="173"/>
      <c r="AE132" s="173"/>
      <c r="AF132" s="173"/>
      <c r="AG132" s="173"/>
      <c r="AH132" s="173"/>
    </row>
    <row r="133" spans="3:34" s="235" customFormat="1" ht="15" customHeight="1">
      <c r="C133" s="1128"/>
      <c r="D133" s="175" t="str">
        <f>IF(Indice_index!$Z$1=1,"agosto","August")</f>
        <v>August</v>
      </c>
      <c r="E133" s="1154">
        <v>413403</v>
      </c>
      <c r="F133" s="1154">
        <v>67917</v>
      </c>
      <c r="G133" s="1154">
        <v>165331</v>
      </c>
      <c r="H133" s="1154">
        <v>646651</v>
      </c>
      <c r="I133" s="1155">
        <v>1135.3</v>
      </c>
      <c r="J133" s="1155"/>
      <c r="K133" s="1154">
        <v>407205</v>
      </c>
      <c r="M133" s="233"/>
      <c r="N133" s="233"/>
      <c r="O133" s="233"/>
      <c r="P133" s="233"/>
      <c r="Q133" s="233"/>
      <c r="R133" s="233"/>
      <c r="S133" s="233"/>
      <c r="T133" s="52"/>
      <c r="U133" s="173"/>
      <c r="V133" s="173"/>
      <c r="W133" s="173"/>
      <c r="X133" s="173"/>
      <c r="Y133" s="173"/>
      <c r="Z133" s="173"/>
      <c r="AA133" s="173"/>
      <c r="AB133" s="173"/>
      <c r="AC133" s="173"/>
      <c r="AD133" s="173"/>
      <c r="AE133" s="173"/>
      <c r="AF133" s="173"/>
      <c r="AG133" s="173"/>
      <c r="AH133" s="173"/>
    </row>
    <row r="134" spans="3:34" s="235" customFormat="1" ht="15" customHeight="1">
      <c r="C134" s="1128"/>
      <c r="D134" s="175" t="str">
        <f>IF(Indice_index!$Z$1=1,"setembro","September")</f>
        <v>September</v>
      </c>
      <c r="E134" s="1156">
        <v>413684</v>
      </c>
      <c r="F134" s="1156">
        <v>67794</v>
      </c>
      <c r="G134" s="1156">
        <v>165391</v>
      </c>
      <c r="H134" s="1156">
        <v>646869</v>
      </c>
      <c r="I134" s="1157">
        <v>1132.3</v>
      </c>
      <c r="J134" s="1157"/>
      <c r="K134" s="1156">
        <v>405793</v>
      </c>
      <c r="M134" s="233"/>
      <c r="N134" s="233"/>
      <c r="O134" s="233"/>
      <c r="P134" s="233"/>
      <c r="Q134" s="233"/>
      <c r="R134" s="233"/>
      <c r="S134" s="233"/>
      <c r="T134" s="52"/>
      <c r="U134" s="173"/>
      <c r="V134" s="173"/>
      <c r="W134" s="173"/>
      <c r="X134" s="173"/>
      <c r="Y134" s="173"/>
      <c r="Z134" s="173"/>
      <c r="AA134" s="173"/>
      <c r="AB134" s="173"/>
      <c r="AC134" s="173"/>
      <c r="AD134" s="173"/>
      <c r="AE134" s="173"/>
      <c r="AF134" s="173"/>
      <c r="AG134" s="173"/>
      <c r="AH134" s="173"/>
    </row>
    <row r="135" spans="3:34" s="235" customFormat="1" ht="15" customHeight="1">
      <c r="C135" s="1128"/>
      <c r="D135" s="175" t="str">
        <f>IF(Indice_index!$Z$1=1,"outubro","October")</f>
        <v>October</v>
      </c>
      <c r="E135" s="1139">
        <v>413984</v>
      </c>
      <c r="F135" s="1139">
        <v>67651</v>
      </c>
      <c r="G135" s="1139">
        <v>165294</v>
      </c>
      <c r="H135" s="1139">
        <v>646929</v>
      </c>
      <c r="I135" s="1140">
        <v>1133.2</v>
      </c>
      <c r="J135" s="1134"/>
      <c r="K135" s="1141">
        <v>404860</v>
      </c>
      <c r="M135" s="233"/>
      <c r="N135" s="233"/>
      <c r="O135" s="233"/>
      <c r="P135" s="233"/>
      <c r="Q135" s="233"/>
      <c r="R135" s="233"/>
      <c r="S135" s="233"/>
      <c r="T135" s="52"/>
      <c r="U135" s="173"/>
      <c r="V135" s="173"/>
      <c r="W135" s="173"/>
      <c r="X135" s="173"/>
      <c r="Y135" s="173"/>
      <c r="Z135" s="173"/>
      <c r="AA135" s="173"/>
      <c r="AB135" s="173"/>
      <c r="AC135" s="173"/>
      <c r="AD135" s="173"/>
      <c r="AE135" s="173"/>
      <c r="AF135" s="173"/>
      <c r="AG135" s="173"/>
      <c r="AH135" s="173"/>
    </row>
    <row r="136" spans="3:34" s="235" customFormat="1" ht="15" customHeight="1">
      <c r="C136" s="1128"/>
      <c r="D136" s="175" t="str">
        <f>IF(Indice_index!$Z$1=1,"novembro","November")</f>
        <v>November</v>
      </c>
      <c r="E136" s="1142">
        <v>414230</v>
      </c>
      <c r="F136" s="1142">
        <v>67525</v>
      </c>
      <c r="G136" s="1142">
        <v>165434</v>
      </c>
      <c r="H136" s="1142">
        <v>647189</v>
      </c>
      <c r="I136" s="1143">
        <v>2243</v>
      </c>
      <c r="J136" s="1143"/>
      <c r="K136" s="1142">
        <v>403538</v>
      </c>
      <c r="M136" s="233"/>
      <c r="N136" s="233"/>
      <c r="O136" s="233"/>
      <c r="P136" s="233"/>
      <c r="Q136" s="233"/>
      <c r="R136" s="233"/>
      <c r="S136" s="233"/>
      <c r="T136" s="52"/>
      <c r="U136" s="173"/>
      <c r="V136" s="173"/>
      <c r="W136" s="173"/>
      <c r="X136" s="173"/>
      <c r="Y136" s="173"/>
      <c r="Z136" s="173"/>
      <c r="AA136" s="173"/>
      <c r="AB136" s="173"/>
      <c r="AC136" s="173"/>
      <c r="AD136" s="173"/>
      <c r="AE136" s="173"/>
      <c r="AF136" s="173"/>
      <c r="AG136" s="173"/>
      <c r="AH136" s="173"/>
    </row>
    <row r="137" spans="3:34" s="174" customFormat="1" ht="15" customHeight="1">
      <c r="C137" s="1130"/>
      <c r="D137" s="175" t="str">
        <f>IF(Indice_index!$Z$1=1,"dezembro","December")</f>
        <v>December</v>
      </c>
      <c r="E137" s="1234">
        <v>414572</v>
      </c>
      <c r="F137" s="1234">
        <v>67370</v>
      </c>
      <c r="G137" s="1234">
        <v>165541</v>
      </c>
      <c r="H137" s="1234">
        <v>647483</v>
      </c>
      <c r="I137" s="1233">
        <v>1151.7</v>
      </c>
      <c r="J137" s="1233"/>
      <c r="K137" s="1234">
        <v>402099</v>
      </c>
      <c r="M137" s="233"/>
      <c r="N137" s="233"/>
      <c r="O137" s="233"/>
      <c r="P137" s="233"/>
      <c r="Q137" s="233"/>
      <c r="R137" s="233"/>
      <c r="S137" s="233"/>
      <c r="T137" s="164"/>
      <c r="U137" s="175"/>
      <c r="V137" s="175"/>
      <c r="W137" s="175"/>
      <c r="X137" s="175"/>
      <c r="Y137" s="175"/>
      <c r="Z137" s="175"/>
      <c r="AA137" s="175"/>
      <c r="AB137" s="175"/>
      <c r="AC137" s="175"/>
      <c r="AD137" s="175"/>
      <c r="AE137" s="175"/>
      <c r="AF137" s="175"/>
      <c r="AG137" s="175"/>
      <c r="AH137" s="175"/>
    </row>
    <row r="138" spans="3:34" s="235" customFormat="1" ht="3" customHeight="1">
      <c r="C138" s="1122"/>
      <c r="D138" s="1123"/>
      <c r="E138" s="1123"/>
      <c r="F138" s="1123"/>
      <c r="G138" s="1123"/>
      <c r="H138" s="1123"/>
      <c r="I138" s="1123"/>
      <c r="K138" s="1158"/>
      <c r="L138" s="174"/>
      <c r="M138" s="233"/>
      <c r="N138" s="233"/>
      <c r="O138" s="233"/>
      <c r="P138" s="233"/>
      <c r="Q138" s="233"/>
      <c r="R138" s="233"/>
      <c r="S138" s="233"/>
      <c r="AA138" s="173"/>
    </row>
    <row r="139" spans="3:34" s="235" customFormat="1" ht="15" customHeight="1">
      <c r="C139" s="1130"/>
      <c r="D139" s="174"/>
      <c r="E139" s="174"/>
      <c r="F139" s="174"/>
      <c r="G139" s="174"/>
      <c r="H139" s="174"/>
      <c r="I139" s="174"/>
      <c r="K139" s="174"/>
      <c r="L139" s="174"/>
      <c r="M139" s="233"/>
      <c r="N139" s="233"/>
      <c r="O139" s="233"/>
      <c r="P139" s="233"/>
      <c r="Q139" s="233"/>
      <c r="R139" s="233"/>
      <c r="S139" s="233"/>
      <c r="AA139" s="173"/>
    </row>
    <row r="140" spans="3:34" s="235" customFormat="1" ht="15" customHeight="1">
      <c r="C140" s="1130"/>
      <c r="D140" s="174"/>
      <c r="E140" s="174"/>
      <c r="F140" s="174"/>
      <c r="G140" s="174"/>
      <c r="H140" s="174"/>
      <c r="I140" s="174"/>
      <c r="K140" s="174"/>
      <c r="L140" s="174"/>
      <c r="M140" s="174"/>
      <c r="N140" s="174"/>
      <c r="O140" s="174"/>
      <c r="P140" s="174"/>
      <c r="AA140" s="173"/>
    </row>
    <row r="141" spans="3:34" s="235" customFormat="1" ht="15" customHeight="1">
      <c r="C141" s="1117"/>
      <c r="D141" s="1159"/>
      <c r="E141" s="1159"/>
      <c r="F141" s="1159"/>
      <c r="G141" s="1159"/>
      <c r="H141" s="174"/>
      <c r="I141" s="174"/>
      <c r="J141" s="174"/>
      <c r="K141" s="1119" t="str">
        <f>IF(Indice_index!$Z$1=1,"Subscritores","Subscribers")</f>
        <v>Subscribers</v>
      </c>
      <c r="L141" s="174"/>
      <c r="M141" s="174"/>
      <c r="N141" s="174"/>
      <c r="O141" s="174"/>
      <c r="P141" s="174"/>
      <c r="Q141" s="174"/>
      <c r="R141" s="174"/>
      <c r="S141" s="174"/>
      <c r="T141" s="174"/>
      <c r="X141" s="52"/>
      <c r="Y141" s="52"/>
      <c r="Z141" s="52"/>
      <c r="AA141" s="173"/>
    </row>
    <row r="142" spans="3:34" s="235" customFormat="1" ht="15.75" customHeight="1">
      <c r="C142" s="1010"/>
      <c r="D142" s="1160"/>
      <c r="E142" s="1665" t="str">
        <f>IF(Indice_index!$Z$1=1,"VH do número de pensionistas (%)","YOY Change Rate of the number of subscribers (%)")</f>
        <v>YOY Change Rate of the number of subscribers (%)</v>
      </c>
      <c r="F142" s="1661"/>
      <c r="G142" s="1661"/>
      <c r="H142" s="1666"/>
      <c r="I142" s="1662" t="str">
        <f>IF(Indice_index!$Z$1=1,"VHA Valor médio pago por pensionista","YOY Change Rate of the Average Value paid per Pensioner")</f>
        <v>YOY Change Rate of the Average Value paid per Pensioner</v>
      </c>
      <c r="K142" s="1667" t="str">
        <f>IF(Indice_index!$Z$1=1,"VHA do Número de subscritores (%)","YOY Change Rate of the Number of Subscribers (%)")</f>
        <v>YOY Change Rate of the Number of Subscribers (%)</v>
      </c>
      <c r="L142" s="174"/>
      <c r="M142" s="174"/>
      <c r="N142" s="174"/>
      <c r="O142" s="174"/>
      <c r="P142" s="174"/>
      <c r="Q142" s="174"/>
      <c r="R142" s="174"/>
      <c r="S142" s="174"/>
      <c r="T142" s="174"/>
      <c r="X142" s="52"/>
      <c r="Y142" s="52"/>
      <c r="Z142" s="52"/>
      <c r="AA142" s="173"/>
    </row>
    <row r="143" spans="3:34" s="235" customFormat="1" ht="40.5" customHeight="1">
      <c r="C143" s="1161"/>
      <c r="D143" s="1162"/>
      <c r="E143" s="1163" t="str">
        <f>IF(Indice_index!$Z$1=1,"Velhice e Outros Motivos","Old age and other Reasons")</f>
        <v>Old age and other Reasons</v>
      </c>
      <c r="F143" s="1125" t="str">
        <f>IF(Indice_index!$Z$1=1,"Invalidez","Disability")</f>
        <v>Disability</v>
      </c>
      <c r="G143" s="1124" t="str">
        <f>IF(Indice_index!$Z$1=1,"Sobrevivência e Outros","Survival and Others")</f>
        <v>Survival and Others</v>
      </c>
      <c r="H143" s="1164" t="str">
        <f>IF(Indice_index!$Z$1=1,"Total de Pensionistas","Total of Pensioners")</f>
        <v>Total of Pensioners</v>
      </c>
      <c r="I143" s="1662"/>
      <c r="K143" s="1667"/>
      <c r="L143" s="174"/>
      <c r="M143" s="174"/>
      <c r="N143" s="174"/>
      <c r="O143" s="174"/>
      <c r="P143" s="174"/>
      <c r="Q143" s="174"/>
      <c r="R143" s="174"/>
      <c r="S143" s="174"/>
      <c r="T143" s="174"/>
      <c r="X143" s="52"/>
      <c r="Y143" s="52"/>
      <c r="Z143" s="52"/>
      <c r="AA143" s="173"/>
    </row>
    <row r="144" spans="3:34" s="235" customFormat="1" hidden="1">
      <c r="C144" s="1126" t="s">
        <v>15</v>
      </c>
      <c r="D144" s="1127"/>
      <c r="E144" s="175"/>
      <c r="F144" s="175"/>
      <c r="G144" s="175"/>
      <c r="H144" s="175"/>
      <c r="I144" s="174"/>
      <c r="K144" s="174"/>
      <c r="L144" s="174"/>
      <c r="M144" s="174"/>
      <c r="N144" s="174"/>
      <c r="O144" s="174"/>
      <c r="P144" s="174"/>
      <c r="Q144" s="174"/>
      <c r="R144" s="174"/>
      <c r="S144" s="174"/>
      <c r="T144" s="174"/>
      <c r="X144" s="52"/>
      <c r="Y144" s="52"/>
      <c r="Z144" s="52"/>
      <c r="AA144" s="173"/>
    </row>
    <row r="145" spans="3:27" s="235" customFormat="1" ht="11.25" hidden="1">
      <c r="C145" s="1126"/>
      <c r="D145" s="175" t="str">
        <f>IF(Indice_index!$Z$1=1,"janeiro","January")</f>
        <v>January</v>
      </c>
      <c r="E145" s="174">
        <v>3.3</v>
      </c>
      <c r="F145" s="174">
        <v>0.1</v>
      </c>
      <c r="G145" s="174">
        <v>1.1000000000000001</v>
      </c>
      <c r="H145" s="174">
        <v>2.2999999999999998</v>
      </c>
      <c r="I145" s="174">
        <v>1.9</v>
      </c>
      <c r="K145" s="174">
        <v>-4.5999999999999996</v>
      </c>
      <c r="L145" s="174"/>
      <c r="M145" s="174"/>
      <c r="N145" s="174"/>
      <c r="O145" s="174"/>
      <c r="P145" s="174"/>
      <c r="Q145" s="174"/>
      <c r="R145" s="174"/>
      <c r="S145" s="174"/>
      <c r="T145" s="174"/>
      <c r="AA145" s="173"/>
    </row>
    <row r="146" spans="3:27" s="235" customFormat="1" ht="11.25" hidden="1">
      <c r="C146" s="1126"/>
      <c r="D146" s="175" t="str">
        <f>IF(Indice_index!$Z$1=1,"fevereiro","February")</f>
        <v>February</v>
      </c>
      <c r="E146" s="174">
        <v>3.3</v>
      </c>
      <c r="F146" s="174">
        <v>0.2</v>
      </c>
      <c r="G146" s="174">
        <v>1.2</v>
      </c>
      <c r="H146" s="174">
        <v>2.4</v>
      </c>
      <c r="I146" s="174">
        <v>1.6</v>
      </c>
      <c r="K146" s="174">
        <v>-4.5</v>
      </c>
      <c r="L146" s="174"/>
      <c r="M146" s="174"/>
      <c r="N146" s="174"/>
      <c r="O146" s="174"/>
      <c r="P146" s="174"/>
      <c r="Q146" s="174"/>
      <c r="R146" s="174"/>
      <c r="S146" s="174"/>
      <c r="T146" s="174"/>
      <c r="AA146" s="173"/>
    </row>
    <row r="147" spans="3:27" s="235" customFormat="1" ht="11.25" hidden="1">
      <c r="C147" s="1126"/>
      <c r="D147" s="175" t="str">
        <f>IF(Indice_index!$Z$1=1,"março","March")</f>
        <v>March</v>
      </c>
      <c r="E147" s="174">
        <v>3.2</v>
      </c>
      <c r="F147" s="174">
        <v>0.2</v>
      </c>
      <c r="G147" s="174">
        <v>1.4</v>
      </c>
      <c r="H147" s="174">
        <v>2.4</v>
      </c>
      <c r="I147" s="174">
        <v>1.7</v>
      </c>
      <c r="K147" s="174">
        <v>-5</v>
      </c>
      <c r="L147" s="174"/>
      <c r="M147" s="174"/>
      <c r="N147" s="174"/>
      <c r="O147" s="174"/>
      <c r="P147" s="174"/>
      <c r="Q147" s="174"/>
      <c r="R147" s="174"/>
      <c r="S147" s="174"/>
      <c r="T147" s="174"/>
      <c r="AA147" s="173"/>
    </row>
    <row r="148" spans="3:27" s="235" customFormat="1" ht="11.25" hidden="1">
      <c r="C148" s="1126"/>
      <c r="D148" s="175" t="str">
        <f>IF(Indice_index!$Z$1=1,"abril","April")</f>
        <v>April</v>
      </c>
      <c r="E148" s="174">
        <v>3</v>
      </c>
      <c r="F148" s="174">
        <v>0.4</v>
      </c>
      <c r="G148" s="174">
        <v>1.4</v>
      </c>
      <c r="H148" s="174">
        <v>2.2999999999999998</v>
      </c>
      <c r="I148" s="174">
        <v>0.2</v>
      </c>
      <c r="K148" s="174">
        <v>-4.9000000000000004</v>
      </c>
      <c r="L148" s="174"/>
      <c r="M148" s="174"/>
      <c r="N148" s="174"/>
      <c r="O148" s="174"/>
      <c r="P148" s="174"/>
      <c r="Q148" s="174"/>
      <c r="R148" s="174"/>
      <c r="S148" s="174"/>
      <c r="T148" s="174"/>
      <c r="AA148" s="173"/>
    </row>
    <row r="149" spans="3:27" s="235" customFormat="1" ht="11.25" hidden="1">
      <c r="C149" s="1126"/>
      <c r="D149" s="175" t="str">
        <f>IF(Indice_index!$Z$1=1,"maio","May")</f>
        <v>May</v>
      </c>
      <c r="E149" s="174">
        <v>2.9</v>
      </c>
      <c r="F149" s="174">
        <v>0.4</v>
      </c>
      <c r="G149" s="174">
        <v>1.5</v>
      </c>
      <c r="H149" s="174">
        <v>2.2000000000000002</v>
      </c>
      <c r="I149" s="174">
        <v>0.6</v>
      </c>
      <c r="K149" s="174">
        <v>-4.9000000000000004</v>
      </c>
      <c r="L149" s="174"/>
      <c r="M149" s="174"/>
      <c r="N149" s="174"/>
      <c r="O149" s="174"/>
      <c r="P149" s="174"/>
      <c r="Q149" s="174"/>
      <c r="R149" s="174"/>
      <c r="S149" s="174"/>
      <c r="T149" s="174"/>
      <c r="AA149" s="173"/>
    </row>
    <row r="150" spans="3:27" s="235" customFormat="1" ht="11.25" hidden="1">
      <c r="C150" s="1126"/>
      <c r="D150" s="175" t="str">
        <f>IF(Indice_index!$Z$1=1,"junho","June")</f>
        <v>June</v>
      </c>
      <c r="E150" s="174">
        <v>2.8</v>
      </c>
      <c r="F150" s="174">
        <v>0.6</v>
      </c>
      <c r="G150" s="174">
        <v>1.6</v>
      </c>
      <c r="H150" s="174">
        <v>2.2000000000000002</v>
      </c>
      <c r="I150" s="174">
        <v>1.1000000000000001</v>
      </c>
      <c r="K150" s="174">
        <v>-4.8</v>
      </c>
      <c r="L150" s="174"/>
      <c r="M150" s="174"/>
      <c r="N150" s="174"/>
      <c r="O150" s="174"/>
      <c r="P150" s="174"/>
      <c r="Q150" s="174"/>
      <c r="R150" s="174"/>
      <c r="S150" s="174"/>
      <c r="T150" s="174"/>
      <c r="AA150" s="173"/>
    </row>
    <row r="151" spans="3:27" s="235" customFormat="1" ht="11.25" hidden="1">
      <c r="C151" s="1126"/>
      <c r="D151" s="175" t="str">
        <f>IF(Indice_index!$Z$1=1,"julho","July")</f>
        <v>July</v>
      </c>
      <c r="E151" s="174">
        <v>2.7</v>
      </c>
      <c r="F151" s="174">
        <v>0.6</v>
      </c>
      <c r="G151" s="174">
        <v>1.6</v>
      </c>
      <c r="H151" s="174">
        <v>2.2000000000000002</v>
      </c>
      <c r="I151" s="174">
        <v>-39.1</v>
      </c>
      <c r="K151" s="174">
        <v>-4.8</v>
      </c>
      <c r="L151" s="174"/>
      <c r="M151" s="174"/>
      <c r="N151" s="174"/>
      <c r="O151" s="174"/>
      <c r="P151" s="174"/>
      <c r="Q151" s="174"/>
      <c r="R151" s="174"/>
      <c r="S151" s="174"/>
      <c r="T151" s="174"/>
      <c r="AA151" s="173"/>
    </row>
    <row r="152" spans="3:27" s="235" customFormat="1" ht="11.25" hidden="1">
      <c r="C152" s="1126"/>
      <c r="D152" s="175" t="str">
        <f>IF(Indice_index!$Z$1=1,"agosto","August")</f>
        <v>August</v>
      </c>
      <c r="E152" s="174">
        <v>2.8</v>
      </c>
      <c r="F152" s="174">
        <v>0.6</v>
      </c>
      <c r="G152" s="174">
        <v>1.7</v>
      </c>
      <c r="H152" s="174">
        <v>2.2999999999999998</v>
      </c>
      <c r="I152" s="174">
        <v>0.6</v>
      </c>
      <c r="K152" s="174">
        <v>-4.8</v>
      </c>
      <c r="L152" s="174"/>
      <c r="M152" s="174"/>
      <c r="N152" s="174"/>
      <c r="O152" s="174"/>
      <c r="P152" s="174"/>
      <c r="Q152" s="174"/>
      <c r="R152" s="174"/>
      <c r="S152" s="174"/>
      <c r="T152" s="174"/>
      <c r="AA152" s="173"/>
    </row>
    <row r="153" spans="3:27" s="235" customFormat="1" ht="11.25" hidden="1">
      <c r="C153" s="1126"/>
      <c r="D153" s="175" t="str">
        <f>IF(Indice_index!$Z$1=1,"setembro","September")</f>
        <v>September</v>
      </c>
      <c r="E153" s="174">
        <v>2.9</v>
      </c>
      <c r="F153" s="174">
        <v>0.6</v>
      </c>
      <c r="G153" s="174">
        <v>1.7</v>
      </c>
      <c r="H153" s="174">
        <v>2.2999999999999998</v>
      </c>
      <c r="I153" s="174">
        <v>-0.2</v>
      </c>
      <c r="K153" s="174">
        <v>-4.9000000000000004</v>
      </c>
      <c r="L153" s="174"/>
      <c r="M153" s="174"/>
      <c r="N153" s="174"/>
      <c r="O153" s="174"/>
      <c r="P153" s="174"/>
      <c r="Q153" s="174"/>
      <c r="R153" s="174"/>
      <c r="S153" s="174"/>
      <c r="T153" s="174"/>
      <c r="AA153" s="173"/>
    </row>
    <row r="154" spans="3:27" s="235" customFormat="1" ht="11.25" hidden="1">
      <c r="C154" s="1126"/>
      <c r="D154" s="175" t="str">
        <f>IF(Indice_index!$Z$1=1,"outubro","October")</f>
        <v>October</v>
      </c>
      <c r="E154" s="174">
        <v>3</v>
      </c>
      <c r="F154" s="174">
        <v>0.5</v>
      </c>
      <c r="G154" s="174">
        <v>1.8</v>
      </c>
      <c r="H154" s="174">
        <v>2.4</v>
      </c>
      <c r="I154" s="174">
        <v>0.2</v>
      </c>
      <c r="K154" s="174">
        <v>-4.9000000000000004</v>
      </c>
      <c r="L154" s="174"/>
      <c r="M154" s="174"/>
      <c r="N154" s="174"/>
      <c r="O154" s="174"/>
      <c r="P154" s="174"/>
      <c r="Q154" s="174"/>
      <c r="R154" s="174"/>
      <c r="S154" s="174"/>
      <c r="T154" s="174"/>
      <c r="AA154" s="173"/>
    </row>
    <row r="155" spans="3:27" s="235" customFormat="1" ht="11.25" hidden="1">
      <c r="C155" s="1126"/>
      <c r="D155" s="175" t="str">
        <f>IF(Indice_index!$Z$1=1,"novembro","November")</f>
        <v>November</v>
      </c>
      <c r="E155" s="174">
        <v>2.8</v>
      </c>
      <c r="F155" s="174">
        <v>-0.1</v>
      </c>
      <c r="G155" s="174">
        <v>1.6</v>
      </c>
      <c r="H155" s="174">
        <v>2.2000000000000002</v>
      </c>
      <c r="I155" s="174">
        <v>-38.799999999999997</v>
      </c>
      <c r="K155" s="174">
        <v>-4.9000000000000004</v>
      </c>
      <c r="L155" s="174"/>
      <c r="M155" s="174"/>
      <c r="N155" s="174"/>
      <c r="O155" s="174"/>
      <c r="P155" s="174"/>
      <c r="Q155" s="174"/>
      <c r="R155" s="174"/>
      <c r="S155" s="174"/>
      <c r="T155" s="174"/>
      <c r="AA155" s="173"/>
    </row>
    <row r="156" spans="3:27" s="235" customFormat="1" ht="11.25" hidden="1">
      <c r="C156" s="1126"/>
      <c r="D156" s="175" t="str">
        <f>IF(Indice_index!$Z$1=1,"dezembro","December")</f>
        <v>December</v>
      </c>
      <c r="E156" s="174">
        <v>2.5</v>
      </c>
      <c r="F156" s="174">
        <v>-0.2</v>
      </c>
      <c r="G156" s="174">
        <v>1.6</v>
      </c>
      <c r="H156" s="174">
        <v>1.9</v>
      </c>
      <c r="I156" s="174">
        <v>-0.2</v>
      </c>
      <c r="K156" s="174">
        <v>-4.9000000000000004</v>
      </c>
      <c r="L156" s="174"/>
      <c r="M156" s="174"/>
      <c r="N156" s="174"/>
      <c r="O156" s="174"/>
      <c r="P156" s="174"/>
      <c r="Q156" s="174"/>
      <c r="R156" s="174"/>
      <c r="S156" s="174"/>
      <c r="T156" s="174"/>
      <c r="AA156" s="173"/>
    </row>
    <row r="157" spans="3:27" s="235" customFormat="1" ht="11.25" hidden="1">
      <c r="C157" s="1126" t="s">
        <v>16</v>
      </c>
      <c r="D157" s="174"/>
      <c r="E157" s="174"/>
      <c r="F157" s="174"/>
      <c r="G157" s="174"/>
      <c r="H157" s="174"/>
      <c r="I157" s="174"/>
      <c r="K157" s="174"/>
      <c r="L157" s="174"/>
      <c r="M157" s="174"/>
      <c r="N157" s="174"/>
      <c r="O157" s="174"/>
      <c r="P157" s="174"/>
      <c r="Q157" s="174"/>
      <c r="R157" s="174"/>
      <c r="S157" s="174"/>
      <c r="T157" s="174"/>
      <c r="AA157" s="173"/>
    </row>
    <row r="158" spans="3:27" s="235" customFormat="1" ht="11.25" hidden="1">
      <c r="C158" s="1126"/>
      <c r="D158" s="175" t="str">
        <f>IF(Indice_index!$Z$1=1,"janeiro","January")</f>
        <v>January</v>
      </c>
      <c r="E158" s="174">
        <v>2.6</v>
      </c>
      <c r="F158" s="174">
        <v>-0.2</v>
      </c>
      <c r="G158" s="174">
        <v>1.7</v>
      </c>
      <c r="H158" s="174">
        <v>2</v>
      </c>
      <c r="I158" s="174">
        <v>0.2</v>
      </c>
      <c r="K158" s="174">
        <v>-4.9000000000000004</v>
      </c>
      <c r="L158" s="174"/>
      <c r="M158" s="174"/>
      <c r="N158" s="174"/>
      <c r="O158" s="174"/>
      <c r="P158" s="174"/>
      <c r="Q158" s="174"/>
      <c r="R158" s="174"/>
      <c r="S158" s="174"/>
      <c r="T158" s="174"/>
      <c r="AA158" s="173"/>
    </row>
    <row r="159" spans="3:27" s="235" customFormat="1" ht="11.25" hidden="1">
      <c r="C159" s="1128"/>
      <c r="D159" s="175" t="str">
        <f>IF(Indice_index!$Z$1=1,"fevereiro","February")</f>
        <v>February</v>
      </c>
      <c r="E159" s="174">
        <v>2.4</v>
      </c>
      <c r="F159" s="174">
        <v>-0.2</v>
      </c>
      <c r="G159" s="174">
        <v>1.6</v>
      </c>
      <c r="H159" s="174">
        <v>1.9</v>
      </c>
      <c r="I159" s="174">
        <v>16.600000000000001</v>
      </c>
      <c r="K159" s="174">
        <v>-4.8</v>
      </c>
      <c r="L159" s="174"/>
      <c r="M159" s="174"/>
      <c r="N159" s="174"/>
      <c r="O159" s="174"/>
      <c r="P159" s="174"/>
      <c r="Q159" s="174"/>
      <c r="R159" s="174"/>
      <c r="S159" s="174"/>
      <c r="T159" s="174"/>
      <c r="AA159" s="173"/>
    </row>
    <row r="160" spans="3:27" s="235" customFormat="1" ht="11.25" hidden="1">
      <c r="C160" s="1130"/>
      <c r="D160" s="175" t="str">
        <f>IF(Indice_index!$Z$1=1,"março","March")</f>
        <v>March</v>
      </c>
      <c r="E160" s="174">
        <v>2.5</v>
      </c>
      <c r="F160" s="174">
        <v>-0.3</v>
      </c>
      <c r="G160" s="174">
        <v>1.3</v>
      </c>
      <c r="H160" s="174">
        <v>1.9</v>
      </c>
      <c r="I160" s="174">
        <v>7.7</v>
      </c>
      <c r="K160" s="174">
        <v>-4.2</v>
      </c>
      <c r="L160" s="174"/>
      <c r="M160" s="174"/>
      <c r="N160" s="174"/>
      <c r="O160" s="174"/>
      <c r="P160" s="174"/>
      <c r="AA160" s="173"/>
    </row>
    <row r="161" spans="3:27" s="235" customFormat="1" ht="11.25" hidden="1">
      <c r="C161" s="1130"/>
      <c r="D161" s="175" t="str">
        <f>IF(Indice_index!$Z$1=1,"abril","April")</f>
        <v>April</v>
      </c>
      <c r="E161" s="174">
        <v>2.7</v>
      </c>
      <c r="F161" s="174">
        <v>-0.4</v>
      </c>
      <c r="G161" s="174">
        <v>1.3</v>
      </c>
      <c r="H161" s="174">
        <v>2</v>
      </c>
      <c r="I161" s="174">
        <v>9</v>
      </c>
      <c r="K161" s="174">
        <v>-4.3</v>
      </c>
      <c r="L161" s="174"/>
      <c r="M161" s="174"/>
      <c r="N161" s="174"/>
      <c r="O161" s="174"/>
      <c r="P161" s="174"/>
      <c r="AA161" s="173"/>
    </row>
    <row r="162" spans="3:27" s="235" customFormat="1" ht="11.25" hidden="1">
      <c r="C162" s="1130"/>
      <c r="D162" s="175" t="str">
        <f>IF(Indice_index!$Z$1=1,"maio","May")</f>
        <v>May</v>
      </c>
      <c r="E162" s="174">
        <v>2.7</v>
      </c>
      <c r="F162" s="174">
        <v>-0.3</v>
      </c>
      <c r="G162" s="174">
        <v>1.3</v>
      </c>
      <c r="H162" s="174">
        <v>2</v>
      </c>
      <c r="I162" s="174">
        <v>8.3000000000000007</v>
      </c>
      <c r="K162" s="174">
        <v>-4.2</v>
      </c>
      <c r="L162" s="174"/>
      <c r="M162" s="174"/>
      <c r="N162" s="174"/>
      <c r="O162" s="174"/>
      <c r="P162" s="174"/>
      <c r="AA162" s="173"/>
    </row>
    <row r="163" spans="3:27" s="235" customFormat="1" ht="11.25" hidden="1">
      <c r="C163" s="1130"/>
      <c r="D163" s="175" t="str">
        <f>IF(Indice_index!$Z$1=1,"junho","June")</f>
        <v>June</v>
      </c>
      <c r="E163" s="174">
        <v>2.6</v>
      </c>
      <c r="F163" s="174">
        <v>-0.1</v>
      </c>
      <c r="G163" s="174">
        <v>1.2</v>
      </c>
      <c r="H163" s="174">
        <v>1.9</v>
      </c>
      <c r="I163" s="174">
        <v>8.1999999999999993</v>
      </c>
      <c r="K163" s="174">
        <v>-4.3</v>
      </c>
      <c r="L163" s="174"/>
      <c r="M163" s="174"/>
      <c r="N163" s="174"/>
      <c r="O163" s="174"/>
      <c r="P163" s="174"/>
      <c r="AA163" s="173"/>
    </row>
    <row r="164" spans="3:27" s="235" customFormat="1" ht="11.25" hidden="1">
      <c r="C164" s="1130"/>
      <c r="D164" s="175" t="str">
        <f>IF(Indice_index!$Z$1=1,"julho","July")</f>
        <v>July</v>
      </c>
      <c r="E164" s="174">
        <v>2.5</v>
      </c>
      <c r="F164" s="174">
        <v>-0.2</v>
      </c>
      <c r="G164" s="174">
        <v>1.1000000000000001</v>
      </c>
      <c r="H164" s="174">
        <v>1.8</v>
      </c>
      <c r="I164" s="174">
        <v>14.7</v>
      </c>
      <c r="K164" s="174">
        <v>-4.3</v>
      </c>
      <c r="L164" s="174"/>
      <c r="M164" s="174"/>
      <c r="N164" s="174"/>
      <c r="O164" s="174"/>
      <c r="P164" s="174"/>
      <c r="AA164" s="173"/>
    </row>
    <row r="165" spans="3:27" s="235" customFormat="1" ht="11.25" hidden="1">
      <c r="C165" s="1130"/>
      <c r="D165" s="175" t="str">
        <f>IF(Indice_index!$Z$1=1,"agosto","August")</f>
        <v>August</v>
      </c>
      <c r="E165" s="174">
        <v>2.2999999999999998</v>
      </c>
      <c r="F165" s="174">
        <v>-0.2</v>
      </c>
      <c r="G165" s="174">
        <v>1.1000000000000001</v>
      </c>
      <c r="H165" s="174">
        <v>1.7</v>
      </c>
      <c r="I165" s="174">
        <v>8.6</v>
      </c>
      <c r="K165" s="174">
        <v>-4.4000000000000004</v>
      </c>
      <c r="L165" s="174"/>
      <c r="M165" s="174"/>
      <c r="N165" s="174"/>
      <c r="O165" s="174"/>
      <c r="P165" s="174"/>
      <c r="AA165" s="173"/>
    </row>
    <row r="166" spans="3:27" s="235" customFormat="1" ht="11.25" hidden="1">
      <c r="C166" s="1130"/>
      <c r="D166" s="175" t="str">
        <f>IF(Indice_index!$Z$1=1,"setembro","September")</f>
        <v>September</v>
      </c>
      <c r="E166" s="174">
        <v>2</v>
      </c>
      <c r="F166" s="174">
        <v>-0.3</v>
      </c>
      <c r="G166" s="174">
        <v>1</v>
      </c>
      <c r="H166" s="174">
        <v>1.5</v>
      </c>
      <c r="I166" s="174">
        <v>8.6</v>
      </c>
      <c r="K166" s="174">
        <v>-4.4000000000000004</v>
      </c>
      <c r="L166" s="174"/>
      <c r="M166" s="174"/>
      <c r="N166" s="174"/>
      <c r="O166" s="174"/>
      <c r="P166" s="174"/>
      <c r="AA166" s="173"/>
    </row>
    <row r="167" spans="3:27" s="235" customFormat="1" ht="11.25" hidden="1">
      <c r="C167" s="1130"/>
      <c r="D167" s="175" t="str">
        <f>IF(Indice_index!$Z$1=1,"outubro","October")</f>
        <v>October</v>
      </c>
      <c r="E167" s="174">
        <v>1.8</v>
      </c>
      <c r="F167" s="174">
        <v>-0.4</v>
      </c>
      <c r="G167" s="174">
        <v>1.1000000000000001</v>
      </c>
      <c r="H167" s="174">
        <v>1.4</v>
      </c>
      <c r="I167" s="174">
        <v>9.8000000000000007</v>
      </c>
      <c r="K167" s="174">
        <v>-4.3</v>
      </c>
      <c r="L167" s="174"/>
      <c r="M167" s="174"/>
      <c r="N167" s="174"/>
      <c r="O167" s="174"/>
      <c r="P167" s="174"/>
      <c r="AA167" s="173"/>
    </row>
    <row r="168" spans="3:27" s="235" customFormat="1" ht="11.25" hidden="1">
      <c r="C168" s="1130"/>
      <c r="D168" s="175" t="str">
        <f>IF(Indice_index!$Z$1=1,"novembro","November")</f>
        <v>November</v>
      </c>
      <c r="E168" s="174">
        <v>2</v>
      </c>
      <c r="F168" s="174">
        <v>0</v>
      </c>
      <c r="G168" s="174">
        <v>1.3</v>
      </c>
      <c r="H168" s="174">
        <v>1.6</v>
      </c>
      <c r="I168" s="174">
        <v>53.1</v>
      </c>
      <c r="K168" s="174">
        <v>-4.2</v>
      </c>
      <c r="L168" s="174"/>
      <c r="M168" s="174"/>
      <c r="N168" s="174"/>
      <c r="O168" s="174"/>
      <c r="P168" s="174"/>
      <c r="AA168" s="173"/>
    </row>
    <row r="169" spans="3:27" s="235" customFormat="1" ht="11.25" hidden="1">
      <c r="C169" s="1130"/>
      <c r="D169" s="175" t="str">
        <f>IF(Indice_index!$Z$1=1,"dezembro","December")</f>
        <v>December</v>
      </c>
      <c r="E169" s="174">
        <v>2.2000000000000002</v>
      </c>
      <c r="F169" s="174">
        <v>0</v>
      </c>
      <c r="G169" s="174">
        <v>1.4</v>
      </c>
      <c r="H169" s="174">
        <v>1.8</v>
      </c>
      <c r="I169" s="174">
        <v>8.8000000000000007</v>
      </c>
      <c r="K169" s="174">
        <v>-4.0999999999999996</v>
      </c>
      <c r="L169" s="174"/>
      <c r="M169" s="174"/>
      <c r="N169" s="174"/>
      <c r="O169" s="174"/>
      <c r="P169" s="174"/>
      <c r="AA169" s="173"/>
    </row>
    <row r="170" spans="3:27" s="235" customFormat="1" ht="11.25" hidden="1">
      <c r="C170" s="1126" t="s">
        <v>17</v>
      </c>
      <c r="D170" s="174"/>
      <c r="E170" s="174"/>
      <c r="F170" s="174"/>
      <c r="G170" s="174"/>
      <c r="H170" s="174"/>
      <c r="I170" s="174"/>
      <c r="K170" s="174"/>
      <c r="L170" s="174"/>
      <c r="M170" s="174"/>
      <c r="N170" s="174"/>
      <c r="O170" s="174"/>
      <c r="P170" s="174"/>
      <c r="AA170" s="173"/>
    </row>
    <row r="171" spans="3:27" s="235" customFormat="1" ht="11.25" hidden="1">
      <c r="C171" s="1130"/>
      <c r="D171" s="175" t="str">
        <f>IF(Indice_index!$Z$1=1,"janeiro","January")</f>
        <v>January</v>
      </c>
      <c r="E171" s="174">
        <v>2.2000000000000002</v>
      </c>
      <c r="F171" s="174">
        <v>0.1</v>
      </c>
      <c r="G171" s="174">
        <v>1.3</v>
      </c>
      <c r="H171" s="174">
        <v>1.8</v>
      </c>
      <c r="I171" s="174">
        <v>10.1</v>
      </c>
      <c r="K171" s="174">
        <v>-4.4000000000000004</v>
      </c>
      <c r="L171" s="174"/>
      <c r="M171" s="174"/>
      <c r="N171" s="174"/>
      <c r="O171" s="174"/>
      <c r="P171" s="174"/>
      <c r="AA171" s="173"/>
    </row>
    <row r="172" spans="3:27" s="235" customFormat="1" ht="11.25" hidden="1">
      <c r="C172" s="1130"/>
      <c r="D172" s="175" t="str">
        <f>IF(Indice_index!$Z$1=1,"fevereiro","February")</f>
        <v>February</v>
      </c>
      <c r="E172" s="174">
        <v>2.2000000000000002</v>
      </c>
      <c r="F172" s="174">
        <v>0</v>
      </c>
      <c r="G172" s="174">
        <v>1.3</v>
      </c>
      <c r="H172" s="174">
        <v>1.7</v>
      </c>
      <c r="I172" s="174">
        <v>-8</v>
      </c>
      <c r="K172" s="174">
        <v>-4.5</v>
      </c>
      <c r="L172" s="174"/>
      <c r="M172" s="174"/>
      <c r="N172" s="174"/>
      <c r="O172" s="174"/>
      <c r="P172" s="174"/>
      <c r="AA172" s="173"/>
    </row>
    <row r="173" spans="3:27" s="235" customFormat="1" ht="11.25" hidden="1">
      <c r="C173" s="1130"/>
      <c r="D173" s="175" t="str">
        <f>IF(Indice_index!$Z$1=1,"março","March")</f>
        <v>March</v>
      </c>
      <c r="E173" s="174">
        <v>2.1</v>
      </c>
      <c r="F173" s="174">
        <v>0</v>
      </c>
      <c r="G173" s="174">
        <v>1.5</v>
      </c>
      <c r="H173" s="174">
        <v>1.7</v>
      </c>
      <c r="I173" s="174">
        <v>-0.7</v>
      </c>
      <c r="K173" s="174">
        <v>-4.5999999999999996</v>
      </c>
      <c r="L173" s="174"/>
      <c r="M173" s="174"/>
      <c r="N173" s="174"/>
      <c r="O173" s="174"/>
      <c r="P173" s="174"/>
      <c r="AA173" s="173"/>
    </row>
    <row r="174" spans="3:27" s="235" customFormat="1" ht="11.25" hidden="1">
      <c r="C174" s="1130"/>
      <c r="D174" s="175" t="str">
        <f>IF(Indice_index!$Z$1=1,"abril","April")</f>
        <v>April</v>
      </c>
      <c r="E174" s="174">
        <v>2</v>
      </c>
      <c r="F174" s="174">
        <v>0.1</v>
      </c>
      <c r="G174" s="174">
        <v>1.6</v>
      </c>
      <c r="H174" s="174">
        <v>1.7</v>
      </c>
      <c r="I174" s="174">
        <v>-1.2</v>
      </c>
      <c r="K174" s="174">
        <v>-4.8</v>
      </c>
      <c r="L174" s="174"/>
      <c r="M174" s="174"/>
      <c r="N174" s="174"/>
      <c r="O174" s="174"/>
      <c r="P174" s="174"/>
      <c r="AA174" s="173"/>
    </row>
    <row r="175" spans="3:27" s="235" customFormat="1" ht="11.25" hidden="1">
      <c r="C175" s="1130"/>
      <c r="D175" s="175" t="str">
        <f>IF(Indice_index!$Z$1=1,"maio","May")</f>
        <v>May</v>
      </c>
      <c r="E175" s="174">
        <v>1.9</v>
      </c>
      <c r="F175" s="174">
        <v>0.1</v>
      </c>
      <c r="G175" s="174">
        <v>1.6</v>
      </c>
      <c r="H175" s="174">
        <v>1.6</v>
      </c>
      <c r="I175" s="174">
        <v>-0.9</v>
      </c>
      <c r="K175" s="174">
        <v>-4.9000000000000004</v>
      </c>
      <c r="L175" s="174"/>
      <c r="M175" s="174"/>
      <c r="N175" s="174"/>
      <c r="O175" s="174"/>
      <c r="P175" s="174"/>
      <c r="AA175" s="173"/>
    </row>
    <row r="176" spans="3:27" s="235" customFormat="1" ht="11.25" hidden="1">
      <c r="C176" s="1130"/>
      <c r="D176" s="175" t="str">
        <f>IF(Indice_index!$Z$1=1,"junho","June")</f>
        <v>June</v>
      </c>
      <c r="E176" s="174">
        <v>2</v>
      </c>
      <c r="F176" s="174">
        <v>-0.2</v>
      </c>
      <c r="G176" s="174">
        <v>1.6</v>
      </c>
      <c r="H176" s="174">
        <v>1.6</v>
      </c>
      <c r="I176" s="174">
        <v>-0.9</v>
      </c>
      <c r="K176" s="174">
        <v>-5</v>
      </c>
      <c r="L176" s="174"/>
      <c r="M176" s="174"/>
      <c r="N176" s="174"/>
      <c r="O176" s="174"/>
      <c r="P176" s="174"/>
      <c r="AA176" s="173"/>
    </row>
    <row r="177" spans="3:27" s="235" customFormat="1" ht="11.25" hidden="1">
      <c r="C177" s="1130"/>
      <c r="D177" s="175" t="str">
        <f>IF(Indice_index!$Z$1=1,"julho","July")</f>
        <v>July</v>
      </c>
      <c r="E177" s="174">
        <v>2.1480540184017052</v>
      </c>
      <c r="F177" s="174">
        <v>-0.32109970013003208</v>
      </c>
      <c r="G177" s="174">
        <v>10.527022064016725</v>
      </c>
      <c r="H177" s="174">
        <v>3.7888244605378629</v>
      </c>
      <c r="I177" s="174">
        <v>48.076394613904931</v>
      </c>
      <c r="K177" s="174">
        <v>-5.1713744898311784</v>
      </c>
      <c r="L177" s="174"/>
      <c r="M177" s="174"/>
      <c r="N177" s="174"/>
      <c r="O177" s="174"/>
      <c r="P177" s="174"/>
      <c r="AA177" s="173"/>
    </row>
    <row r="178" spans="3:27" s="235" customFormat="1" ht="11.25" hidden="1">
      <c r="C178" s="1130"/>
      <c r="D178" s="175" t="str">
        <f>IF(Indice_index!$Z$1=1,"agosto","August")</f>
        <v>August</v>
      </c>
      <c r="E178" s="174">
        <v>2.6</v>
      </c>
      <c r="F178" s="174">
        <v>-0.1</v>
      </c>
      <c r="G178" s="174">
        <v>10.5</v>
      </c>
      <c r="H178" s="174">
        <v>4.0999999999999996</v>
      </c>
      <c r="I178" s="174">
        <v>1.3</v>
      </c>
      <c r="K178" s="174">
        <v>-5.0999999999999996</v>
      </c>
      <c r="L178" s="174"/>
      <c r="M178" s="174"/>
      <c r="N178" s="174"/>
      <c r="O178" s="174"/>
      <c r="P178" s="174"/>
      <c r="AA178" s="173"/>
    </row>
    <row r="179" spans="3:27" s="235" customFormat="1" ht="11.25" hidden="1">
      <c r="C179" s="1130"/>
      <c r="D179" s="175" t="str">
        <f>IF(Indice_index!$Z$1=1,"setembro","September")</f>
        <v>September</v>
      </c>
      <c r="E179" s="174">
        <v>3</v>
      </c>
      <c r="F179" s="174">
        <v>0.1</v>
      </c>
      <c r="G179" s="174">
        <v>10.5</v>
      </c>
      <c r="H179" s="174">
        <v>4.4000000000000004</v>
      </c>
      <c r="I179" s="174">
        <v>-2.2999999999999998</v>
      </c>
      <c r="K179" s="174">
        <v>-5</v>
      </c>
      <c r="L179" s="174"/>
      <c r="M179" s="174"/>
      <c r="N179" s="174"/>
      <c r="O179" s="174"/>
      <c r="P179" s="174"/>
      <c r="AA179" s="173"/>
    </row>
    <row r="180" spans="3:27" s="235" customFormat="1" ht="11.25" hidden="1">
      <c r="C180" s="1130"/>
      <c r="D180" s="175" t="str">
        <f>IF(Indice_index!$Z$1=1,"outubro","October")</f>
        <v>October</v>
      </c>
      <c r="E180" s="174">
        <v>3.2</v>
      </c>
      <c r="F180" s="174">
        <v>0.1</v>
      </c>
      <c r="G180" s="174">
        <v>10.6</v>
      </c>
      <c r="H180" s="174">
        <v>4.5</v>
      </c>
      <c r="I180" s="174">
        <v>-3.4</v>
      </c>
      <c r="K180" s="174">
        <v>-5</v>
      </c>
      <c r="L180" s="174"/>
      <c r="M180" s="174"/>
      <c r="N180" s="174"/>
      <c r="O180" s="174"/>
      <c r="P180" s="174"/>
      <c r="AA180" s="173"/>
    </row>
    <row r="181" spans="3:27" s="235" customFormat="1" ht="11.25" hidden="1">
      <c r="C181" s="1130"/>
      <c r="D181" s="175" t="str">
        <f>IF(Indice_index!$Z$1=1,"novembro","November")</f>
        <v>November</v>
      </c>
      <c r="E181" s="174">
        <v>3.1</v>
      </c>
      <c r="F181" s="174">
        <v>-0.2</v>
      </c>
      <c r="G181" s="174">
        <v>10.4</v>
      </c>
      <c r="H181" s="174">
        <v>4.4000000000000004</v>
      </c>
      <c r="I181" s="174">
        <v>-41.2</v>
      </c>
      <c r="K181" s="174">
        <v>-5</v>
      </c>
      <c r="L181" s="174"/>
      <c r="M181" s="174"/>
      <c r="N181" s="174"/>
      <c r="O181" s="174"/>
      <c r="P181" s="174"/>
      <c r="AA181" s="173"/>
    </row>
    <row r="182" spans="3:27" s="235" customFormat="1" ht="11.25" hidden="1">
      <c r="C182" s="1130"/>
      <c r="D182" s="175" t="str">
        <f>IF(Indice_index!$Z$1=1,"dezembro","December")</f>
        <v>December</v>
      </c>
      <c r="E182" s="174">
        <v>3</v>
      </c>
      <c r="F182" s="174">
        <v>-0.2</v>
      </c>
      <c r="G182" s="174">
        <v>10.199999999999999</v>
      </c>
      <c r="H182" s="174">
        <v>4.2</v>
      </c>
      <c r="I182" s="174">
        <v>0.7</v>
      </c>
      <c r="K182" s="174">
        <v>-5</v>
      </c>
      <c r="L182" s="174"/>
      <c r="M182" s="174"/>
      <c r="N182" s="174"/>
      <c r="O182" s="174"/>
      <c r="P182" s="174"/>
      <c r="AA182" s="173"/>
    </row>
    <row r="183" spans="3:27" s="235" customFormat="1" ht="11.25" hidden="1">
      <c r="C183" s="1126" t="s">
        <v>18</v>
      </c>
      <c r="D183" s="174"/>
      <c r="E183" s="174"/>
      <c r="F183" s="174"/>
      <c r="G183" s="174"/>
      <c r="H183" s="174"/>
      <c r="I183" s="174"/>
      <c r="K183" s="174"/>
      <c r="L183" s="174"/>
      <c r="M183" s="174"/>
      <c r="N183" s="174"/>
      <c r="O183" s="174"/>
      <c r="P183" s="174"/>
      <c r="AA183" s="173"/>
    </row>
    <row r="184" spans="3:27" s="235" customFormat="1" ht="11.25" hidden="1">
      <c r="C184" s="1130"/>
      <c r="D184" s="175" t="str">
        <f>IF(Indice_index!$Z$1=1,"janeiro","January")</f>
        <v>January</v>
      </c>
      <c r="E184" s="174">
        <v>3</v>
      </c>
      <c r="F184" s="174">
        <v>-0.4</v>
      </c>
      <c r="G184" s="174">
        <v>10.1</v>
      </c>
      <c r="H184" s="174">
        <v>4.2</v>
      </c>
      <c r="I184" s="174">
        <v>-1.9</v>
      </c>
      <c r="K184" s="174">
        <v>-4.7</v>
      </c>
      <c r="L184" s="174"/>
      <c r="N184" s="174"/>
      <c r="O184" s="174"/>
      <c r="P184" s="174"/>
      <c r="AA184" s="173"/>
    </row>
    <row r="185" spans="3:27" s="235" customFormat="1" ht="11.25" hidden="1">
      <c r="C185" s="1130"/>
      <c r="D185" s="175" t="str">
        <f>IF(Indice_index!$Z$1=1,"fevereiro","February")</f>
        <v>February</v>
      </c>
      <c r="E185" s="174">
        <v>3.1</v>
      </c>
      <c r="F185" s="174">
        <v>-0.5</v>
      </c>
      <c r="G185" s="174">
        <v>9.9</v>
      </c>
      <c r="H185" s="174">
        <v>4.2</v>
      </c>
      <c r="I185" s="174">
        <v>-1.2</v>
      </c>
      <c r="K185" s="174">
        <v>-4.5</v>
      </c>
      <c r="L185" s="174"/>
      <c r="M185" s="174"/>
      <c r="N185" s="174"/>
      <c r="O185" s="174"/>
      <c r="P185" s="174"/>
      <c r="AA185" s="173"/>
    </row>
    <row r="186" spans="3:27" s="235" customFormat="1" ht="11.25" hidden="1">
      <c r="C186" s="1130"/>
      <c r="D186" s="175" t="str">
        <f>IF(Indice_index!$Z$1=1,"março","March")</f>
        <v>March</v>
      </c>
      <c r="E186" s="174">
        <v>3.1</v>
      </c>
      <c r="F186" s="174">
        <v>-0.6</v>
      </c>
      <c r="G186" s="174">
        <v>9.6999999999999993</v>
      </c>
      <c r="H186" s="174">
        <v>4.2</v>
      </c>
      <c r="I186" s="174">
        <v>-1.2</v>
      </c>
      <c r="K186" s="174">
        <v>-4.2</v>
      </c>
      <c r="L186" s="174"/>
      <c r="M186" s="174"/>
      <c r="N186" s="174"/>
      <c r="O186" s="174"/>
      <c r="P186" s="174"/>
      <c r="AA186" s="173"/>
    </row>
    <row r="187" spans="3:27" s="235" customFormat="1" ht="11.25" hidden="1">
      <c r="C187" s="1130"/>
      <c r="D187" s="175" t="str">
        <f>IF(Indice_index!$Z$1=1,"abril","April")</f>
        <v>April</v>
      </c>
      <c r="E187" s="174">
        <v>3</v>
      </c>
      <c r="F187" s="174">
        <v>-0.8</v>
      </c>
      <c r="G187" s="174">
        <v>9.6</v>
      </c>
      <c r="H187" s="174">
        <v>4.0999999999999996</v>
      </c>
      <c r="I187" s="174">
        <v>-1</v>
      </c>
      <c r="K187" s="174">
        <v>-4</v>
      </c>
      <c r="L187" s="174"/>
      <c r="M187" s="174"/>
      <c r="N187" s="174"/>
      <c r="O187" s="174"/>
      <c r="P187" s="174"/>
      <c r="AA187" s="173"/>
    </row>
    <row r="188" spans="3:27" s="235" customFormat="1" ht="11.25" hidden="1">
      <c r="C188" s="1130"/>
      <c r="D188" s="175" t="str">
        <f>IF(Indice_index!$Z$1=1,"maio","May")</f>
        <v>May</v>
      </c>
      <c r="E188" s="174">
        <v>2.9</v>
      </c>
      <c r="F188" s="174">
        <v>-0.9</v>
      </c>
      <c r="G188" s="174">
        <v>10.7</v>
      </c>
      <c r="H188" s="174">
        <v>4.3</v>
      </c>
      <c r="I188" s="174">
        <v>-1</v>
      </c>
      <c r="K188" s="174">
        <v>-3.7</v>
      </c>
      <c r="L188" s="174"/>
      <c r="M188" s="174"/>
      <c r="N188" s="174"/>
      <c r="O188" s="174"/>
      <c r="P188" s="174"/>
      <c r="AA188" s="173"/>
    </row>
    <row r="189" spans="3:27" s="235" customFormat="1" ht="11.25" hidden="1">
      <c r="C189" s="1130"/>
      <c r="D189" s="175" t="str">
        <f>IF(Indice_index!$Z$1=1,"junho","June")</f>
        <v>June</v>
      </c>
      <c r="E189" s="174">
        <v>2.9</v>
      </c>
      <c r="F189" s="174">
        <v>-0.8</v>
      </c>
      <c r="G189" s="174">
        <v>10.6</v>
      </c>
      <c r="H189" s="174">
        <v>4.2</v>
      </c>
      <c r="I189" s="174">
        <v>-1.3</v>
      </c>
      <c r="K189" s="174">
        <v>-3.4</v>
      </c>
      <c r="L189" s="174"/>
      <c r="M189" s="174"/>
      <c r="N189" s="174"/>
      <c r="O189" s="174"/>
      <c r="P189" s="174"/>
      <c r="AA189" s="173"/>
    </row>
    <row r="190" spans="3:27" s="235" customFormat="1" ht="11.25" hidden="1">
      <c r="C190" s="1130"/>
      <c r="D190" s="175" t="str">
        <f>IF(Indice_index!$Z$1=1,"julho","July")</f>
        <v>July</v>
      </c>
      <c r="E190" s="174">
        <v>2.6</v>
      </c>
      <c r="F190" s="174">
        <v>-0.8</v>
      </c>
      <c r="G190" s="174">
        <v>1.8</v>
      </c>
      <c r="H190" s="174">
        <v>2</v>
      </c>
      <c r="I190" s="174">
        <v>0.2</v>
      </c>
      <c r="K190" s="174">
        <v>-3.1</v>
      </c>
      <c r="L190" s="174"/>
      <c r="M190" s="174"/>
      <c r="N190" s="174"/>
      <c r="O190" s="174"/>
      <c r="P190" s="174"/>
      <c r="AA190" s="173"/>
    </row>
    <row r="191" spans="3:27" s="235" customFormat="1" ht="11.25" hidden="1">
      <c r="C191" s="1130"/>
      <c r="D191" s="175" t="str">
        <f>IF(Indice_index!$Z$1=1,"agosto","August")</f>
        <v>August</v>
      </c>
      <c r="E191" s="174">
        <v>2.2000000000000002</v>
      </c>
      <c r="F191" s="174">
        <v>-0.9</v>
      </c>
      <c r="G191" s="174">
        <v>1.8</v>
      </c>
      <c r="H191" s="174">
        <v>1.7</v>
      </c>
      <c r="I191" s="174">
        <v>-3.6</v>
      </c>
      <c r="K191" s="174">
        <v>-3</v>
      </c>
      <c r="L191" s="174"/>
      <c r="M191" s="174"/>
      <c r="N191" s="174"/>
      <c r="O191" s="174"/>
      <c r="P191" s="174"/>
      <c r="AA191" s="173"/>
    </row>
    <row r="192" spans="3:27" s="235" customFormat="1" ht="11.25" hidden="1">
      <c r="C192" s="1130"/>
      <c r="D192" s="175" t="str">
        <f>IF(Indice_index!$Z$1=1,"setembro","September")</f>
        <v>September</v>
      </c>
      <c r="E192" s="174">
        <v>1.8</v>
      </c>
      <c r="F192" s="174">
        <v>-1.1000000000000001</v>
      </c>
      <c r="G192" s="174">
        <v>1.9</v>
      </c>
      <c r="H192" s="174">
        <v>1.5</v>
      </c>
      <c r="I192" s="174">
        <v>0.1</v>
      </c>
      <c r="K192" s="174">
        <v>-2.6</v>
      </c>
      <c r="L192" s="174"/>
      <c r="M192" s="174"/>
      <c r="N192" s="174"/>
      <c r="O192" s="174"/>
      <c r="P192" s="174"/>
      <c r="AA192" s="173"/>
    </row>
    <row r="193" spans="3:27" s="235" customFormat="1" ht="11.25" hidden="1">
      <c r="C193" s="1130"/>
      <c r="D193" s="175" t="str">
        <f>IF(Indice_index!$Z$1=1,"outubro","October")</f>
        <v>October</v>
      </c>
      <c r="E193" s="174">
        <v>1.5</v>
      </c>
      <c r="F193" s="174">
        <v>-1</v>
      </c>
      <c r="G193" s="174">
        <v>1.7</v>
      </c>
      <c r="H193" s="174">
        <v>1.3</v>
      </c>
      <c r="I193" s="174">
        <v>0.1</v>
      </c>
      <c r="K193" s="174">
        <v>-2.5</v>
      </c>
      <c r="L193" s="174"/>
      <c r="M193" s="174"/>
      <c r="N193" s="174"/>
      <c r="O193" s="174"/>
      <c r="P193" s="174"/>
      <c r="AA193" s="173"/>
    </row>
    <row r="194" spans="3:27" s="235" customFormat="1" ht="11.25" hidden="1">
      <c r="C194" s="1130"/>
      <c r="D194" s="175" t="str">
        <f>IF(Indice_index!$Z$1=1,"novembro","November")</f>
        <v>November</v>
      </c>
      <c r="E194" s="174">
        <v>1.3</v>
      </c>
      <c r="F194" s="174">
        <v>-1</v>
      </c>
      <c r="G194" s="174">
        <v>1.7</v>
      </c>
      <c r="H194" s="174">
        <v>1.1000000000000001</v>
      </c>
      <c r="I194" s="174">
        <v>-0.4</v>
      </c>
      <c r="K194" s="174">
        <v>-2.2999999999999998</v>
      </c>
      <c r="L194" s="174"/>
      <c r="M194" s="174"/>
      <c r="N194" s="174"/>
      <c r="O194" s="174"/>
      <c r="P194" s="174"/>
      <c r="AA194" s="173"/>
    </row>
    <row r="195" spans="3:27" s="235" customFormat="1" ht="11.25" hidden="1">
      <c r="C195" s="1130"/>
      <c r="D195" s="175" t="str">
        <f>IF(Indice_index!$Z$1=1,"dezembro","December")</f>
        <v>December</v>
      </c>
      <c r="E195" s="174">
        <v>1</v>
      </c>
      <c r="F195" s="174">
        <v>-0.9</v>
      </c>
      <c r="G195" s="174">
        <v>1.7</v>
      </c>
      <c r="H195" s="174">
        <v>1</v>
      </c>
      <c r="I195" s="174">
        <v>-6.6</v>
      </c>
      <c r="K195" s="174">
        <v>-2.2999999999999998</v>
      </c>
      <c r="L195" s="174"/>
      <c r="M195" s="174"/>
      <c r="N195" s="174"/>
      <c r="O195" s="174"/>
      <c r="P195" s="174"/>
      <c r="AA195" s="173"/>
    </row>
    <row r="196" spans="3:27" s="235" customFormat="1" ht="11.25" hidden="1">
      <c r="C196" s="1129">
        <v>2016</v>
      </c>
      <c r="D196" s="174"/>
      <c r="E196" s="174"/>
      <c r="F196" s="174"/>
      <c r="G196" s="174"/>
      <c r="H196" s="174"/>
      <c r="I196" s="174"/>
      <c r="K196" s="174"/>
      <c r="L196" s="174"/>
      <c r="M196" s="174"/>
      <c r="N196" s="174"/>
      <c r="O196" s="174"/>
      <c r="P196" s="174"/>
      <c r="AA196" s="173"/>
    </row>
    <row r="197" spans="3:27" s="235" customFormat="1" ht="11.25" hidden="1">
      <c r="C197" s="1130"/>
      <c r="D197" s="175" t="str">
        <f>IF(Indice_index!$Z$1=1,"janeiro","January")</f>
        <v>January</v>
      </c>
      <c r="E197" s="174">
        <v>0.7</v>
      </c>
      <c r="F197" s="174">
        <v>-0.9</v>
      </c>
      <c r="G197" s="174">
        <v>1.6</v>
      </c>
      <c r="H197" s="174">
        <v>0.8</v>
      </c>
      <c r="I197" s="174">
        <v>0.2</v>
      </c>
      <c r="K197" s="174">
        <v>-2.2000000000000002</v>
      </c>
      <c r="L197" s="174"/>
      <c r="M197" s="174"/>
      <c r="N197" s="174"/>
      <c r="O197" s="174"/>
      <c r="P197" s="174"/>
      <c r="AA197" s="173"/>
    </row>
    <row r="198" spans="3:27" s="235" customFormat="1" ht="11.25" hidden="1">
      <c r="C198" s="1130"/>
      <c r="D198" s="175" t="str">
        <f>IF(Indice_index!$Z$1=1,"fevereiro","February")</f>
        <v>February</v>
      </c>
      <c r="E198" s="174">
        <v>0.5</v>
      </c>
      <c r="F198" s="174">
        <v>-0.9</v>
      </c>
      <c r="G198" s="174">
        <v>1.7</v>
      </c>
      <c r="H198" s="174">
        <v>0.6</v>
      </c>
      <c r="I198" s="174">
        <v>2.5</v>
      </c>
      <c r="K198" s="174">
        <v>-2.2000000000000002</v>
      </c>
      <c r="L198" s="174"/>
      <c r="M198" s="174"/>
      <c r="N198" s="174"/>
      <c r="O198" s="174"/>
      <c r="P198" s="174"/>
      <c r="AA198" s="173"/>
    </row>
    <row r="199" spans="3:27" s="235" customFormat="1" ht="11.25" hidden="1">
      <c r="C199" s="1130"/>
      <c r="D199" s="175" t="str">
        <f>IF(Indice_index!$Z$1=1,"março","March")</f>
        <v>March</v>
      </c>
      <c r="E199" s="174">
        <v>0.3</v>
      </c>
      <c r="F199" s="174">
        <v>-0.8</v>
      </c>
      <c r="G199" s="174">
        <v>1.8</v>
      </c>
      <c r="H199" s="174">
        <v>0.5</v>
      </c>
      <c r="I199" s="174">
        <v>-0.3</v>
      </c>
      <c r="K199" s="174">
        <v>-2.2000000000000002</v>
      </c>
      <c r="L199" s="174"/>
      <c r="M199" s="174"/>
      <c r="N199" s="174"/>
      <c r="O199" s="174"/>
      <c r="P199" s="174"/>
      <c r="AA199" s="173"/>
    </row>
    <row r="200" spans="3:27" s="235" customFormat="1" ht="11.25" hidden="1">
      <c r="C200" s="1130"/>
      <c r="D200" s="175" t="str">
        <f>IF(Indice_index!$Z$1=1,"abril","April")</f>
        <v>April</v>
      </c>
      <c r="E200" s="174">
        <v>0.1</v>
      </c>
      <c r="F200" s="174">
        <v>-0.8</v>
      </c>
      <c r="G200" s="174">
        <v>1.7</v>
      </c>
      <c r="H200" s="174">
        <v>0.4</v>
      </c>
      <c r="I200" s="174">
        <v>-0.1</v>
      </c>
      <c r="K200" s="174">
        <v>-2.1</v>
      </c>
      <c r="L200" s="174"/>
      <c r="M200" s="174"/>
      <c r="N200" s="174"/>
      <c r="O200" s="174"/>
      <c r="P200" s="174"/>
      <c r="AA200" s="173"/>
    </row>
    <row r="201" spans="3:27" s="235" customFormat="1" ht="11.25" hidden="1">
      <c r="C201" s="1130"/>
      <c r="D201" s="175" t="str">
        <f>IF(Indice_index!$Z$1=1,"maio","May")</f>
        <v>May</v>
      </c>
      <c r="E201" s="174">
        <v>-0.1</v>
      </c>
      <c r="F201" s="174">
        <v>-0.8</v>
      </c>
      <c r="G201" s="174">
        <v>0.5</v>
      </c>
      <c r="H201" s="174">
        <v>0</v>
      </c>
      <c r="I201" s="174">
        <v>-0.3</v>
      </c>
      <c r="K201" s="174">
        <v>-2.2000000000000002</v>
      </c>
      <c r="L201" s="174"/>
      <c r="M201" s="174"/>
      <c r="N201" s="174"/>
      <c r="O201" s="174"/>
      <c r="P201" s="174"/>
      <c r="AA201" s="173"/>
    </row>
    <row r="202" spans="3:27" s="235" customFormat="1" ht="11.25" hidden="1">
      <c r="C202" s="1130"/>
      <c r="D202" s="175" t="str">
        <f>IF(Indice_index!$Z$1=1,"junho","June")</f>
        <v>June</v>
      </c>
      <c r="E202" s="174">
        <v>-0.3</v>
      </c>
      <c r="F202" s="174">
        <v>-0.9</v>
      </c>
      <c r="G202" s="174">
        <v>0.5</v>
      </c>
      <c r="H202" s="174">
        <v>-0.1</v>
      </c>
      <c r="I202" s="174">
        <v>1.5</v>
      </c>
      <c r="K202" s="174">
        <v>-2.2000000000000002</v>
      </c>
      <c r="L202" s="174"/>
      <c r="M202" s="174"/>
      <c r="N202" s="174"/>
      <c r="O202" s="174"/>
      <c r="P202" s="174"/>
      <c r="AA202" s="173"/>
    </row>
    <row r="203" spans="3:27" s="235" customFormat="1" ht="11.25" hidden="1">
      <c r="C203" s="1130"/>
      <c r="D203" s="175" t="str">
        <f>IF(Indice_index!$Z$1=1,"julho","July")</f>
        <v>July</v>
      </c>
      <c r="E203" s="174">
        <v>-0.3</v>
      </c>
      <c r="F203" s="174">
        <v>-0.9</v>
      </c>
      <c r="G203" s="174">
        <v>0.4</v>
      </c>
      <c r="H203" s="174">
        <v>-0.2</v>
      </c>
      <c r="I203" s="174">
        <v>1.3</v>
      </c>
      <c r="K203" s="174">
        <v>-2.1</v>
      </c>
      <c r="L203" s="174"/>
      <c r="M203" s="174"/>
      <c r="N203" s="174"/>
      <c r="O203" s="174"/>
      <c r="P203" s="174"/>
      <c r="AA203" s="173"/>
    </row>
    <row r="204" spans="3:27" s="235" customFormat="1" ht="11.25" hidden="1">
      <c r="C204" s="1130"/>
      <c r="D204" s="175" t="str">
        <f>IF(Indice_index!$Z$1=1,"agosto","August")</f>
        <v>August</v>
      </c>
      <c r="E204" s="174">
        <v>-0.5</v>
      </c>
      <c r="F204" s="174">
        <v>-0.9</v>
      </c>
      <c r="G204" s="174">
        <v>0.3</v>
      </c>
      <c r="H204" s="174">
        <v>-0.3</v>
      </c>
      <c r="I204" s="174">
        <v>2.4</v>
      </c>
      <c r="K204" s="174">
        <v>-2.1</v>
      </c>
      <c r="L204" s="174"/>
      <c r="M204" s="174"/>
      <c r="N204" s="174"/>
      <c r="O204" s="174"/>
      <c r="P204" s="174"/>
      <c r="AA204" s="173"/>
    </row>
    <row r="205" spans="3:27" s="235" customFormat="1" ht="11.25" hidden="1">
      <c r="C205" s="1130"/>
      <c r="D205" s="175" t="str">
        <f>IF(Indice_index!$Z$1=1,"setembro","September")</f>
        <v>September</v>
      </c>
      <c r="E205" s="174">
        <v>-0.6</v>
      </c>
      <c r="F205" s="174">
        <v>-0.9</v>
      </c>
      <c r="G205" s="174">
        <v>0.2</v>
      </c>
      <c r="H205" s="174">
        <v>-0.4</v>
      </c>
      <c r="I205" s="174">
        <v>1.7</v>
      </c>
      <c r="K205" s="174">
        <v>-2</v>
      </c>
      <c r="L205" s="174"/>
      <c r="M205" s="174"/>
      <c r="N205" s="174"/>
      <c r="O205" s="174"/>
      <c r="P205" s="174"/>
      <c r="AA205" s="173"/>
    </row>
    <row r="206" spans="3:27" s="235" customFormat="1" ht="11.25" hidden="1">
      <c r="C206" s="1130"/>
      <c r="D206" s="175" t="str">
        <f>IF(Indice_index!$Z$1=1,"outubro","October")</f>
        <v>October</v>
      </c>
      <c r="E206" s="174">
        <v>-0.7</v>
      </c>
      <c r="F206" s="174">
        <v>-0.9</v>
      </c>
      <c r="G206" s="174">
        <v>0.2</v>
      </c>
      <c r="H206" s="174">
        <v>-0.5</v>
      </c>
      <c r="I206" s="174">
        <v>1.7</v>
      </c>
      <c r="K206" s="174">
        <v>-2</v>
      </c>
      <c r="L206" s="174"/>
      <c r="M206" s="174"/>
      <c r="N206" s="174"/>
      <c r="O206" s="174"/>
      <c r="P206" s="174"/>
      <c r="AA206" s="173"/>
    </row>
    <row r="207" spans="3:27" s="235" customFormat="1" ht="11.25" hidden="1">
      <c r="C207" s="1130"/>
      <c r="D207" s="175" t="str">
        <f>IF(Indice_index!$Z$1=1,"novembro","November")</f>
        <v>November</v>
      </c>
      <c r="E207" s="174">
        <v>-0.7</v>
      </c>
      <c r="F207" s="174">
        <v>-0.9</v>
      </c>
      <c r="G207" s="174">
        <v>0.1</v>
      </c>
      <c r="H207" s="174">
        <v>-0.5</v>
      </c>
      <c r="I207" s="174">
        <v>1.9</v>
      </c>
      <c r="K207" s="174">
        <v>-2</v>
      </c>
      <c r="L207" s="174"/>
      <c r="M207" s="174"/>
      <c r="N207" s="174"/>
      <c r="O207" s="174"/>
      <c r="P207" s="174"/>
      <c r="AA207" s="173"/>
    </row>
    <row r="208" spans="3:27" s="235" customFormat="1" ht="11.25" hidden="1">
      <c r="C208" s="1130"/>
      <c r="D208" s="175" t="str">
        <f>IF(Indice_index!$Z$1=1,"dezembro","December")</f>
        <v>December</v>
      </c>
      <c r="E208" s="174">
        <v>-0.7</v>
      </c>
      <c r="F208" s="174">
        <v>-1</v>
      </c>
      <c r="G208" s="174">
        <v>0.1</v>
      </c>
      <c r="H208" s="174">
        <v>-0.6</v>
      </c>
      <c r="I208" s="174">
        <v>4.5999999999999996</v>
      </c>
      <c r="K208" s="174">
        <v>-2</v>
      </c>
      <c r="L208" s="174"/>
      <c r="M208" s="174"/>
      <c r="N208" s="174"/>
      <c r="O208" s="174"/>
      <c r="P208" s="174"/>
      <c r="AA208" s="173"/>
    </row>
    <row r="209" spans="3:27" s="235" customFormat="1" ht="11.25" hidden="1">
      <c r="C209" s="1129">
        <v>2017</v>
      </c>
      <c r="D209" s="174"/>
      <c r="E209" s="174"/>
      <c r="F209" s="174"/>
      <c r="G209" s="174"/>
      <c r="H209" s="174"/>
      <c r="I209" s="174"/>
      <c r="K209" s="174"/>
      <c r="L209" s="174"/>
      <c r="M209" s="174"/>
      <c r="N209" s="174"/>
      <c r="O209" s="174"/>
      <c r="P209" s="174"/>
      <c r="AA209" s="173"/>
    </row>
    <row r="210" spans="3:27" s="174" customFormat="1" ht="11.25" hidden="1">
      <c r="C210" s="1165"/>
      <c r="D210" s="175" t="str">
        <f>IF(Indice_index!$Z$1=1,"janeiro","January")</f>
        <v>January</v>
      </c>
      <c r="E210" s="174">
        <v>-0.7</v>
      </c>
      <c r="F210" s="174">
        <v>-1</v>
      </c>
      <c r="G210" s="174">
        <v>0.1</v>
      </c>
      <c r="H210" s="174">
        <v>-0.5</v>
      </c>
      <c r="I210" s="174">
        <v>-2</v>
      </c>
      <c r="K210" s="174">
        <v>-2.1</v>
      </c>
      <c r="M210" s="235"/>
      <c r="Q210" s="235"/>
      <c r="R210" s="235"/>
      <c r="S210" s="235"/>
      <c r="AA210" s="175"/>
    </row>
    <row r="211" spans="3:27" s="174" customFormat="1" ht="11.25" hidden="1">
      <c r="C211" s="1165"/>
      <c r="D211" s="175" t="str">
        <f>IF(Indice_index!$Z$1=1,"fevereiro","February")</f>
        <v>February</v>
      </c>
      <c r="E211" s="174">
        <v>-0.8</v>
      </c>
      <c r="F211" s="174">
        <v>-1</v>
      </c>
      <c r="G211" s="174">
        <v>0.1</v>
      </c>
      <c r="H211" s="174">
        <v>-0.6</v>
      </c>
      <c r="I211" s="174">
        <v>-4.7</v>
      </c>
      <c r="K211" s="174">
        <v>-2.1</v>
      </c>
      <c r="AA211" s="175"/>
    </row>
    <row r="212" spans="3:27" s="235" customFormat="1" ht="11.25" hidden="1">
      <c r="C212" s="1129"/>
      <c r="D212" s="175" t="str">
        <f>IF(Indice_index!$Z$1=1,"março","March")</f>
        <v>March</v>
      </c>
      <c r="E212" s="174">
        <v>-0.9</v>
      </c>
      <c r="F212" s="174">
        <v>-1.1000000000000001</v>
      </c>
      <c r="G212" s="174">
        <v>0.1</v>
      </c>
      <c r="H212" s="174">
        <v>-0.7</v>
      </c>
      <c r="I212" s="174">
        <v>-1</v>
      </c>
      <c r="K212" s="174">
        <v>-2</v>
      </c>
      <c r="L212" s="174"/>
      <c r="M212" s="174"/>
      <c r="N212" s="174"/>
      <c r="O212" s="174"/>
      <c r="P212" s="174"/>
      <c r="AA212" s="173"/>
    </row>
    <row r="213" spans="3:27" s="235" customFormat="1" ht="11.25" hidden="1">
      <c r="C213" s="1129"/>
      <c r="D213" s="175" t="str">
        <f>IF(Indice_index!$Z$1=1,"abril","April")</f>
        <v>April</v>
      </c>
      <c r="E213" s="174">
        <v>-1</v>
      </c>
      <c r="F213" s="174">
        <v>-1.1000000000000001</v>
      </c>
      <c r="G213" s="174">
        <v>0.1</v>
      </c>
      <c r="H213" s="174">
        <v>-0.7</v>
      </c>
      <c r="I213" s="174">
        <v>-2</v>
      </c>
      <c r="K213" s="174">
        <v>-2</v>
      </c>
      <c r="L213" s="174"/>
      <c r="M213" s="174"/>
      <c r="N213" s="174"/>
      <c r="O213" s="174"/>
      <c r="P213" s="174"/>
      <c r="AA213" s="173"/>
    </row>
    <row r="214" spans="3:27" s="235" customFormat="1" ht="11.25" hidden="1">
      <c r="C214" s="1129"/>
      <c r="D214" s="175" t="str">
        <f>IF(Indice_index!$Z$1=1,"maio","May")</f>
        <v>May</v>
      </c>
      <c r="E214" s="174">
        <v>-0.9</v>
      </c>
      <c r="F214" s="174">
        <v>-1.1000000000000001</v>
      </c>
      <c r="G214" s="174">
        <v>0.1</v>
      </c>
      <c r="H214" s="174">
        <v>-0.6</v>
      </c>
      <c r="I214" s="174">
        <v>-1.8</v>
      </c>
      <c r="K214" s="174">
        <v>-2</v>
      </c>
      <c r="L214" s="174"/>
      <c r="M214" s="174"/>
      <c r="N214" s="174"/>
      <c r="O214" s="174"/>
      <c r="P214" s="174"/>
      <c r="AA214" s="173"/>
    </row>
    <row r="215" spans="3:27" s="235" customFormat="1" ht="11.25" hidden="1">
      <c r="C215" s="1129"/>
      <c r="D215" s="175" t="str">
        <f>IF(Indice_index!$Z$1=1,"junho","June")</f>
        <v>June</v>
      </c>
      <c r="E215" s="174">
        <v>-0.8</v>
      </c>
      <c r="F215" s="174">
        <v>-1.1000000000000001</v>
      </c>
      <c r="G215" s="174">
        <v>0.1</v>
      </c>
      <c r="H215" s="174">
        <v>-0.6</v>
      </c>
      <c r="I215" s="174">
        <v>-3.4</v>
      </c>
      <c r="K215" s="174">
        <v>-2.1</v>
      </c>
      <c r="L215" s="174"/>
      <c r="M215" s="174"/>
      <c r="N215" s="174"/>
      <c r="O215" s="174"/>
      <c r="P215" s="174"/>
      <c r="AA215" s="173"/>
    </row>
    <row r="216" spans="3:27" s="235" customFormat="1" ht="11.25" hidden="1">
      <c r="C216" s="1129"/>
      <c r="D216" s="175" t="str">
        <f>IF(Indice_index!$Z$1=1,"julho","July")</f>
        <v>July</v>
      </c>
      <c r="E216" s="174">
        <v>-0.5</v>
      </c>
      <c r="F216" s="174">
        <v>-1.1000000000000001</v>
      </c>
      <c r="G216" s="174">
        <v>0.1</v>
      </c>
      <c r="H216" s="174">
        <v>-0.4</v>
      </c>
      <c r="I216" s="174">
        <v>-1.5</v>
      </c>
      <c r="K216" s="174">
        <v>-2.2000000000000002</v>
      </c>
      <c r="L216" s="174"/>
      <c r="M216" s="174"/>
      <c r="N216" s="174"/>
      <c r="O216" s="174"/>
      <c r="P216" s="174"/>
      <c r="AA216" s="173"/>
    </row>
    <row r="217" spans="3:27" s="235" customFormat="1" ht="11.25" hidden="1">
      <c r="C217" s="1129"/>
      <c r="D217" s="175" t="str">
        <f>IF(Indice_index!$Z$1=1,"agosto","August")</f>
        <v>August</v>
      </c>
      <c r="E217" s="174">
        <v>-0.4</v>
      </c>
      <c r="F217" s="174">
        <v>-1.2</v>
      </c>
      <c r="G217" s="174">
        <v>0.1</v>
      </c>
      <c r="H217" s="174">
        <v>-0.4</v>
      </c>
      <c r="I217" s="174">
        <v>-3.3</v>
      </c>
      <c r="K217" s="174">
        <v>-2.1</v>
      </c>
      <c r="L217" s="174"/>
      <c r="M217" s="174"/>
      <c r="N217" s="174"/>
      <c r="O217" s="174"/>
      <c r="P217" s="174"/>
      <c r="AA217" s="173"/>
    </row>
    <row r="218" spans="3:27" s="235" customFormat="1" ht="11.25" hidden="1">
      <c r="C218" s="1129"/>
      <c r="D218" s="175" t="str">
        <f>IF(Indice_index!$Z$1=1,"setembro","September")</f>
        <v>September</v>
      </c>
      <c r="E218" s="174">
        <v>-0.3</v>
      </c>
      <c r="F218" s="174">
        <v>-1.2</v>
      </c>
      <c r="G218" s="174">
        <v>0.1</v>
      </c>
      <c r="H218" s="174">
        <v>-0.3</v>
      </c>
      <c r="I218" s="174">
        <v>-3</v>
      </c>
      <c r="K218" s="174">
        <v>-2.2000000000000002</v>
      </c>
      <c r="L218" s="174"/>
      <c r="M218" s="174"/>
      <c r="N218" s="174"/>
      <c r="O218" s="174"/>
      <c r="P218" s="174"/>
      <c r="AA218" s="173"/>
    </row>
    <row r="219" spans="3:27" s="235" customFormat="1" ht="11.25" hidden="1">
      <c r="C219" s="1129"/>
      <c r="D219" s="175" t="str">
        <f>IF(Indice_index!$Z$1=1,"outubro","October")</f>
        <v>October</v>
      </c>
      <c r="E219" s="174">
        <v>-0.1</v>
      </c>
      <c r="F219" s="174">
        <v>-1.3</v>
      </c>
      <c r="G219" s="174">
        <v>2.2999999999999998</v>
      </c>
      <c r="H219" s="174">
        <v>0.3</v>
      </c>
      <c r="I219" s="174">
        <v>-3.6</v>
      </c>
      <c r="K219" s="174">
        <v>-2.2000000000000002</v>
      </c>
      <c r="L219" s="174"/>
      <c r="M219" s="174"/>
      <c r="N219" s="174"/>
      <c r="O219" s="174"/>
      <c r="P219" s="174"/>
      <c r="AA219" s="173"/>
    </row>
    <row r="220" spans="3:27" s="235" customFormat="1" ht="11.25" hidden="1">
      <c r="C220" s="1130"/>
      <c r="D220" s="175" t="str">
        <f>IF(Indice_index!$Z$1=1,"novembro","November")</f>
        <v>November</v>
      </c>
      <c r="E220" s="174">
        <v>0</v>
      </c>
      <c r="F220" s="174">
        <v>-1.2</v>
      </c>
      <c r="G220" s="174">
        <v>2.2999999999999998</v>
      </c>
      <c r="H220" s="174">
        <v>0.5</v>
      </c>
      <c r="I220" s="174">
        <v>41.7</v>
      </c>
      <c r="J220" s="174"/>
      <c r="K220" s="174">
        <v>-2.2000000000000002</v>
      </c>
      <c r="L220" s="174"/>
      <c r="M220" s="174"/>
      <c r="N220" s="174"/>
      <c r="O220" s="174"/>
      <c r="P220" s="174"/>
      <c r="AA220" s="173"/>
    </row>
    <row r="221" spans="3:27" s="235" customFormat="1" ht="11.25" hidden="1">
      <c r="C221" s="1130"/>
      <c r="D221" s="175" t="str">
        <f>IF(Indice_index!$Z$1=1,"dezembro","December")</f>
        <v>December</v>
      </c>
      <c r="E221" s="174">
        <v>0.1</v>
      </c>
      <c r="F221" s="174">
        <v>-1.3</v>
      </c>
      <c r="G221" s="174">
        <v>2.4</v>
      </c>
      <c r="H221" s="174">
        <v>0.5</v>
      </c>
      <c r="I221" s="174">
        <v>-2.2999999999999998</v>
      </c>
      <c r="K221" s="174">
        <v>-2.1</v>
      </c>
      <c r="L221" s="174"/>
      <c r="M221" s="174"/>
      <c r="N221" s="174"/>
      <c r="O221" s="174"/>
      <c r="P221" s="174"/>
      <c r="AA221" s="173"/>
    </row>
    <row r="222" spans="3:27" s="235" customFormat="1" ht="15" customHeight="1">
      <c r="C222" s="1129">
        <v>2018</v>
      </c>
      <c r="D222" s="174"/>
      <c r="E222" s="174"/>
      <c r="F222" s="174"/>
      <c r="G222" s="174"/>
      <c r="H222" s="174"/>
      <c r="I222" s="174"/>
      <c r="K222" s="174"/>
      <c r="L222" s="174"/>
      <c r="M222" s="174"/>
      <c r="N222" s="174"/>
      <c r="O222" s="174"/>
      <c r="P222" s="174"/>
      <c r="AA222" s="173"/>
    </row>
    <row r="223" spans="3:27" s="174" customFormat="1" ht="15" customHeight="1">
      <c r="C223" s="1165"/>
      <c r="D223" s="175" t="str">
        <f>IF(Indice_index!$Z$1=1,"janeiro","January")</f>
        <v>January</v>
      </c>
      <c r="E223" s="235">
        <v>0</v>
      </c>
      <c r="F223" s="235">
        <v>-1.3</v>
      </c>
      <c r="G223" s="235">
        <v>2.4</v>
      </c>
      <c r="H223" s="235">
        <v>0.5</v>
      </c>
      <c r="I223" s="235">
        <v>-2.4</v>
      </c>
      <c r="J223" s="235"/>
      <c r="K223" s="235">
        <v>-2.1</v>
      </c>
      <c r="M223" s="237"/>
      <c r="N223" s="237"/>
      <c r="O223" s="237"/>
      <c r="P223" s="237"/>
      <c r="Q223" s="237"/>
      <c r="R223" s="237"/>
      <c r="S223" s="237"/>
      <c r="AA223" s="175"/>
    </row>
    <row r="224" spans="3:27" s="174" customFormat="1" ht="15" customHeight="1">
      <c r="C224" s="1165"/>
      <c r="D224" s="175" t="str">
        <f>IF(Indice_index!$Z$1=1,"fevereiro","February")</f>
        <v>February</v>
      </c>
      <c r="E224" s="235">
        <v>0.1</v>
      </c>
      <c r="F224" s="235">
        <v>-1.3</v>
      </c>
      <c r="G224" s="235">
        <v>2.4</v>
      </c>
      <c r="H224" s="235">
        <v>0.5</v>
      </c>
      <c r="I224" s="235">
        <v>-1.5</v>
      </c>
      <c r="J224" s="235"/>
      <c r="K224" s="235">
        <v>-2.2000000000000002</v>
      </c>
      <c r="M224" s="237"/>
      <c r="N224" s="237"/>
      <c r="O224" s="237"/>
      <c r="P224" s="237"/>
      <c r="Q224" s="237"/>
      <c r="R224" s="237"/>
      <c r="S224" s="237"/>
      <c r="AA224" s="175"/>
    </row>
    <row r="225" spans="3:27" s="235" customFormat="1" ht="15" customHeight="1">
      <c r="C225" s="1129"/>
      <c r="D225" s="175" t="str">
        <f>IF(Indice_index!$Z$1=1,"março","March")</f>
        <v>March</v>
      </c>
      <c r="E225" s="235">
        <v>0.2</v>
      </c>
      <c r="F225" s="235">
        <v>-1.3</v>
      </c>
      <c r="G225" s="235">
        <v>2.2000000000000002</v>
      </c>
      <c r="H225" s="235">
        <v>0.5</v>
      </c>
      <c r="I225" s="235">
        <v>-3.5</v>
      </c>
      <c r="K225" s="235">
        <v>-2.2000000000000002</v>
      </c>
      <c r="L225" s="174"/>
      <c r="M225" s="237"/>
      <c r="N225" s="237"/>
      <c r="O225" s="237"/>
      <c r="P225" s="237"/>
      <c r="Q225" s="237"/>
      <c r="R225" s="237"/>
      <c r="S225" s="237"/>
      <c r="AA225" s="173"/>
    </row>
    <row r="226" spans="3:27" s="235" customFormat="1" ht="15" customHeight="1">
      <c r="C226" s="1129"/>
      <c r="D226" s="175" t="str">
        <f>IF(Indice_index!$Z$1=1,"abril","April")</f>
        <v>April</v>
      </c>
      <c r="E226" s="235">
        <v>0.2</v>
      </c>
      <c r="F226" s="235">
        <v>-1.4</v>
      </c>
      <c r="G226" s="235">
        <v>2</v>
      </c>
      <c r="H226" s="235">
        <v>0.4</v>
      </c>
      <c r="I226" s="235">
        <v>-2.2999999999999998</v>
      </c>
      <c r="K226" s="235">
        <v>-2.2000000000000002</v>
      </c>
      <c r="L226" s="174"/>
      <c r="M226" s="237"/>
      <c r="N226" s="237"/>
      <c r="O226" s="237"/>
      <c r="P226" s="237"/>
      <c r="Q226" s="237"/>
      <c r="R226" s="237"/>
      <c r="S226" s="237"/>
      <c r="AA226" s="173"/>
    </row>
    <row r="227" spans="3:27" s="235" customFormat="1" ht="15" customHeight="1">
      <c r="C227" s="1129"/>
      <c r="D227" s="175" t="str">
        <f>IF(Indice_index!$Z$1=1,"maio","May")</f>
        <v>May</v>
      </c>
      <c r="E227" s="235">
        <v>0.2</v>
      </c>
      <c r="F227" s="235">
        <v>-1.4</v>
      </c>
      <c r="G227" s="235">
        <v>1.9</v>
      </c>
      <c r="H227" s="235">
        <v>0.4</v>
      </c>
      <c r="I227" s="235">
        <v>-2.4</v>
      </c>
      <c r="K227" s="235">
        <v>-2.2999999999999998</v>
      </c>
      <c r="L227" s="174"/>
      <c r="M227" s="237"/>
      <c r="N227" s="237"/>
      <c r="O227" s="237"/>
      <c r="P227" s="237"/>
      <c r="Q227" s="237"/>
      <c r="R227" s="237"/>
      <c r="S227" s="237"/>
      <c r="AA227" s="173"/>
    </row>
    <row r="228" spans="3:27" s="235" customFormat="1" ht="15" customHeight="1">
      <c r="C228" s="1129"/>
      <c r="D228" s="175" t="str">
        <f>IF(Indice_index!$Z$1=1,"junho","June")</f>
        <v>June</v>
      </c>
      <c r="E228" s="235">
        <v>0.1</v>
      </c>
      <c r="F228" s="235">
        <v>-1.5</v>
      </c>
      <c r="G228" s="235">
        <v>1.7</v>
      </c>
      <c r="H228" s="235">
        <v>0.3</v>
      </c>
      <c r="I228" s="235">
        <v>-2.2000000000000002</v>
      </c>
      <c r="K228" s="235">
        <v>-2.2999999999999998</v>
      </c>
      <c r="L228" s="174"/>
      <c r="M228" s="237"/>
      <c r="N228" s="237"/>
      <c r="O228" s="237"/>
      <c r="P228" s="237"/>
      <c r="Q228" s="237"/>
      <c r="R228" s="237"/>
      <c r="S228" s="237"/>
      <c r="AA228" s="173"/>
    </row>
    <row r="229" spans="3:27" s="235" customFormat="1" ht="15" customHeight="1">
      <c r="C229" s="1129"/>
      <c r="D229" s="175" t="str">
        <f>IF(Indice_index!$Z$1=1,"julho","July")</f>
        <v>July</v>
      </c>
      <c r="E229" s="235">
        <v>-0.1</v>
      </c>
      <c r="F229" s="235">
        <v>-1.5</v>
      </c>
      <c r="G229" s="235">
        <v>1.8</v>
      </c>
      <c r="H229" s="235">
        <v>0.2</v>
      </c>
      <c r="I229" s="235">
        <v>-0.5</v>
      </c>
      <c r="K229" s="235">
        <v>-2.2000000000000002</v>
      </c>
      <c r="L229" s="174"/>
      <c r="M229" s="237"/>
      <c r="N229" s="237"/>
      <c r="O229" s="237"/>
      <c r="P229" s="237"/>
      <c r="Q229" s="237"/>
      <c r="R229" s="237"/>
      <c r="S229" s="237"/>
      <c r="AA229" s="173"/>
    </row>
    <row r="230" spans="3:27" s="235" customFormat="1" ht="15" customHeight="1">
      <c r="C230" s="1129"/>
      <c r="D230" s="175" t="str">
        <f>IF(Indice_index!$Z$1=1,"agosto","August")</f>
        <v>August</v>
      </c>
      <c r="E230" s="174">
        <v>-0.2</v>
      </c>
      <c r="F230" s="174">
        <v>-1.5</v>
      </c>
      <c r="G230" s="174">
        <v>1.7</v>
      </c>
      <c r="H230" s="174">
        <v>0.1</v>
      </c>
      <c r="I230" s="174">
        <v>-3</v>
      </c>
      <c r="K230" s="174">
        <v>-2.2999999999999998</v>
      </c>
      <c r="L230" s="174"/>
      <c r="M230" s="237"/>
      <c r="N230" s="237"/>
      <c r="O230" s="237"/>
      <c r="P230" s="237"/>
      <c r="Q230" s="237"/>
      <c r="R230" s="237"/>
      <c r="S230" s="237"/>
      <c r="AA230" s="173"/>
    </row>
    <row r="231" spans="3:27" s="235" customFormat="1" ht="15" customHeight="1">
      <c r="C231" s="1129"/>
      <c r="D231" s="175" t="str">
        <f>IF(Indice_index!$Z$1=1,"setembro","September")</f>
        <v>September</v>
      </c>
      <c r="E231" s="174">
        <v>-0.2</v>
      </c>
      <c r="F231" s="174">
        <v>-1.6</v>
      </c>
      <c r="G231" s="174">
        <v>1.7</v>
      </c>
      <c r="H231" s="174">
        <v>0.1</v>
      </c>
      <c r="I231" s="174">
        <v>-2.5</v>
      </c>
      <c r="K231" s="174">
        <v>-2.2000000000000002</v>
      </c>
      <c r="L231" s="174"/>
      <c r="M231" s="237"/>
      <c r="N231" s="237"/>
      <c r="O231" s="237"/>
      <c r="P231" s="237"/>
      <c r="Q231" s="237"/>
      <c r="R231" s="237"/>
      <c r="S231" s="237"/>
      <c r="AA231" s="173"/>
    </row>
    <row r="232" spans="3:27" s="235" customFormat="1" ht="15" customHeight="1">
      <c r="C232" s="1129"/>
      <c r="D232" s="175" t="str">
        <f>IF(Indice_index!$Z$1=1,"outubro","October")</f>
        <v>October</v>
      </c>
      <c r="E232" s="174">
        <v>-0.3</v>
      </c>
      <c r="F232" s="174">
        <v>-1.6</v>
      </c>
      <c r="G232" s="174">
        <v>-0.6</v>
      </c>
      <c r="H232" s="174">
        <v>-0.5</v>
      </c>
      <c r="I232" s="174">
        <v>-1.8</v>
      </c>
      <c r="K232" s="174">
        <v>-2.2999999999999998</v>
      </c>
      <c r="L232" s="174"/>
      <c r="M232" s="237"/>
      <c r="N232" s="237"/>
      <c r="O232" s="237"/>
      <c r="P232" s="237"/>
      <c r="Q232" s="237"/>
      <c r="R232" s="237"/>
      <c r="S232" s="237"/>
      <c r="AA232" s="173"/>
    </row>
    <row r="233" spans="3:27" s="235" customFormat="1" ht="15" customHeight="1">
      <c r="C233" s="1130"/>
      <c r="D233" s="175" t="str">
        <f>IF(Indice_index!$Z$1=1,"novembro","November")</f>
        <v>November</v>
      </c>
      <c r="E233" s="227">
        <v>-0.5</v>
      </c>
      <c r="F233" s="227">
        <v>-1.6</v>
      </c>
      <c r="G233" s="227">
        <v>-0.4</v>
      </c>
      <c r="H233" s="227">
        <v>-0.6</v>
      </c>
      <c r="I233" s="227">
        <v>31.9</v>
      </c>
      <c r="J233" s="174"/>
      <c r="K233" s="227">
        <v>-2.2999999999999998</v>
      </c>
      <c r="L233" s="174"/>
      <c r="M233" s="237"/>
      <c r="N233" s="237"/>
      <c r="O233" s="237"/>
      <c r="P233" s="237"/>
      <c r="Q233" s="237"/>
      <c r="R233" s="237"/>
      <c r="S233" s="237"/>
      <c r="AA233" s="173"/>
    </row>
    <row r="234" spans="3:27" s="235" customFormat="1" ht="15" customHeight="1">
      <c r="C234" s="1130"/>
      <c r="D234" s="175" t="str">
        <f>IF(Indice_index!$Z$1=1,"dezembro","December")</f>
        <v>December</v>
      </c>
      <c r="E234" s="174">
        <v>-0.4</v>
      </c>
      <c r="F234" s="174">
        <v>-1.5</v>
      </c>
      <c r="G234" s="174">
        <v>-0.4</v>
      </c>
      <c r="H234" s="174">
        <v>-0.5</v>
      </c>
      <c r="I234" s="174">
        <v>-1.1000000000000001</v>
      </c>
      <c r="K234" s="174">
        <v>-2.2999999999999998</v>
      </c>
      <c r="L234" s="174"/>
      <c r="M234" s="237"/>
      <c r="N234" s="237"/>
      <c r="O234" s="237"/>
      <c r="P234" s="237"/>
      <c r="Q234" s="237"/>
      <c r="R234" s="237"/>
      <c r="S234" s="237"/>
      <c r="AA234" s="173"/>
    </row>
    <row r="235" spans="3:27" s="235" customFormat="1" ht="15" customHeight="1">
      <c r="C235" s="1129">
        <v>2019</v>
      </c>
      <c r="D235" s="174"/>
      <c r="E235" s="174"/>
      <c r="F235" s="174"/>
      <c r="G235" s="174"/>
      <c r="H235" s="174"/>
      <c r="I235" s="174"/>
      <c r="K235" s="174"/>
      <c r="L235" s="174"/>
      <c r="M235" s="237"/>
      <c r="N235" s="237"/>
      <c r="O235" s="237"/>
      <c r="P235" s="237"/>
      <c r="Q235" s="237"/>
      <c r="R235" s="237"/>
      <c r="S235" s="237"/>
      <c r="AA235" s="173"/>
    </row>
    <row r="236" spans="3:27" s="174" customFormat="1" ht="15" customHeight="1">
      <c r="C236" s="1165"/>
      <c r="D236" s="175" t="str">
        <f>IF(Indice_index!$Z$1=1,"janeiro","January")</f>
        <v>January</v>
      </c>
      <c r="E236" s="1166">
        <v>-0.4</v>
      </c>
      <c r="F236" s="1166">
        <v>-1.4</v>
      </c>
      <c r="G236" s="1166">
        <v>-0.3</v>
      </c>
      <c r="H236" s="1166">
        <v>-0.5</v>
      </c>
      <c r="I236" s="1166">
        <v>2.6</v>
      </c>
      <c r="J236" s="1166"/>
      <c r="K236" s="1166">
        <v>-2.2000000000000002</v>
      </c>
      <c r="M236" s="237"/>
      <c r="N236" s="237"/>
      <c r="O236" s="237"/>
      <c r="P236" s="237"/>
      <c r="Q236" s="237"/>
      <c r="R236" s="237"/>
      <c r="S236" s="237"/>
      <c r="AA236" s="175"/>
    </row>
    <row r="237" spans="3:27" s="174" customFormat="1" ht="15" customHeight="1">
      <c r="C237" s="1165"/>
      <c r="D237" s="175" t="str">
        <f>IF(Indice_index!$Z$1=1,"fevereiro","February")</f>
        <v>February</v>
      </c>
      <c r="E237" s="1166">
        <v>-0.4</v>
      </c>
      <c r="F237" s="1166">
        <v>-1.3</v>
      </c>
      <c r="G237" s="1166">
        <v>-0.2</v>
      </c>
      <c r="H237" s="1166">
        <v>-0.4</v>
      </c>
      <c r="I237" s="1166">
        <v>1.6</v>
      </c>
      <c r="J237" s="1166"/>
      <c r="K237" s="1166">
        <v>-2.2999999999999998</v>
      </c>
      <c r="M237" s="237"/>
      <c r="N237" s="237"/>
      <c r="O237" s="237"/>
      <c r="P237" s="237"/>
      <c r="Q237" s="237"/>
      <c r="R237" s="237"/>
      <c r="S237" s="237"/>
      <c r="AA237" s="175"/>
    </row>
    <row r="238" spans="3:27" s="235" customFormat="1" ht="15" customHeight="1">
      <c r="C238" s="1129"/>
      <c r="D238" s="175" t="str">
        <f>IF(Indice_index!$Z$1=1,"março","March")</f>
        <v>March</v>
      </c>
      <c r="E238" s="1166">
        <v>-0.5</v>
      </c>
      <c r="F238" s="1166">
        <v>-1.2</v>
      </c>
      <c r="G238" s="1166">
        <v>0</v>
      </c>
      <c r="H238" s="1166">
        <v>-0.4</v>
      </c>
      <c r="I238" s="1166">
        <v>1.7</v>
      </c>
      <c r="J238" s="1166"/>
      <c r="K238" s="1166">
        <v>-2.4</v>
      </c>
      <c r="L238" s="174"/>
      <c r="M238" s="237"/>
      <c r="N238" s="237"/>
      <c r="O238" s="237"/>
      <c r="P238" s="237"/>
      <c r="Q238" s="237"/>
      <c r="R238" s="237"/>
      <c r="S238" s="237"/>
      <c r="AA238" s="173"/>
    </row>
    <row r="239" spans="3:27" s="235" customFormat="1" ht="15" customHeight="1">
      <c r="C239" s="1129"/>
      <c r="D239" s="175" t="str">
        <f>IF(Indice_index!$Z$1=1,"abril","April")</f>
        <v>April</v>
      </c>
      <c r="E239" s="1166">
        <v>-0.3</v>
      </c>
      <c r="F239" s="1166">
        <v>-0.9</v>
      </c>
      <c r="G239" s="1166">
        <v>0.1</v>
      </c>
      <c r="H239" s="1166">
        <v>-0.3</v>
      </c>
      <c r="I239" s="1166">
        <v>1.4</v>
      </c>
      <c r="J239" s="1166"/>
      <c r="K239" s="1166">
        <v>-2.4</v>
      </c>
      <c r="L239" s="174"/>
      <c r="M239" s="237"/>
      <c r="N239" s="237"/>
      <c r="O239" s="237"/>
      <c r="P239" s="237"/>
      <c r="Q239" s="237"/>
      <c r="R239" s="237"/>
      <c r="S239" s="237"/>
      <c r="AA239" s="173"/>
    </row>
    <row r="240" spans="3:27" s="235" customFormat="1" ht="15" customHeight="1">
      <c r="C240" s="1129"/>
      <c r="D240" s="175" t="str">
        <f>IF(Indice_index!$Z$1=1,"maio","May")</f>
        <v>May</v>
      </c>
      <c r="E240" s="1166">
        <v>-0.3</v>
      </c>
      <c r="F240" s="1166">
        <v>-0.8</v>
      </c>
      <c r="G240" s="1166">
        <v>0.2</v>
      </c>
      <c r="H240" s="1166">
        <v>-0.2</v>
      </c>
      <c r="I240" s="1166">
        <v>1.5</v>
      </c>
      <c r="J240" s="1166"/>
      <c r="K240" s="1166">
        <v>-2.4</v>
      </c>
      <c r="L240" s="174"/>
      <c r="M240" s="237"/>
      <c r="N240" s="237"/>
      <c r="O240" s="237"/>
      <c r="P240" s="237"/>
      <c r="Q240" s="237"/>
      <c r="R240" s="237"/>
      <c r="S240" s="237"/>
      <c r="AA240" s="173"/>
    </row>
    <row r="241" spans="3:27" s="235" customFormat="1" ht="15" customHeight="1">
      <c r="C241" s="1129"/>
      <c r="D241" s="175" t="str">
        <f>IF(Indice_index!$Z$1=1,"junho","June")</f>
        <v>June</v>
      </c>
      <c r="E241" s="1166">
        <v>-0.2</v>
      </c>
      <c r="F241" s="1166">
        <v>-0.7</v>
      </c>
      <c r="G241" s="1166">
        <v>0.5</v>
      </c>
      <c r="H241" s="1166">
        <v>-0.1</v>
      </c>
      <c r="I241" s="1166">
        <v>1.5</v>
      </c>
      <c r="J241" s="1166"/>
      <c r="K241" s="1166">
        <v>-2.5</v>
      </c>
      <c r="L241" s="174"/>
      <c r="M241" s="237"/>
      <c r="N241" s="237"/>
      <c r="O241" s="237"/>
      <c r="P241" s="237"/>
      <c r="Q241" s="237"/>
      <c r="R241" s="237"/>
      <c r="S241" s="237"/>
      <c r="AA241" s="173"/>
    </row>
    <row r="242" spans="3:27" s="235" customFormat="1" ht="15" customHeight="1">
      <c r="C242" s="1129"/>
      <c r="D242" s="175" t="str">
        <f>IF(Indice_index!$Z$1=1,"julho","July")</f>
        <v>July</v>
      </c>
      <c r="E242" s="1166">
        <v>-0.1</v>
      </c>
      <c r="F242" s="1166">
        <v>-0.6</v>
      </c>
      <c r="G242" s="1166">
        <v>0.5</v>
      </c>
      <c r="H242" s="1166">
        <v>0</v>
      </c>
      <c r="I242" s="1166">
        <v>1.4</v>
      </c>
      <c r="J242" s="1166"/>
      <c r="K242" s="1166">
        <v>-2.5</v>
      </c>
      <c r="L242" s="174"/>
      <c r="M242" s="237"/>
      <c r="N242" s="237"/>
      <c r="O242" s="237"/>
      <c r="P242" s="237"/>
      <c r="Q242" s="237"/>
      <c r="R242" s="237"/>
      <c r="S242" s="237"/>
      <c r="AA242" s="173"/>
    </row>
    <row r="243" spans="3:27" s="235" customFormat="1" ht="15" customHeight="1">
      <c r="C243" s="1129"/>
      <c r="D243" s="175" t="str">
        <f>IF(Indice_index!$Z$1=1,"agosto","August")</f>
        <v>August</v>
      </c>
      <c r="E243" s="1166">
        <v>-0.1</v>
      </c>
      <c r="F243" s="1166">
        <v>-0.6</v>
      </c>
      <c r="G243" s="1166">
        <v>0.7</v>
      </c>
      <c r="H243" s="1166">
        <v>0</v>
      </c>
      <c r="I243" s="1166">
        <v>3.2</v>
      </c>
      <c r="J243" s="1166"/>
      <c r="K243" s="1166">
        <v>-2.5</v>
      </c>
      <c r="L243" s="174"/>
      <c r="M243" s="174"/>
      <c r="N243" s="174"/>
      <c r="O243" s="174"/>
      <c r="P243" s="174"/>
      <c r="AA243" s="173"/>
    </row>
    <row r="244" spans="3:27" s="235" customFormat="1" ht="15" customHeight="1">
      <c r="C244" s="1129"/>
      <c r="D244" s="175" t="str">
        <f>IF(Indice_index!$Z$1=1,"setembro","September")</f>
        <v>September</v>
      </c>
      <c r="E244" s="1166">
        <v>-0.1</v>
      </c>
      <c r="F244" s="1166">
        <v>-0.5</v>
      </c>
      <c r="G244" s="1166">
        <v>0.9</v>
      </c>
      <c r="H244" s="1166">
        <v>0.1</v>
      </c>
      <c r="I244" s="1166">
        <v>1.4</v>
      </c>
      <c r="J244" s="1166"/>
      <c r="K244" s="1166">
        <v>-2.5</v>
      </c>
      <c r="L244" s="174"/>
      <c r="M244" s="174"/>
      <c r="N244" s="174"/>
      <c r="O244" s="174"/>
      <c r="P244" s="174"/>
      <c r="AA244" s="173"/>
    </row>
    <row r="245" spans="3:27" s="235" customFormat="1" ht="15" customHeight="1">
      <c r="C245" s="1129"/>
      <c r="D245" s="175" t="str">
        <f>IF(Indice_index!$Z$1=1,"outubro","October")</f>
        <v>October</v>
      </c>
      <c r="E245" s="1167">
        <v>0</v>
      </c>
      <c r="F245" s="1167">
        <v>-0.5</v>
      </c>
      <c r="G245" s="1167">
        <v>1</v>
      </c>
      <c r="H245" s="1167">
        <v>0.2</v>
      </c>
      <c r="I245" s="1167">
        <v>0.3</v>
      </c>
      <c r="J245" s="1167"/>
      <c r="K245" s="1167">
        <v>-2.6</v>
      </c>
      <c r="L245" s="174"/>
      <c r="M245" s="174"/>
      <c r="N245" s="174"/>
      <c r="O245" s="174"/>
      <c r="P245" s="174"/>
      <c r="AA245" s="173"/>
    </row>
    <row r="246" spans="3:27" s="235" customFormat="1" ht="15" customHeight="1">
      <c r="C246" s="1130"/>
      <c r="D246" s="175" t="str">
        <f>IF(Indice_index!$Z$1=1,"novembro","November")</f>
        <v>November</v>
      </c>
      <c r="E246" s="1168">
        <v>0.28741768342819835</v>
      </c>
      <c r="F246" s="1168">
        <v>-0.478849644003909</v>
      </c>
      <c r="G246" s="1168">
        <v>1.0870232381139442</v>
      </c>
      <c r="H246" s="1168">
        <v>0.40484568665660392</v>
      </c>
      <c r="I246" s="1168">
        <v>2.2368481612740077</v>
      </c>
      <c r="J246" s="1168"/>
      <c r="K246" s="1168">
        <v>-2.7141471799914054</v>
      </c>
      <c r="L246" s="174"/>
      <c r="M246" s="174"/>
      <c r="N246" s="174"/>
      <c r="O246" s="174"/>
      <c r="P246" s="174"/>
      <c r="AA246" s="173"/>
    </row>
    <row r="247" spans="3:27" s="235" customFormat="1" ht="15" customHeight="1">
      <c r="C247" s="1130"/>
      <c r="D247" s="175" t="str">
        <f>IF(Indice_index!$Z$1=1,"dezembro","December")</f>
        <v>December</v>
      </c>
      <c r="E247" s="174">
        <v>0.56764079356821018</v>
      </c>
      <c r="F247" s="174">
        <v>-0.60148487216702029</v>
      </c>
      <c r="G247" s="174">
        <v>0.82491665032359296</v>
      </c>
      <c r="H247" s="174">
        <v>0.50256889304063523</v>
      </c>
      <c r="I247" s="174">
        <v>0.89301661010894806</v>
      </c>
      <c r="K247" s="174">
        <v>-2.7948630075215095</v>
      </c>
      <c r="L247" s="174"/>
      <c r="M247" s="174"/>
      <c r="N247" s="174"/>
      <c r="O247" s="174"/>
      <c r="P247" s="174"/>
      <c r="AA247" s="173"/>
    </row>
    <row r="248" spans="3:27" s="235" customFormat="1" ht="15" customHeight="1">
      <c r="C248" s="1129">
        <v>2020</v>
      </c>
      <c r="D248" s="174"/>
      <c r="E248" s="174"/>
      <c r="F248" s="174"/>
      <c r="G248" s="174"/>
      <c r="H248" s="174"/>
      <c r="I248" s="174"/>
      <c r="K248" s="174"/>
      <c r="L248" s="174"/>
      <c r="M248" s="237"/>
      <c r="N248" s="237"/>
      <c r="O248" s="237"/>
      <c r="P248" s="237"/>
      <c r="Q248" s="237"/>
      <c r="R248" s="237"/>
      <c r="S248" s="237"/>
      <c r="AA248" s="173"/>
    </row>
    <row r="249" spans="3:27" s="174" customFormat="1" ht="15" customHeight="1">
      <c r="C249" s="1165"/>
      <c r="D249" s="175" t="str">
        <f>IF(Indice_index!$Z$1=1,"janeiro","January")</f>
        <v>January</v>
      </c>
      <c r="E249" s="1166">
        <v>0.64890282901017782</v>
      </c>
      <c r="F249" s="1166">
        <v>-0.79712977440250177</v>
      </c>
      <c r="G249" s="1166">
        <v>1.2976038113667399</v>
      </c>
      <c r="H249" s="1166">
        <v>0.65256308473045976</v>
      </c>
      <c r="I249" s="1166">
        <v>0.13975019652370591</v>
      </c>
      <c r="J249" s="1166"/>
      <c r="K249" s="1166">
        <v>-2.830792038708132</v>
      </c>
      <c r="M249" s="237"/>
      <c r="N249" s="237"/>
      <c r="O249" s="237"/>
      <c r="P249" s="237"/>
      <c r="Q249" s="237"/>
      <c r="R249" s="237"/>
      <c r="S249" s="237"/>
      <c r="T249" s="237"/>
      <c r="U249" s="237"/>
      <c r="V249" s="237"/>
      <c r="W249" s="237"/>
      <c r="X249" s="237"/>
      <c r="Y249" s="237"/>
      <c r="AA249" s="175"/>
    </row>
    <row r="250" spans="3:27" s="174" customFormat="1" ht="15" customHeight="1">
      <c r="C250" s="1165"/>
      <c r="D250" s="175" t="str">
        <f>IF(Indice_index!$Z$1=1,"fevereiro","February")</f>
        <v>February</v>
      </c>
      <c r="E250" s="1166">
        <v>0.71713812768005814</v>
      </c>
      <c r="F250" s="1166">
        <v>-0.90320596171860801</v>
      </c>
      <c r="G250" s="1166">
        <v>1.0851679441144626</v>
      </c>
      <c r="H250" s="1166">
        <v>0.63035875012068388</v>
      </c>
      <c r="I250" s="1166">
        <v>0.47317203821089027</v>
      </c>
      <c r="J250" s="1166"/>
      <c r="K250" s="1166">
        <v>-2.9193642253336143</v>
      </c>
      <c r="M250" s="237"/>
      <c r="N250" s="237"/>
      <c r="O250" s="237"/>
      <c r="P250" s="237"/>
      <c r="Q250" s="237"/>
      <c r="R250" s="237"/>
      <c r="S250" s="237"/>
      <c r="T250" s="237"/>
      <c r="U250" s="237"/>
      <c r="V250" s="237"/>
      <c r="W250" s="237"/>
      <c r="X250" s="237"/>
      <c r="Y250" s="237"/>
      <c r="AA250" s="175"/>
    </row>
    <row r="251" spans="3:27" s="235" customFormat="1" ht="15" customHeight="1">
      <c r="C251" s="1129"/>
      <c r="D251" s="175" t="str">
        <f>IF(Indice_index!$Z$1=1,"março","March")</f>
        <v>March</v>
      </c>
      <c r="E251" s="1166">
        <v>0.89035299211746077</v>
      </c>
      <c r="F251" s="1166">
        <v>-0.82113980359790717</v>
      </c>
      <c r="G251" s="1166">
        <v>1.0608878664774117</v>
      </c>
      <c r="H251" s="1166">
        <v>0.74305973476852272</v>
      </c>
      <c r="I251" s="1166">
        <v>1.1182252682838725</v>
      </c>
      <c r="J251" s="1166"/>
      <c r="K251" s="1166">
        <v>-2.9439334000603719</v>
      </c>
      <c r="L251" s="174"/>
      <c r="M251" s="237"/>
      <c r="N251" s="237"/>
      <c r="O251" s="237"/>
      <c r="P251" s="237"/>
      <c r="Q251" s="237"/>
      <c r="R251" s="237"/>
      <c r="S251" s="237"/>
      <c r="T251" s="237"/>
      <c r="U251" s="237"/>
      <c r="V251" s="237"/>
      <c r="W251" s="237"/>
      <c r="X251" s="237"/>
      <c r="Y251" s="237"/>
      <c r="AA251" s="173"/>
    </row>
    <row r="252" spans="3:27" s="235" customFormat="1" ht="15" customHeight="1">
      <c r="C252" s="1129"/>
      <c r="D252" s="175" t="str">
        <f>IF(Indice_index!$Z$1=1,"abril","April")</f>
        <v>April</v>
      </c>
      <c r="E252" s="1166">
        <v>0.93985054875859053</v>
      </c>
      <c r="F252" s="1166">
        <v>-1.0999762393950829</v>
      </c>
      <c r="G252" s="1166">
        <v>1.1725754432347415</v>
      </c>
      <c r="H252" s="1166">
        <v>0.77162658884929436</v>
      </c>
      <c r="I252" s="1166">
        <v>0.49291987811435745</v>
      </c>
      <c r="J252" s="1166"/>
      <c r="K252" s="1166">
        <v>-2.9996565973114526</v>
      </c>
      <c r="L252" s="174"/>
      <c r="M252" s="237"/>
      <c r="N252" s="237"/>
      <c r="O252" s="237"/>
      <c r="P252" s="237"/>
      <c r="Q252" s="237"/>
      <c r="R252" s="237"/>
      <c r="S252" s="237"/>
      <c r="T252" s="237"/>
      <c r="U252" s="237"/>
      <c r="V252" s="237"/>
      <c r="W252" s="237"/>
      <c r="X252" s="237"/>
      <c r="Y252" s="237"/>
      <c r="AA252" s="173"/>
    </row>
    <row r="253" spans="3:27" s="235" customFormat="1" ht="15" customHeight="1">
      <c r="C253" s="1129"/>
      <c r="D253" s="175" t="str">
        <f>IF(Indice_index!$Z$1=1,"maio","May")</f>
        <v>May</v>
      </c>
      <c r="E253" s="1169">
        <v>0.9733508339846918</v>
      </c>
      <c r="F253" s="1169">
        <v>-1.362759623179493</v>
      </c>
      <c r="G253" s="1169">
        <v>1.1885662498622218</v>
      </c>
      <c r="H253" s="1169">
        <v>0.76765561155317019</v>
      </c>
      <c r="I253" s="1169">
        <v>0.65629776139530294</v>
      </c>
      <c r="J253" s="1169"/>
      <c r="K253" s="1169">
        <v>-3.0613454149327475</v>
      </c>
      <c r="L253" s="174"/>
      <c r="M253" s="237"/>
      <c r="N253" s="237"/>
      <c r="O253" s="237"/>
      <c r="P253" s="237"/>
      <c r="Q253" s="237"/>
      <c r="R253" s="237"/>
      <c r="S253" s="237"/>
      <c r="T253" s="237"/>
      <c r="U253" s="237"/>
      <c r="V253" s="237"/>
      <c r="W253" s="237"/>
      <c r="X253" s="237"/>
      <c r="Y253" s="237"/>
      <c r="AA253" s="173"/>
    </row>
    <row r="254" spans="3:27" s="235" customFormat="1" ht="15" customHeight="1">
      <c r="C254" s="1129"/>
      <c r="D254" s="175" t="str">
        <f>IF(Indice_index!$Z$1=1,"junho","June")</f>
        <v>June</v>
      </c>
      <c r="E254" s="1166">
        <v>1.1000000000000001</v>
      </c>
      <c r="F254" s="1166">
        <v>-1.6</v>
      </c>
      <c r="G254" s="1166">
        <v>1</v>
      </c>
      <c r="H254" s="1166">
        <v>0.8</v>
      </c>
      <c r="I254" s="1166">
        <v>0.6</v>
      </c>
      <c r="J254" s="1166"/>
      <c r="K254" s="1166">
        <v>-3.1</v>
      </c>
      <c r="L254" s="174"/>
      <c r="M254" s="237"/>
      <c r="N254" s="237"/>
      <c r="O254" s="237"/>
      <c r="P254" s="237"/>
      <c r="Q254" s="237"/>
      <c r="R254" s="237"/>
      <c r="S254" s="237"/>
      <c r="T254" s="237"/>
      <c r="U254" s="237"/>
      <c r="V254" s="237"/>
      <c r="W254" s="237"/>
      <c r="X254" s="237"/>
      <c r="Y254" s="237"/>
      <c r="AA254" s="173"/>
    </row>
    <row r="255" spans="3:27" s="235" customFormat="1" ht="15" customHeight="1">
      <c r="C255" s="1129"/>
      <c r="D255" s="175" t="str">
        <f>IF(Indice_index!$Z$1=1,"julho","July")</f>
        <v>July</v>
      </c>
      <c r="E255" s="1166">
        <v>1.2</v>
      </c>
      <c r="F255" s="1166">
        <v>-1.8</v>
      </c>
      <c r="G255" s="1166">
        <v>1.1000000000000001</v>
      </c>
      <c r="H255" s="1166">
        <v>0.8</v>
      </c>
      <c r="I255" s="1166">
        <v>0.5</v>
      </c>
      <c r="J255" s="1166"/>
      <c r="K255" s="1166">
        <v>-3.2</v>
      </c>
      <c r="L255" s="174"/>
      <c r="M255" s="237"/>
      <c r="N255" s="237"/>
      <c r="O255" s="237"/>
      <c r="P255" s="237"/>
      <c r="Q255" s="237"/>
      <c r="R255" s="237"/>
      <c r="S255" s="237"/>
      <c r="AA255" s="173"/>
    </row>
    <row r="256" spans="3:27" s="235" customFormat="1" ht="15" customHeight="1">
      <c r="C256" s="1129"/>
      <c r="D256" s="175" t="str">
        <f>IF(Indice_index!$Z$1=1,"agosto","August")</f>
        <v>August</v>
      </c>
      <c r="E256" s="1166">
        <v>1.2534073328258146</v>
      </c>
      <c r="F256" s="1166">
        <v>-1.9747522812517495</v>
      </c>
      <c r="G256" s="1166">
        <v>1.1217665384357454</v>
      </c>
      <c r="H256" s="1166">
        <v>0.86091406574564067</v>
      </c>
      <c r="I256" s="1166">
        <v>-0.76794068320240483</v>
      </c>
      <c r="J256" s="1166"/>
      <c r="K256" s="1166">
        <v>-3.2695709634565215</v>
      </c>
      <c r="L256" s="174"/>
      <c r="M256" s="174"/>
      <c r="N256" s="174"/>
      <c r="O256" s="174"/>
      <c r="P256" s="174"/>
      <c r="AA256" s="173"/>
    </row>
    <row r="257" spans="3:27" s="235" customFormat="1" ht="15" customHeight="1">
      <c r="C257" s="1129"/>
      <c r="D257" s="175" t="str">
        <f>IF(Indice_index!$Z$1=1,"setembro","September")</f>
        <v>September</v>
      </c>
      <c r="E257" s="1166">
        <v>1.2688330907743317</v>
      </c>
      <c r="F257" s="1166">
        <v>-2.3009097270818755</v>
      </c>
      <c r="G257" s="1166">
        <v>0.96997521783341767</v>
      </c>
      <c r="H257" s="1166">
        <v>0.79593620071461668</v>
      </c>
      <c r="I257" s="1166">
        <v>1.0147270114942692</v>
      </c>
      <c r="J257" s="1166"/>
      <c r="K257" s="1166">
        <v>-3.4066937656284866</v>
      </c>
      <c r="L257" s="174"/>
      <c r="M257" s="174"/>
      <c r="N257" s="174"/>
      <c r="O257" s="174"/>
      <c r="P257" s="174"/>
      <c r="AA257" s="173"/>
    </row>
    <row r="258" spans="3:27" s="235" customFormat="1" ht="15" customHeight="1">
      <c r="C258" s="1129"/>
      <c r="D258" s="175" t="str">
        <f>IF(Indice_index!$Z$1=1,"outubro","October")</f>
        <v>October</v>
      </c>
      <c r="E258" s="1170">
        <v>1.4</v>
      </c>
      <c r="F258" s="1170">
        <v>-2.4</v>
      </c>
      <c r="G258" s="1170">
        <v>0.9</v>
      </c>
      <c r="H258" s="1170">
        <v>0.8</v>
      </c>
      <c r="I258" s="1170">
        <v>0.7</v>
      </c>
      <c r="J258" s="1170"/>
      <c r="K258" s="1170">
        <v>-3.4</v>
      </c>
      <c r="L258" s="174"/>
      <c r="M258" s="174"/>
      <c r="N258" s="174"/>
      <c r="O258" s="174"/>
      <c r="P258" s="174"/>
      <c r="AA258" s="173"/>
    </row>
    <row r="259" spans="3:27" s="235" customFormat="1" ht="15" customHeight="1">
      <c r="C259" s="1130"/>
      <c r="D259" s="175" t="str">
        <f>IF(Indice_index!$Z$1=1,"novembro","November")</f>
        <v>November</v>
      </c>
      <c r="E259" s="1171">
        <v>1.1000000000000001</v>
      </c>
      <c r="F259" s="1171">
        <v>-2.5</v>
      </c>
      <c r="G259" s="1171">
        <v>0.8</v>
      </c>
      <c r="H259" s="1171">
        <v>0.6</v>
      </c>
      <c r="I259" s="1171">
        <v>0</v>
      </c>
      <c r="J259" s="1171"/>
      <c r="K259" s="1171">
        <v>-3.3</v>
      </c>
      <c r="L259" s="174"/>
      <c r="M259" s="174"/>
      <c r="N259" s="174"/>
      <c r="O259" s="174"/>
      <c r="P259" s="174"/>
      <c r="AA259" s="173"/>
    </row>
    <row r="260" spans="3:27" s="235" customFormat="1" ht="15" customHeight="1">
      <c r="C260" s="1130"/>
      <c r="D260" s="175" t="str">
        <f>IF(Indice_index!$Z$1=1,"dezembro","December")</f>
        <v>December</v>
      </c>
      <c r="E260" s="1172">
        <v>0.8</v>
      </c>
      <c r="F260" s="1172">
        <v>-2.7</v>
      </c>
      <c r="G260" s="1172">
        <v>1</v>
      </c>
      <c r="H260" s="1172">
        <v>0.5</v>
      </c>
      <c r="I260" s="1172">
        <v>0.9</v>
      </c>
      <c r="J260" s="1172"/>
      <c r="K260" s="1172">
        <v>-3.3</v>
      </c>
      <c r="L260" s="174"/>
      <c r="M260" s="174"/>
      <c r="N260" s="174"/>
      <c r="O260" s="174"/>
      <c r="P260" s="174"/>
      <c r="AA260" s="173"/>
    </row>
    <row r="261" spans="3:27" s="235" customFormat="1" ht="15" customHeight="1">
      <c r="C261" s="1129" t="s">
        <v>83</v>
      </c>
      <c r="D261" s="174"/>
      <c r="E261" s="174"/>
      <c r="F261" s="174"/>
      <c r="G261" s="174"/>
      <c r="H261" s="174"/>
      <c r="I261" s="174"/>
      <c r="K261" s="174"/>
      <c r="L261" s="174"/>
      <c r="M261" s="237"/>
      <c r="N261" s="237"/>
      <c r="O261" s="237"/>
      <c r="P261" s="237"/>
      <c r="Q261" s="237"/>
      <c r="R261" s="237"/>
      <c r="S261" s="237"/>
      <c r="AA261" s="173"/>
    </row>
    <row r="262" spans="3:27" s="174" customFormat="1" ht="15" customHeight="1">
      <c r="C262" s="1165"/>
      <c r="D262" s="175" t="str">
        <f>IF(Indice_index!$Z$1=1,"janeiro","January")</f>
        <v>January</v>
      </c>
      <c r="E262" s="1166">
        <v>0.7</v>
      </c>
      <c r="F262" s="1166">
        <v>-2.7</v>
      </c>
      <c r="G262" s="1166">
        <v>0.4</v>
      </c>
      <c r="H262" s="1166">
        <v>0.3</v>
      </c>
      <c r="I262" s="1166">
        <v>0.9</v>
      </c>
      <c r="J262" s="1166"/>
      <c r="K262" s="1166">
        <v>-3.3</v>
      </c>
      <c r="M262" s="237"/>
      <c r="N262" s="237"/>
      <c r="O262" s="237"/>
      <c r="P262" s="237"/>
      <c r="Q262" s="237"/>
      <c r="R262" s="237"/>
      <c r="S262" s="237"/>
      <c r="T262" s="237"/>
      <c r="U262" s="237"/>
      <c r="V262" s="237"/>
      <c r="W262" s="237"/>
      <c r="X262" s="237"/>
      <c r="Y262" s="237"/>
      <c r="AA262" s="175"/>
    </row>
    <row r="263" spans="3:27" s="174" customFormat="1" ht="15" customHeight="1">
      <c r="C263" s="1165"/>
      <c r="D263" s="175" t="str">
        <f>IF(Indice_index!$Z$1=1,"fevereiro","February")</f>
        <v>February</v>
      </c>
      <c r="E263" s="1166">
        <v>0.6</v>
      </c>
      <c r="F263" s="1166">
        <v>-2.8</v>
      </c>
      <c r="G263" s="1166">
        <v>0.4</v>
      </c>
      <c r="H263" s="1166">
        <v>0.2</v>
      </c>
      <c r="I263" s="1166">
        <v>0.3</v>
      </c>
      <c r="J263" s="1166"/>
      <c r="K263" s="1166">
        <v>-3.2</v>
      </c>
      <c r="M263" s="237"/>
      <c r="N263" s="237"/>
      <c r="O263" s="237"/>
      <c r="P263" s="237"/>
      <c r="Q263" s="237"/>
      <c r="R263" s="237"/>
      <c r="S263" s="237"/>
      <c r="T263" s="237"/>
      <c r="U263" s="237"/>
      <c r="V263" s="237"/>
      <c r="W263" s="237"/>
      <c r="X263" s="237"/>
      <c r="Y263" s="237"/>
      <c r="AA263" s="175"/>
    </row>
    <row r="264" spans="3:27" s="235" customFormat="1" ht="15" customHeight="1">
      <c r="C264" s="1129"/>
      <c r="D264" s="175" t="str">
        <f>IF(Indice_index!$Z$1=1,"março","March")</f>
        <v>March</v>
      </c>
      <c r="E264" s="1173">
        <v>0.39772048370223878</v>
      </c>
      <c r="F264" s="1173">
        <v>-3.1551925979209861</v>
      </c>
      <c r="G264" s="1173">
        <v>0.21430906515237735</v>
      </c>
      <c r="H264" s="1173">
        <v>-3.8999145732998231E-2</v>
      </c>
      <c r="I264" s="1173">
        <v>0.66886649424774824</v>
      </c>
      <c r="J264" s="1173"/>
      <c r="K264" s="1173">
        <v>-3.2832121226293762</v>
      </c>
      <c r="L264" s="174"/>
      <c r="M264" s="237"/>
      <c r="N264" s="237"/>
      <c r="O264" s="237"/>
      <c r="P264" s="237"/>
      <c r="Q264" s="237"/>
      <c r="R264" s="237"/>
      <c r="S264" s="237"/>
      <c r="T264" s="237"/>
      <c r="U264" s="237"/>
      <c r="V264" s="237"/>
      <c r="W264" s="237"/>
      <c r="X264" s="237"/>
      <c r="Y264" s="237"/>
      <c r="AA264" s="173"/>
    </row>
    <row r="265" spans="3:27" s="235" customFormat="1" ht="15" customHeight="1">
      <c r="C265" s="1129"/>
      <c r="D265" s="175" t="str">
        <f>IF(Indice_index!$Z$1=1,"abril","April")</f>
        <v>April</v>
      </c>
      <c r="E265" s="1166">
        <v>0.25830033505939687</v>
      </c>
      <c r="F265" s="1166">
        <v>-3.4313171283210853</v>
      </c>
      <c r="G265" s="1166">
        <v>0.19114791582232923</v>
      </c>
      <c r="H265" s="1166">
        <v>-0.1627344334923552</v>
      </c>
      <c r="I265" s="1166">
        <v>1.0791046107197124</v>
      </c>
      <c r="J265" s="1166"/>
      <c r="K265" s="1166">
        <v>-3.2977982636503667</v>
      </c>
      <c r="L265" s="174"/>
      <c r="M265" s="237"/>
      <c r="N265" s="237"/>
      <c r="O265" s="237"/>
      <c r="P265" s="237"/>
      <c r="Q265" s="237"/>
      <c r="R265" s="237"/>
      <c r="S265" s="237"/>
      <c r="T265" s="237"/>
      <c r="U265" s="237"/>
      <c r="V265" s="237"/>
      <c r="W265" s="237"/>
      <c r="X265" s="237"/>
      <c r="Y265" s="237"/>
      <c r="AA265" s="173"/>
    </row>
    <row r="266" spans="3:27" s="235" customFormat="1" ht="15" customHeight="1">
      <c r="C266" s="1129"/>
      <c r="D266" s="175" t="str">
        <f>IF(Indice_index!$Z$1=1,"maio","May")</f>
        <v>May</v>
      </c>
      <c r="E266" s="1174">
        <v>0.2207876300504866</v>
      </c>
      <c r="F266" s="1174">
        <v>-3.334230774680818</v>
      </c>
      <c r="G266" s="1174">
        <v>0.17852063880130956</v>
      </c>
      <c r="H266" s="1174">
        <v>-0.17800253626550369</v>
      </c>
      <c r="I266" s="1174">
        <v>1.152197213290469</v>
      </c>
      <c r="J266" s="1174"/>
      <c r="K266" s="1174">
        <v>-3.3000204532150335</v>
      </c>
      <c r="L266" s="174"/>
      <c r="M266" s="237"/>
      <c r="N266" s="237"/>
      <c r="O266" s="237"/>
      <c r="P266" s="237"/>
      <c r="Q266" s="237"/>
      <c r="R266" s="237"/>
      <c r="S266" s="237"/>
      <c r="T266" s="237"/>
      <c r="U266" s="237"/>
      <c r="V266" s="237"/>
      <c r="W266" s="237"/>
      <c r="X266" s="237"/>
      <c r="Y266" s="237"/>
      <c r="AA266" s="173"/>
    </row>
    <row r="267" spans="3:27" s="235" customFormat="1" ht="15" customHeight="1">
      <c r="C267" s="1129"/>
      <c r="D267" s="175" t="str">
        <f>IF(Indice_index!$Z$1=1,"junho","June")</f>
        <v>June</v>
      </c>
      <c r="E267" s="1175">
        <v>0.21228479719871607</v>
      </c>
      <c r="F267" s="1175">
        <v>-3.2242937531972946</v>
      </c>
      <c r="G267" s="1175">
        <v>-0.23539663425172311</v>
      </c>
      <c r="H267" s="1175">
        <v>-0.27594629482194893</v>
      </c>
      <c r="I267" s="1175">
        <v>1.1254019292604625</v>
      </c>
      <c r="J267" s="1175"/>
      <c r="K267" s="1175">
        <v>-3.3272507803585407</v>
      </c>
      <c r="L267" s="174"/>
      <c r="M267" s="237"/>
      <c r="N267" s="237"/>
      <c r="O267" s="237"/>
      <c r="P267" s="237"/>
      <c r="Q267" s="237"/>
      <c r="R267" s="237"/>
      <c r="S267" s="237"/>
      <c r="T267" s="237"/>
      <c r="U267" s="237"/>
      <c r="V267" s="237"/>
      <c r="W267" s="237"/>
      <c r="X267" s="237"/>
      <c r="Y267" s="237"/>
      <c r="AA267" s="173"/>
    </row>
    <row r="268" spans="3:27" s="235" customFormat="1" ht="15" customHeight="1">
      <c r="C268" s="1129"/>
      <c r="D268" s="175" t="str">
        <f>IF(Indice_index!$Z$1=1,"julho","July")</f>
        <v>July</v>
      </c>
      <c r="E268" s="1176">
        <v>0.23993394531060275</v>
      </c>
      <c r="F268" s="1176">
        <v>-3.1877785212921963</v>
      </c>
      <c r="G268" s="1176">
        <v>-0.28332547996182056</v>
      </c>
      <c r="H268" s="1176">
        <v>-0.26561614451989107</v>
      </c>
      <c r="I268" s="1176">
        <v>1.0344196265104315</v>
      </c>
      <c r="J268" s="1176"/>
      <c r="K268" s="1176">
        <v>-3.3993932357371381</v>
      </c>
      <c r="L268" s="174"/>
      <c r="M268" s="237"/>
      <c r="N268" s="237"/>
      <c r="O268" s="237"/>
      <c r="P268" s="237"/>
      <c r="Q268" s="237"/>
      <c r="R268" s="237"/>
      <c r="S268" s="237"/>
      <c r="AA268" s="173"/>
    </row>
    <row r="269" spans="3:27" s="235" customFormat="1" ht="15" customHeight="1">
      <c r="C269" s="1129"/>
      <c r="D269" s="175" t="str">
        <f>IF(Indice_index!$Z$1=1,"agosto","August")</f>
        <v>August</v>
      </c>
      <c r="E269" s="1177">
        <v>0.26411909370043218</v>
      </c>
      <c r="F269" s="1177">
        <v>-3.032509530132351</v>
      </c>
      <c r="G269" s="1177">
        <v>-0.32315047598377017</v>
      </c>
      <c r="H269" s="1177">
        <v>-0.2423552424940838</v>
      </c>
      <c r="I269" s="1177">
        <v>0.98736879558796553</v>
      </c>
      <c r="J269" s="1177"/>
      <c r="K269" s="1177">
        <v>-3.4113955126699826</v>
      </c>
      <c r="L269" s="174"/>
      <c r="M269" s="174"/>
      <c r="N269" s="174"/>
      <c r="O269" s="174"/>
      <c r="P269" s="174"/>
      <c r="AA269" s="173"/>
    </row>
    <row r="270" spans="3:27" s="235" customFormat="1" ht="15" customHeight="1">
      <c r="C270" s="1129"/>
      <c r="D270" s="175" t="str">
        <f>IF(Indice_index!$Z$1=1,"setembro","September")</f>
        <v>September</v>
      </c>
      <c r="E270" s="1178">
        <v>0.25519168458016966</v>
      </c>
      <c r="F270" s="1178">
        <v>-2.8822737300518582</v>
      </c>
      <c r="G270" s="1178">
        <v>-0.26112022385179467</v>
      </c>
      <c r="H270" s="1178">
        <v>-0.21472832701643321</v>
      </c>
      <c r="I270" s="1178">
        <v>0.6578362521112866</v>
      </c>
      <c r="J270" s="1178"/>
      <c r="K270" s="1178">
        <v>-3.3582285052894303</v>
      </c>
      <c r="L270" s="174"/>
      <c r="M270" s="174"/>
      <c r="N270" s="174"/>
      <c r="O270" s="174"/>
      <c r="P270" s="174"/>
      <c r="AA270" s="173"/>
    </row>
    <row r="271" spans="3:27" s="235" customFormat="1" ht="15" customHeight="1">
      <c r="C271" s="1129"/>
      <c r="D271" s="175" t="str">
        <f>IF(Indice_index!$Z$1=1,"outubro","October")</f>
        <v>October</v>
      </c>
      <c r="E271" s="1170">
        <v>0.26374744184356796</v>
      </c>
      <c r="F271" s="1170">
        <v>-2.8337929449615076</v>
      </c>
      <c r="G271" s="1170">
        <v>-0.34665911050286674</v>
      </c>
      <c r="H271" s="1170">
        <v>-0.22501958703739117</v>
      </c>
      <c r="I271" s="1170">
        <v>1.1966422575459985</v>
      </c>
      <c r="J271" s="1170"/>
      <c r="K271" s="1170">
        <v>-3.3137824309350044</v>
      </c>
      <c r="L271" s="174"/>
      <c r="M271" s="174"/>
      <c r="N271" s="174"/>
      <c r="O271" s="174"/>
      <c r="P271" s="174"/>
      <c r="AA271" s="173"/>
    </row>
    <row r="272" spans="3:27" s="235" customFormat="1" ht="15" customHeight="1">
      <c r="C272" s="1130"/>
      <c r="D272" s="175" t="str">
        <f>IF(Indice_index!$Z$1=1,"novembro","November")</f>
        <v>November</v>
      </c>
      <c r="E272" s="1171">
        <v>0.28203793591807585</v>
      </c>
      <c r="F272" s="1171">
        <v>-2.826346616011167</v>
      </c>
      <c r="G272" s="1171">
        <v>-0.37037260085878265</v>
      </c>
      <c r="H272" s="1171">
        <v>-0.2180070089099187</v>
      </c>
      <c r="I272" s="1171">
        <v>1.0269345104044763</v>
      </c>
      <c r="J272" s="1171"/>
      <c r="K272" s="1171">
        <v>-3.4625800216261737</v>
      </c>
      <c r="L272" s="174"/>
      <c r="M272" s="174"/>
      <c r="N272" s="174"/>
      <c r="O272" s="174"/>
      <c r="P272" s="174"/>
      <c r="AA272" s="173"/>
    </row>
    <row r="273" spans="3:27" s="235" customFormat="1" ht="15" customHeight="1">
      <c r="C273" s="1130"/>
      <c r="D273" s="175" t="str">
        <f>IF(Indice_index!$Z$1=1,"dezembro","December")</f>
        <v>December</v>
      </c>
      <c r="E273" s="1256">
        <v>0.35438674632299544</v>
      </c>
      <c r="F273" s="1256">
        <v>-2.8144429537946656</v>
      </c>
      <c r="G273" s="1256">
        <v>-0.407296442021923</v>
      </c>
      <c r="H273" s="1256">
        <v>-0.17945045610324259</v>
      </c>
      <c r="I273" s="1256">
        <v>0.99973691133912934</v>
      </c>
      <c r="J273" s="1256"/>
      <c r="K273" s="1256">
        <v>-3.5442363879733443</v>
      </c>
      <c r="L273" s="174"/>
      <c r="M273" s="174"/>
      <c r="N273" s="174"/>
      <c r="O273" s="174"/>
      <c r="P273" s="174"/>
      <c r="AA273" s="173"/>
    </row>
    <row r="274" spans="3:27" s="235" customFormat="1" ht="3" customHeight="1">
      <c r="C274" s="1122"/>
      <c r="D274" s="1123"/>
      <c r="E274" s="1123"/>
      <c r="F274" s="1123"/>
      <c r="G274" s="1123"/>
      <c r="H274" s="1123"/>
      <c r="I274" s="1123"/>
      <c r="K274" s="1158"/>
      <c r="L274" s="174"/>
      <c r="M274" s="174"/>
      <c r="N274" s="174"/>
      <c r="O274" s="174"/>
      <c r="P274" s="174"/>
      <c r="AA274" s="173"/>
    </row>
    <row r="275" spans="3:27" s="235" customFormat="1" ht="15" customHeight="1">
      <c r="C275" s="1130"/>
      <c r="D275" s="174"/>
      <c r="E275" s="174"/>
      <c r="F275" s="174"/>
      <c r="G275" s="174"/>
      <c r="H275" s="174"/>
      <c r="I275" s="174"/>
      <c r="K275" s="174"/>
      <c r="L275" s="174"/>
      <c r="M275" s="174"/>
      <c r="N275" s="174"/>
      <c r="O275" s="174"/>
      <c r="P275" s="174"/>
      <c r="AA275" s="173"/>
    </row>
    <row r="276" spans="3:27" s="235" customFormat="1" ht="15" customHeight="1">
      <c r="C276" s="1130"/>
      <c r="D276" s="174"/>
      <c r="E276" s="174"/>
      <c r="F276" s="174"/>
      <c r="G276" s="174"/>
      <c r="H276" s="174"/>
      <c r="I276" s="174"/>
      <c r="K276" s="174"/>
      <c r="L276" s="174"/>
      <c r="M276" s="174"/>
      <c r="N276" s="174"/>
      <c r="O276" s="174"/>
      <c r="P276" s="174"/>
      <c r="AA276" s="173"/>
    </row>
    <row r="277" spans="3:27" s="235" customFormat="1" ht="15" customHeight="1">
      <c r="C277" s="1179" t="str">
        <f>IF(Indice_index!$Z$1=1,"Pensionistas de Aposentação/Reforma - Novos e Abatidos","Retirement Pensioners - New and extinct")</f>
        <v>Retirement Pensioners - New and extinct</v>
      </c>
      <c r="D277" s="1159"/>
      <c r="E277" s="174"/>
      <c r="F277" s="1159"/>
      <c r="G277" s="1159"/>
      <c r="H277" s="174"/>
      <c r="I277" s="174"/>
      <c r="J277" s="174"/>
      <c r="K277" s="174"/>
      <c r="L277" s="174"/>
      <c r="M277" s="174"/>
      <c r="N277" s="174"/>
      <c r="O277" s="88"/>
      <c r="X277" s="52"/>
      <c r="Y277" s="52"/>
      <c r="Z277" s="52"/>
      <c r="AA277" s="173"/>
    </row>
    <row r="278" spans="3:27" s="235" customFormat="1" ht="11.25" customHeight="1">
      <c r="C278" s="1120"/>
      <c r="D278" s="1180"/>
      <c r="E278" s="1661" t="str">
        <f>IF(Indice_index!$Z$1=1,"Número","Number")</f>
        <v>Number</v>
      </c>
      <c r="F278" s="1661"/>
      <c r="G278" s="1661"/>
      <c r="H278" s="1661"/>
      <c r="I278" s="1661"/>
      <c r="J278" s="1622" t="str">
        <f>IF(Indice_index!$Z$1=1,"Despesa com pensões (€)","Expense with Pensions")</f>
        <v>Expense with Pensions</v>
      </c>
      <c r="K278" s="1622"/>
      <c r="L278" s="1622"/>
      <c r="M278" s="1622"/>
      <c r="N278" s="1622"/>
      <c r="O278" s="1668" t="str">
        <f>IF(Indice_index!$Z$1=1,"Pensão média nova Aposentação/Reforma (€)"," Average Value paid per new Retirment Pensioner")</f>
        <v xml:space="preserve"> Average Value paid per new Retirment Pensioner</v>
      </c>
      <c r="P278" s="1662" t="str">
        <f>IF(Indice_index!$Z$1=1,"Pensão média nova Sobrevivência e Outras (€)"," Average Value paid per new Survival and Others Pensioner")</f>
        <v xml:space="preserve"> Average Value paid per new Survival and Others Pensioner</v>
      </c>
      <c r="X278" s="52"/>
      <c r="Y278" s="52"/>
      <c r="Z278" s="52"/>
      <c r="AA278" s="173"/>
    </row>
    <row r="279" spans="3:27" s="235" customFormat="1" ht="11.25" customHeight="1">
      <c r="C279" s="1179"/>
      <c r="D279" s="1182"/>
      <c r="E279" s="1661" t="str">
        <f>IF(Indice_index!$Z$1=1,"Novos","New")</f>
        <v>New</v>
      </c>
      <c r="F279" s="1661"/>
      <c r="G279" s="1661"/>
      <c r="H279" s="1661"/>
      <c r="I279" s="1668" t="str">
        <f>IF(Indice_index!$Z$1=1,"Abonos abatidos de Aposentação /Reforma","Allowances deducted from Retirement / Pension")</f>
        <v>Allowances deducted from Retirement / Pension</v>
      </c>
      <c r="J279" s="1622" t="str">
        <f>IF(Indice_index!$Z$1=1,"Novos","New")</f>
        <v>New</v>
      </c>
      <c r="K279" s="1622"/>
      <c r="L279" s="1622"/>
      <c r="M279" s="1622"/>
      <c r="N279" s="1668" t="str">
        <f>IF(Indice_index!$Z$1=1,"Abonos abatidos de Aposentação /Reforma","Allowances deducted from Retirement / Pension")</f>
        <v>Allowances deducted from Retirement / Pension</v>
      </c>
      <c r="O279" s="1668"/>
      <c r="P279" s="1662"/>
      <c r="R279" s="99"/>
      <c r="S279" s="99"/>
      <c r="T279" s="99"/>
      <c r="X279" s="52"/>
      <c r="Y279" s="52"/>
      <c r="Z279" s="52"/>
      <c r="AA279" s="173"/>
    </row>
    <row r="280" spans="3:27" s="235" customFormat="1" ht="44.25" customHeight="1">
      <c r="C280" s="1122"/>
      <c r="D280" s="1183"/>
      <c r="E280" s="1124" t="str">
        <f>IF(Indice_index!$Z$1=1,"Velhice e Outros Motivos","Old age and other Reasons")</f>
        <v>Old age and other Reasons</v>
      </c>
      <c r="F280" s="1125" t="str">
        <f>IF(Indice_index!$Z$1=1,"Invalidez","Disability")</f>
        <v>Disability</v>
      </c>
      <c r="G280" s="1124" t="str">
        <f>IF(Indice_index!$Z$1=1,"Sobrevivência e Outros","Survival and Others")</f>
        <v>Survival and Others</v>
      </c>
      <c r="H280" s="1124" t="str">
        <f>IF(Indice_index!$Z$1=1,"Total de Pensionistas","Total of Pensioners")</f>
        <v>Total of Pensioners</v>
      </c>
      <c r="I280" s="1668"/>
      <c r="J280" s="1124" t="str">
        <f>IF(Indice_index!$Z$1=1,"Velhice e Outros Motivos","Old age and other Reasons")</f>
        <v>Old age and other Reasons</v>
      </c>
      <c r="K280" s="1125" t="str">
        <f>IF(Indice_index!$Z$1=1,"Invalidez","Disability")</f>
        <v>Disability</v>
      </c>
      <c r="L280" s="1124" t="str">
        <f>IF(Indice_index!$Z$1=1,"Sobrevivência e Outros","Survival and Others")</f>
        <v>Survival and Others</v>
      </c>
      <c r="M280" s="1124" t="str">
        <f>IF(Indice_index!$Z$1=1,"Total","Total")</f>
        <v>Total</v>
      </c>
      <c r="N280" s="1668"/>
      <c r="O280" s="1668"/>
      <c r="P280" s="1662"/>
      <c r="R280" s="99"/>
      <c r="S280" s="99"/>
      <c r="T280" s="99"/>
      <c r="X280" s="52"/>
      <c r="Y280" s="52"/>
      <c r="Z280" s="52"/>
      <c r="AA280" s="173"/>
    </row>
    <row r="281" spans="3:27" s="235" customFormat="1" hidden="1">
      <c r="C281" s="1126" t="s">
        <v>15</v>
      </c>
      <c r="D281" s="1127"/>
      <c r="E281" s="1184"/>
      <c r="F281" s="1184"/>
      <c r="G281" s="1184"/>
      <c r="H281" s="1184"/>
      <c r="I281" s="1184"/>
      <c r="J281" s="1090"/>
      <c r="K281" s="1090"/>
      <c r="L281" s="1090"/>
      <c r="M281" s="174"/>
      <c r="N281" s="1090"/>
      <c r="O281" s="1090"/>
      <c r="X281" s="52"/>
      <c r="Y281" s="52"/>
      <c r="Z281" s="52"/>
      <c r="AA281" s="173"/>
    </row>
    <row r="282" spans="3:27" s="235" customFormat="1" hidden="1">
      <c r="C282" s="1126"/>
      <c r="D282" s="175" t="str">
        <f>IF(Indice_index!$Z$1=1,"janeiro","January")</f>
        <v>January</v>
      </c>
      <c r="E282" s="1184">
        <v>1471</v>
      </c>
      <c r="F282" s="1184">
        <v>170</v>
      </c>
      <c r="G282" s="1184">
        <v>513</v>
      </c>
      <c r="H282" s="1184">
        <v>2154</v>
      </c>
      <c r="I282" s="1184">
        <v>912</v>
      </c>
      <c r="J282" s="1090">
        <v>2253347.4200000004</v>
      </c>
      <c r="K282" s="1090">
        <v>179900.55</v>
      </c>
      <c r="L282" s="1090">
        <v>249524.43</v>
      </c>
      <c r="M282" s="174">
        <v>2682772.4000000004</v>
      </c>
      <c r="N282" s="1090">
        <v>916372.71</v>
      </c>
      <c r="O282" s="1090">
        <v>1482.8</v>
      </c>
      <c r="P282" s="235">
        <v>486.4</v>
      </c>
      <c r="X282" s="52"/>
      <c r="Y282" s="52"/>
      <c r="Z282" s="52"/>
      <c r="AA282" s="173"/>
    </row>
    <row r="283" spans="3:27" s="235" customFormat="1" hidden="1">
      <c r="C283" s="1126"/>
      <c r="D283" s="175" t="str">
        <f>IF(Indice_index!$Z$1=1,"fevereiro","February")</f>
        <v>February</v>
      </c>
      <c r="E283" s="1184">
        <v>1939</v>
      </c>
      <c r="F283" s="1184">
        <v>209</v>
      </c>
      <c r="G283" s="1184">
        <v>781</v>
      </c>
      <c r="H283" s="1184">
        <v>2929</v>
      </c>
      <c r="I283" s="1184">
        <v>1065</v>
      </c>
      <c r="J283" s="1090">
        <v>2945192.88</v>
      </c>
      <c r="K283" s="1090">
        <v>229212.15</v>
      </c>
      <c r="L283" s="1090">
        <v>361995.2</v>
      </c>
      <c r="M283" s="174">
        <v>3536400.23</v>
      </c>
      <c r="N283" s="1090">
        <v>1127751.53</v>
      </c>
      <c r="O283" s="1090">
        <v>1477.8</v>
      </c>
      <c r="P283" s="235">
        <v>463.5</v>
      </c>
      <c r="X283" s="52"/>
      <c r="Y283" s="52"/>
      <c r="Z283" s="52"/>
      <c r="AA283" s="173"/>
    </row>
    <row r="284" spans="3:27" s="235" customFormat="1" hidden="1">
      <c r="C284" s="1126"/>
      <c r="D284" s="175" t="str">
        <f>IF(Indice_index!$Z$1=1,"março","March")</f>
        <v>March</v>
      </c>
      <c r="E284" s="1184">
        <v>1335</v>
      </c>
      <c r="F284" s="1184">
        <v>244</v>
      </c>
      <c r="G284" s="1184">
        <v>917</v>
      </c>
      <c r="H284" s="1184">
        <v>2496</v>
      </c>
      <c r="I284" s="1184">
        <v>1072</v>
      </c>
      <c r="J284" s="1090">
        <v>1800757.79</v>
      </c>
      <c r="K284" s="1090">
        <v>270853.71999999997</v>
      </c>
      <c r="L284" s="1090">
        <v>458403.63</v>
      </c>
      <c r="M284" s="174">
        <v>2530015.14</v>
      </c>
      <c r="N284" s="1090">
        <v>1000274.44</v>
      </c>
      <c r="O284" s="1090">
        <v>1312</v>
      </c>
      <c r="P284" s="235">
        <v>499.9</v>
      </c>
      <c r="X284" s="52"/>
      <c r="Y284" s="52"/>
      <c r="Z284" s="52"/>
      <c r="AA284" s="173"/>
    </row>
    <row r="285" spans="3:27" s="235" customFormat="1" hidden="1">
      <c r="C285" s="1126"/>
      <c r="D285" s="175" t="str">
        <f>IF(Indice_index!$Z$1=1,"abril","April")</f>
        <v>April</v>
      </c>
      <c r="E285" s="1184">
        <v>1515</v>
      </c>
      <c r="F285" s="1184">
        <v>271</v>
      </c>
      <c r="G285" s="1184">
        <v>913</v>
      </c>
      <c r="H285" s="1184">
        <v>2699</v>
      </c>
      <c r="I285" s="1184">
        <v>1281</v>
      </c>
      <c r="J285" s="1090">
        <v>1784019.16</v>
      </c>
      <c r="K285" s="1090">
        <v>320223.28999999998</v>
      </c>
      <c r="L285" s="1090">
        <v>410277</v>
      </c>
      <c r="M285" s="174">
        <v>2514519.4499999997</v>
      </c>
      <c r="N285" s="1090">
        <v>1232238.1499999999</v>
      </c>
      <c r="O285" s="1090">
        <v>1178.2</v>
      </c>
      <c r="P285" s="235">
        <v>449.4</v>
      </c>
      <c r="X285" s="52"/>
      <c r="Y285" s="52"/>
      <c r="Z285" s="52"/>
      <c r="AA285" s="173"/>
    </row>
    <row r="286" spans="3:27" s="235" customFormat="1" hidden="1">
      <c r="C286" s="1126"/>
      <c r="D286" s="175" t="str">
        <f>IF(Indice_index!$Z$1=1,"maio","May")</f>
        <v>May</v>
      </c>
      <c r="E286" s="1184">
        <v>1724</v>
      </c>
      <c r="F286" s="1184">
        <v>157</v>
      </c>
      <c r="G286" s="1184">
        <v>787</v>
      </c>
      <c r="H286" s="1184">
        <v>2668</v>
      </c>
      <c r="I286" s="1184">
        <v>1070</v>
      </c>
      <c r="J286" s="1090">
        <v>1822949.91</v>
      </c>
      <c r="K286" s="1090">
        <v>168669.13</v>
      </c>
      <c r="L286" s="1090">
        <v>376886.49</v>
      </c>
      <c r="M286" s="174">
        <v>2368505.5300000003</v>
      </c>
      <c r="N286" s="1090">
        <v>1044103.32</v>
      </c>
      <c r="O286" s="1090">
        <v>1058.8</v>
      </c>
      <c r="P286" s="235">
        <v>478.9</v>
      </c>
      <c r="X286" s="52"/>
      <c r="Y286" s="52"/>
      <c r="Z286" s="52"/>
      <c r="AA286" s="173"/>
    </row>
    <row r="287" spans="3:27" s="235" customFormat="1" hidden="1">
      <c r="C287" s="1126"/>
      <c r="D287" s="175" t="str">
        <f>IF(Indice_index!$Z$1=1,"junho","June")</f>
        <v>June</v>
      </c>
      <c r="E287" s="1184">
        <v>1732</v>
      </c>
      <c r="F287" s="1184">
        <v>222</v>
      </c>
      <c r="G287" s="1184">
        <v>872</v>
      </c>
      <c r="H287" s="1184">
        <v>2826</v>
      </c>
      <c r="I287" s="1184">
        <v>977</v>
      </c>
      <c r="J287" s="1090">
        <v>1733424.6700000002</v>
      </c>
      <c r="K287" s="1090">
        <v>266897.39999999997</v>
      </c>
      <c r="L287" s="1090">
        <v>419051.86</v>
      </c>
      <c r="M287" s="174">
        <v>2419373.9300000002</v>
      </c>
      <c r="N287" s="1090">
        <v>942522.85</v>
      </c>
      <c r="O287" s="1090">
        <v>1023.7</v>
      </c>
      <c r="P287" s="235">
        <v>480.6</v>
      </c>
      <c r="X287" s="52"/>
      <c r="Y287" s="52"/>
      <c r="Z287" s="52"/>
      <c r="AA287" s="173"/>
    </row>
    <row r="288" spans="3:27" s="235" customFormat="1" hidden="1">
      <c r="C288" s="1126"/>
      <c r="D288" s="175" t="str">
        <f>IF(Indice_index!$Z$1=1,"julho","July")</f>
        <v>July</v>
      </c>
      <c r="E288" s="1184">
        <v>1581</v>
      </c>
      <c r="F288" s="1184">
        <v>182</v>
      </c>
      <c r="G288" s="1184">
        <v>617</v>
      </c>
      <c r="H288" s="1184">
        <v>2380</v>
      </c>
      <c r="I288" s="1184">
        <v>849</v>
      </c>
      <c r="J288" s="1090">
        <v>1800225.19</v>
      </c>
      <c r="K288" s="1090">
        <v>184002.3</v>
      </c>
      <c r="L288" s="1090">
        <v>274219.46999999997</v>
      </c>
      <c r="M288" s="174">
        <v>2258446.96</v>
      </c>
      <c r="N288" s="1090">
        <v>858439.14</v>
      </c>
      <c r="O288" s="1090">
        <v>1125.5</v>
      </c>
      <c r="P288" s="235">
        <v>444.4</v>
      </c>
      <c r="X288" s="52"/>
      <c r="Y288" s="52"/>
      <c r="Z288" s="52"/>
      <c r="AA288" s="173"/>
    </row>
    <row r="289" spans="3:27" s="235" customFormat="1" hidden="1">
      <c r="C289" s="1126"/>
      <c r="D289" s="175" t="str">
        <f>IF(Indice_index!$Z$1=1,"agosto","August")</f>
        <v>August</v>
      </c>
      <c r="E289" s="1184">
        <v>1669</v>
      </c>
      <c r="F289" s="1184">
        <v>158</v>
      </c>
      <c r="G289" s="1184">
        <v>772</v>
      </c>
      <c r="H289" s="1184">
        <v>2599</v>
      </c>
      <c r="I289" s="1184">
        <v>741</v>
      </c>
      <c r="J289" s="1090">
        <v>1727876</v>
      </c>
      <c r="K289" s="1090">
        <v>185126</v>
      </c>
      <c r="L289" s="1090">
        <v>352719.34</v>
      </c>
      <c r="M289" s="174">
        <v>2265721.34</v>
      </c>
      <c r="N289" s="1090">
        <v>778258.21</v>
      </c>
      <c r="O289" s="1090">
        <v>1047.0999999999999</v>
      </c>
      <c r="P289" s="235">
        <v>456.9</v>
      </c>
      <c r="X289" s="52"/>
      <c r="Y289" s="52"/>
      <c r="Z289" s="52"/>
      <c r="AA289" s="173"/>
    </row>
    <row r="290" spans="3:27" s="235" customFormat="1" hidden="1">
      <c r="C290" s="1126"/>
      <c r="D290" s="175" t="str">
        <f>IF(Indice_index!$Z$1=1,"setembro","September")</f>
        <v>September</v>
      </c>
      <c r="E290" s="1184">
        <v>1866</v>
      </c>
      <c r="F290" s="1184">
        <v>170</v>
      </c>
      <c r="G290" s="1184">
        <v>644</v>
      </c>
      <c r="H290" s="1184">
        <v>2680</v>
      </c>
      <c r="I290" s="1184">
        <v>920</v>
      </c>
      <c r="J290" s="1090">
        <v>2272099.3400000003</v>
      </c>
      <c r="K290" s="1090">
        <v>175025.16999999998</v>
      </c>
      <c r="L290" s="1090">
        <v>302947.55</v>
      </c>
      <c r="M290" s="174">
        <v>2750072.06</v>
      </c>
      <c r="N290" s="1090">
        <v>888055.27</v>
      </c>
      <c r="O290" s="1090">
        <v>1201.9000000000001</v>
      </c>
      <c r="P290" s="235">
        <v>470.4</v>
      </c>
      <c r="X290" s="52"/>
      <c r="Y290" s="52"/>
      <c r="Z290" s="52"/>
      <c r="AA290" s="173"/>
    </row>
    <row r="291" spans="3:27" s="235" customFormat="1" hidden="1">
      <c r="C291" s="1126"/>
      <c r="D291" s="175" t="str">
        <f>IF(Indice_index!$Z$1=1,"outubro","October")</f>
        <v>October</v>
      </c>
      <c r="E291" s="1184">
        <v>1561</v>
      </c>
      <c r="F291" s="1184">
        <v>188</v>
      </c>
      <c r="G291" s="1184">
        <v>580</v>
      </c>
      <c r="H291" s="1184">
        <v>2329</v>
      </c>
      <c r="I291" s="1184">
        <v>832</v>
      </c>
      <c r="J291" s="1090">
        <v>2178361.13</v>
      </c>
      <c r="K291" s="1090">
        <v>234236.07</v>
      </c>
      <c r="L291" s="1090">
        <v>288827.51</v>
      </c>
      <c r="M291" s="174">
        <v>2701424.71</v>
      </c>
      <c r="N291" s="1090">
        <v>809217.05</v>
      </c>
      <c r="O291" s="1090">
        <v>1379.4</v>
      </c>
      <c r="P291" s="235">
        <v>498</v>
      </c>
      <c r="X291" s="52"/>
      <c r="Y291" s="52"/>
      <c r="Z291" s="52"/>
      <c r="AA291" s="173"/>
    </row>
    <row r="292" spans="3:27" s="235" customFormat="1" hidden="1">
      <c r="C292" s="1126"/>
      <c r="D292" s="175" t="str">
        <f>IF(Indice_index!$Z$1=1,"novembro","November")</f>
        <v>November</v>
      </c>
      <c r="E292" s="1184">
        <v>1234</v>
      </c>
      <c r="F292" s="1184">
        <v>61</v>
      </c>
      <c r="G292" s="1184">
        <v>671</v>
      </c>
      <c r="H292" s="1184">
        <v>1966</v>
      </c>
      <c r="I292" s="1184">
        <v>812</v>
      </c>
      <c r="J292" s="1090">
        <v>1909576.94</v>
      </c>
      <c r="K292" s="1090">
        <v>72721.81</v>
      </c>
      <c r="L292" s="1090">
        <v>305056.65000000002</v>
      </c>
      <c r="M292" s="174">
        <v>2287355.4</v>
      </c>
      <c r="N292" s="1090">
        <v>848710.81</v>
      </c>
      <c r="O292" s="1090">
        <v>1530.7</v>
      </c>
      <c r="P292" s="235">
        <v>454.6</v>
      </c>
      <c r="X292" s="52"/>
      <c r="Y292" s="52"/>
      <c r="Z292" s="52"/>
      <c r="AA292" s="173"/>
    </row>
    <row r="293" spans="3:27" s="235" customFormat="1" hidden="1">
      <c r="C293" s="1126"/>
      <c r="D293" s="175" t="str">
        <f>IF(Indice_index!$Z$1=1,"dezembro","December")</f>
        <v>December</v>
      </c>
      <c r="E293" s="1184">
        <v>983</v>
      </c>
      <c r="F293" s="1184">
        <v>92</v>
      </c>
      <c r="G293" s="1184">
        <v>718</v>
      </c>
      <c r="H293" s="1184">
        <v>1793</v>
      </c>
      <c r="I293" s="1184">
        <v>886</v>
      </c>
      <c r="J293" s="1090">
        <v>1287264.1600000001</v>
      </c>
      <c r="K293" s="1090">
        <v>95656.23000000001</v>
      </c>
      <c r="L293" s="1090">
        <v>338357.31</v>
      </c>
      <c r="M293" s="174">
        <v>1721277.7000000002</v>
      </c>
      <c r="N293" s="1090">
        <v>931999.81</v>
      </c>
      <c r="O293" s="1090">
        <v>1286.4000000000001</v>
      </c>
      <c r="P293" s="235">
        <v>471.2</v>
      </c>
      <c r="X293" s="52"/>
      <c r="Y293" s="52"/>
      <c r="Z293" s="52"/>
      <c r="AA293" s="173"/>
    </row>
    <row r="294" spans="3:27" s="235" customFormat="1" hidden="1">
      <c r="C294" s="1126" t="s">
        <v>16</v>
      </c>
      <c r="D294" s="1127"/>
      <c r="E294" s="1184"/>
      <c r="F294" s="1184"/>
      <c r="G294" s="1184"/>
      <c r="H294" s="1184"/>
      <c r="I294" s="1184"/>
      <c r="J294" s="1090"/>
      <c r="K294" s="1090"/>
      <c r="L294" s="1090"/>
      <c r="M294" s="174"/>
      <c r="N294" s="1090"/>
      <c r="O294" s="1090"/>
      <c r="X294" s="52"/>
      <c r="Y294" s="52"/>
      <c r="Z294" s="52"/>
      <c r="AA294" s="173"/>
    </row>
    <row r="295" spans="3:27" s="235" customFormat="1" hidden="1">
      <c r="C295" s="1126"/>
      <c r="D295" s="175" t="str">
        <f>IF(Indice_index!$Z$1=1,"janeiro","January")</f>
        <v>January</v>
      </c>
      <c r="E295" s="1184">
        <v>1613</v>
      </c>
      <c r="F295" s="1184">
        <v>179</v>
      </c>
      <c r="G295" s="1184">
        <v>623</v>
      </c>
      <c r="H295" s="1184">
        <v>2415</v>
      </c>
      <c r="I295" s="1184">
        <v>841</v>
      </c>
      <c r="J295" s="1090">
        <v>2400812.1300000004</v>
      </c>
      <c r="K295" s="1090">
        <v>227341.87</v>
      </c>
      <c r="L295" s="1090">
        <v>301045</v>
      </c>
      <c r="M295" s="174">
        <v>2929199.0000000005</v>
      </c>
      <c r="N295" s="1090">
        <v>866112.06</v>
      </c>
      <c r="O295" s="1090">
        <v>1466.6</v>
      </c>
      <c r="P295" s="235">
        <v>483.2</v>
      </c>
      <c r="X295" s="52"/>
      <c r="Y295" s="52"/>
      <c r="Z295" s="52"/>
      <c r="AA295" s="173"/>
    </row>
    <row r="296" spans="3:27" s="235" customFormat="1" hidden="1">
      <c r="C296" s="1128"/>
      <c r="D296" s="175" t="str">
        <f>IF(Indice_index!$Z$1=1,"fevereiro","February")</f>
        <v>February</v>
      </c>
      <c r="E296" s="1184">
        <v>1506</v>
      </c>
      <c r="F296" s="1184">
        <v>218</v>
      </c>
      <c r="G296" s="1184">
        <v>731</v>
      </c>
      <c r="H296" s="1184">
        <v>2455</v>
      </c>
      <c r="I296" s="1184">
        <v>1081</v>
      </c>
      <c r="J296" s="1090">
        <v>1862688.8800000001</v>
      </c>
      <c r="K296" s="1090">
        <v>244140.95</v>
      </c>
      <c r="L296" s="1090">
        <v>345412</v>
      </c>
      <c r="M296" s="1090">
        <v>2452241.83</v>
      </c>
      <c r="N296" s="1090">
        <v>1114050.94</v>
      </c>
      <c r="O296" s="1090">
        <v>1222.0999999999999</v>
      </c>
      <c r="P296" s="1090">
        <v>472.5</v>
      </c>
      <c r="X296" s="52"/>
      <c r="Y296" s="52"/>
      <c r="Z296" s="52"/>
      <c r="AA296" s="173"/>
    </row>
    <row r="297" spans="3:27" s="235" customFormat="1" hidden="1">
      <c r="C297" s="1128"/>
      <c r="D297" s="175" t="str">
        <f>IF(Indice_index!$Z$1=1,"março","March")</f>
        <v>March</v>
      </c>
      <c r="E297" s="1184">
        <v>1681</v>
      </c>
      <c r="F297" s="1184">
        <v>142</v>
      </c>
      <c r="G297" s="1184">
        <v>660</v>
      </c>
      <c r="H297" s="1184">
        <v>2483</v>
      </c>
      <c r="I297" s="1184">
        <v>1094</v>
      </c>
      <c r="J297" s="1090">
        <v>1953254.07</v>
      </c>
      <c r="K297" s="1090">
        <v>165596.85</v>
      </c>
      <c r="L297" s="1090">
        <v>320609</v>
      </c>
      <c r="M297" s="1090">
        <v>2439459.92</v>
      </c>
      <c r="N297" s="1090">
        <v>1038005.63</v>
      </c>
      <c r="O297" s="1090">
        <v>1162.3</v>
      </c>
      <c r="P297" s="1090">
        <v>485.8</v>
      </c>
      <c r="X297" s="52"/>
      <c r="Y297" s="52"/>
      <c r="Z297" s="52"/>
      <c r="AA297" s="173"/>
    </row>
    <row r="298" spans="3:27" s="235" customFormat="1" hidden="1">
      <c r="C298" s="1128"/>
      <c r="D298" s="175" t="str">
        <f>IF(Indice_index!$Z$1=1,"abril","April")</f>
        <v>April</v>
      </c>
      <c r="E298" s="1184">
        <v>1900</v>
      </c>
      <c r="F298" s="1184">
        <v>177</v>
      </c>
      <c r="G298" s="1184">
        <v>671</v>
      </c>
      <c r="H298" s="1184">
        <v>2748</v>
      </c>
      <c r="I298" s="1184">
        <v>1050</v>
      </c>
      <c r="J298" s="1090">
        <v>2059097.8399999999</v>
      </c>
      <c r="K298" s="1090">
        <v>198424.51</v>
      </c>
      <c r="L298" s="1090">
        <v>356233.68</v>
      </c>
      <c r="M298" s="1090">
        <v>2613756.0299999998</v>
      </c>
      <c r="N298" s="1090">
        <v>1024683.18</v>
      </c>
      <c r="O298" s="1090">
        <v>1086.9000000000001</v>
      </c>
      <c r="P298" s="1090">
        <v>530.9</v>
      </c>
      <c r="X298" s="52"/>
      <c r="Y298" s="52"/>
      <c r="Z298" s="52"/>
      <c r="AA298" s="173"/>
    </row>
    <row r="299" spans="3:27" s="235" customFormat="1" hidden="1">
      <c r="C299" s="1128"/>
      <c r="D299" s="175" t="str">
        <f>IF(Indice_index!$Z$1=1,"maio","May")</f>
        <v>May</v>
      </c>
      <c r="E299" s="1184">
        <v>1861</v>
      </c>
      <c r="F299" s="1184">
        <v>216</v>
      </c>
      <c r="G299" s="1184">
        <v>735</v>
      </c>
      <c r="H299" s="1184">
        <v>2812</v>
      </c>
      <c r="I299" s="1184">
        <v>1023</v>
      </c>
      <c r="J299" s="1090">
        <v>1969417.4999999998</v>
      </c>
      <c r="K299" s="1090">
        <v>246357.05999999997</v>
      </c>
      <c r="L299" s="1090">
        <v>355275.85</v>
      </c>
      <c r="M299" s="1090">
        <v>2571050.4099999997</v>
      </c>
      <c r="N299" s="1090">
        <v>1030219.37</v>
      </c>
      <c r="O299" s="1090">
        <v>1066.8</v>
      </c>
      <c r="P299" s="1090">
        <v>483.4</v>
      </c>
      <c r="X299" s="52"/>
      <c r="Y299" s="52"/>
      <c r="Z299" s="52"/>
      <c r="AA299" s="173"/>
    </row>
    <row r="300" spans="3:27" s="235" customFormat="1" hidden="1">
      <c r="C300" s="1128"/>
      <c r="D300" s="175" t="str">
        <f>IF(Indice_index!$Z$1=1,"junho","June")</f>
        <v>June</v>
      </c>
      <c r="E300" s="1184">
        <v>1365</v>
      </c>
      <c r="F300" s="1184">
        <v>384</v>
      </c>
      <c r="G300" s="1184">
        <v>741</v>
      </c>
      <c r="H300" s="1184">
        <v>2490</v>
      </c>
      <c r="I300" s="1184">
        <v>1059</v>
      </c>
      <c r="J300" s="1090">
        <v>1662954.27</v>
      </c>
      <c r="K300" s="1090">
        <v>419758.02999999997</v>
      </c>
      <c r="L300" s="1090">
        <v>355587.63999999996</v>
      </c>
      <c r="M300" s="1090">
        <v>2438299.94</v>
      </c>
      <c r="N300" s="1090">
        <v>1067108.72</v>
      </c>
      <c r="O300" s="1090">
        <v>1190.8</v>
      </c>
      <c r="P300" s="1090">
        <v>479.9</v>
      </c>
      <c r="X300" s="52"/>
      <c r="Y300" s="52"/>
      <c r="Z300" s="52"/>
      <c r="AA300" s="173"/>
    </row>
    <row r="301" spans="3:27" s="235" customFormat="1" hidden="1">
      <c r="C301" s="1128"/>
      <c r="D301" s="175" t="str">
        <f>IF(Indice_index!$Z$1=1,"julho","July")</f>
        <v>July</v>
      </c>
      <c r="E301" s="1184">
        <v>1213</v>
      </c>
      <c r="F301" s="1184">
        <v>164</v>
      </c>
      <c r="G301" s="1184">
        <v>517</v>
      </c>
      <c r="H301" s="1184">
        <v>1894</v>
      </c>
      <c r="I301" s="1184">
        <v>870</v>
      </c>
      <c r="J301" s="1090">
        <v>1340995.3999999999</v>
      </c>
      <c r="K301" s="1090">
        <v>188130.56</v>
      </c>
      <c r="L301" s="1090">
        <v>252965.25</v>
      </c>
      <c r="M301" s="1090">
        <v>1782091.21</v>
      </c>
      <c r="N301" s="1090">
        <v>901571.89</v>
      </c>
      <c r="O301" s="1090">
        <v>1110.5</v>
      </c>
      <c r="P301" s="1090">
        <v>489.3</v>
      </c>
      <c r="X301" s="52"/>
      <c r="Y301" s="52"/>
      <c r="Z301" s="52"/>
      <c r="AA301" s="173"/>
    </row>
    <row r="302" spans="3:27" s="235" customFormat="1" hidden="1">
      <c r="C302" s="1128"/>
      <c r="D302" s="175" t="str">
        <f>IF(Indice_index!$Z$1=1,"agosto","August")</f>
        <v>August</v>
      </c>
      <c r="E302" s="1184">
        <v>982</v>
      </c>
      <c r="F302" s="1184">
        <v>127</v>
      </c>
      <c r="G302" s="1184">
        <v>804</v>
      </c>
      <c r="H302" s="1184">
        <v>1913</v>
      </c>
      <c r="I302" s="1184">
        <v>888</v>
      </c>
      <c r="J302" s="1090">
        <v>1183488.18</v>
      </c>
      <c r="K302" s="1090">
        <v>160049.88999999998</v>
      </c>
      <c r="L302" s="1090">
        <v>403157.06999999995</v>
      </c>
      <c r="M302" s="1090">
        <v>1746695.1399999997</v>
      </c>
      <c r="N302" s="1090">
        <v>896681.29</v>
      </c>
      <c r="O302" s="1090">
        <v>1211.5</v>
      </c>
      <c r="P302" s="1090">
        <v>501.4</v>
      </c>
      <c r="X302" s="52"/>
      <c r="Y302" s="52"/>
      <c r="Z302" s="52"/>
      <c r="AA302" s="173"/>
    </row>
    <row r="303" spans="3:27" s="235" customFormat="1" hidden="1">
      <c r="C303" s="1128"/>
      <c r="D303" s="175" t="str">
        <f>IF(Indice_index!$Z$1=1,"setembro","September")</f>
        <v>September</v>
      </c>
      <c r="E303" s="1184">
        <v>917</v>
      </c>
      <c r="F303" s="1184">
        <v>109</v>
      </c>
      <c r="G303" s="1184">
        <v>593</v>
      </c>
      <c r="H303" s="1184">
        <v>1619</v>
      </c>
      <c r="I303" s="1184">
        <v>1070</v>
      </c>
      <c r="J303" s="1090">
        <v>1135377.3700000001</v>
      </c>
      <c r="K303" s="1090">
        <v>139130.28</v>
      </c>
      <c r="L303" s="1090">
        <v>308089.84000000003</v>
      </c>
      <c r="M303" s="1090">
        <v>1582597.49</v>
      </c>
      <c r="N303" s="1090">
        <v>1129850.44</v>
      </c>
      <c r="O303" s="1090">
        <v>1242.2</v>
      </c>
      <c r="P303" s="1090">
        <v>519.5</v>
      </c>
      <c r="X303" s="52"/>
      <c r="Y303" s="52"/>
      <c r="Z303" s="52"/>
      <c r="AA303" s="173"/>
    </row>
    <row r="304" spans="3:27" s="235" customFormat="1" hidden="1">
      <c r="C304" s="1128"/>
      <c r="D304" s="175" t="str">
        <f>IF(Indice_index!$Z$1=1,"outubro","October")</f>
        <v>October</v>
      </c>
      <c r="E304" s="1184">
        <v>1029</v>
      </c>
      <c r="F304" s="1184">
        <v>99</v>
      </c>
      <c r="G304" s="1184">
        <v>677</v>
      </c>
      <c r="H304" s="1184">
        <v>1805</v>
      </c>
      <c r="I304" s="1184">
        <v>841</v>
      </c>
      <c r="J304" s="1090">
        <v>1586106.08</v>
      </c>
      <c r="K304" s="1090">
        <v>125250.46</v>
      </c>
      <c r="L304" s="1090">
        <v>298338.21000000002</v>
      </c>
      <c r="M304" s="1090">
        <v>2009694.75</v>
      </c>
      <c r="N304" s="1090">
        <v>890517.06</v>
      </c>
      <c r="O304" s="1090">
        <v>1517.2</v>
      </c>
      <c r="P304" s="1090">
        <v>440.7</v>
      </c>
      <c r="X304" s="52"/>
      <c r="Y304" s="52"/>
      <c r="Z304" s="52"/>
      <c r="AA304" s="173"/>
    </row>
    <row r="305" spans="3:27" s="235" customFormat="1" hidden="1">
      <c r="C305" s="1128"/>
      <c r="D305" s="175" t="str">
        <f>IF(Indice_index!$Z$1=1,"novembro","November")</f>
        <v>November</v>
      </c>
      <c r="E305" s="1184">
        <v>2024</v>
      </c>
      <c r="F305" s="1184">
        <v>357</v>
      </c>
      <c r="G305" s="1184">
        <v>927</v>
      </c>
      <c r="H305" s="1184">
        <v>3308</v>
      </c>
      <c r="I305" s="1184">
        <v>899</v>
      </c>
      <c r="J305" s="1090">
        <v>3234310.3</v>
      </c>
      <c r="K305" s="1090">
        <v>451766.15</v>
      </c>
      <c r="L305" s="1090">
        <v>474381.68</v>
      </c>
      <c r="M305" s="1090">
        <v>4160458.13</v>
      </c>
      <c r="N305" s="1090">
        <v>973584.25</v>
      </c>
      <c r="O305" s="1090">
        <v>1548.1</v>
      </c>
      <c r="P305" s="1090">
        <v>511.7</v>
      </c>
      <c r="X305" s="52"/>
      <c r="Y305" s="52"/>
      <c r="Z305" s="52"/>
      <c r="AA305" s="173"/>
    </row>
    <row r="306" spans="3:27" s="235" customFormat="1" hidden="1">
      <c r="C306" s="1128"/>
      <c r="D306" s="175" t="str">
        <f>IF(Indice_index!$Z$1=1,"dezembro","December")</f>
        <v>December</v>
      </c>
      <c r="E306" s="1184">
        <v>1935</v>
      </c>
      <c r="F306" s="1184">
        <v>132</v>
      </c>
      <c r="G306" s="1184">
        <v>881</v>
      </c>
      <c r="H306" s="1184">
        <v>2948</v>
      </c>
      <c r="I306" s="1184">
        <v>911</v>
      </c>
      <c r="J306" s="1090">
        <v>3354755.0300000003</v>
      </c>
      <c r="K306" s="1090">
        <v>152507.60999999999</v>
      </c>
      <c r="L306" s="1090">
        <v>438256.88</v>
      </c>
      <c r="M306" s="1090">
        <v>3945519.52</v>
      </c>
      <c r="N306" s="1090">
        <v>919486.9</v>
      </c>
      <c r="O306" s="1090">
        <v>1696.8</v>
      </c>
      <c r="P306" s="1090">
        <v>497.5</v>
      </c>
      <c r="X306" s="52"/>
      <c r="Y306" s="52"/>
      <c r="Z306" s="52"/>
      <c r="AA306" s="173"/>
    </row>
    <row r="307" spans="3:27" s="235" customFormat="1" hidden="1">
      <c r="C307" s="1126" t="s">
        <v>17</v>
      </c>
      <c r="D307" s="174"/>
      <c r="E307" s="1184"/>
      <c r="F307" s="1184"/>
      <c r="G307" s="1184"/>
      <c r="H307" s="1184"/>
      <c r="I307" s="1184"/>
      <c r="J307" s="1090"/>
      <c r="K307" s="1090"/>
      <c r="L307" s="1090"/>
      <c r="M307" s="1090"/>
      <c r="N307" s="1090"/>
      <c r="O307" s="1090"/>
      <c r="P307" s="1090"/>
      <c r="X307" s="52"/>
      <c r="Y307" s="52"/>
      <c r="Z307" s="52"/>
      <c r="AA307" s="173"/>
    </row>
    <row r="308" spans="3:27" s="235" customFormat="1" hidden="1">
      <c r="C308" s="1128"/>
      <c r="D308" s="175" t="str">
        <f>IF(Indice_index!$Z$1=1,"janeiro","January")</f>
        <v>January</v>
      </c>
      <c r="E308" s="1184">
        <v>1562</v>
      </c>
      <c r="F308" s="1184">
        <v>298</v>
      </c>
      <c r="G308" s="1184">
        <v>580</v>
      </c>
      <c r="H308" s="1184">
        <v>2440</v>
      </c>
      <c r="I308" s="1184">
        <v>887</v>
      </c>
      <c r="J308" s="1090">
        <v>2144170.29</v>
      </c>
      <c r="K308" s="1090">
        <v>342562.81</v>
      </c>
      <c r="L308" s="1090">
        <v>264495.68</v>
      </c>
      <c r="M308" s="1090">
        <v>2751228.78</v>
      </c>
      <c r="N308" s="1090">
        <v>938329.29</v>
      </c>
      <c r="O308" s="1090">
        <v>1337</v>
      </c>
      <c r="P308" s="1090">
        <v>456</v>
      </c>
      <c r="X308" s="52"/>
      <c r="Y308" s="52"/>
      <c r="Z308" s="52"/>
      <c r="AA308" s="173"/>
    </row>
    <row r="309" spans="3:27" s="235" customFormat="1" hidden="1">
      <c r="C309" s="1128"/>
      <c r="D309" s="175" t="str">
        <f>IF(Indice_index!$Z$1=1,"fevereiro","February")</f>
        <v>February</v>
      </c>
      <c r="E309" s="1184">
        <v>1528</v>
      </c>
      <c r="F309" s="1184">
        <v>162</v>
      </c>
      <c r="G309" s="1184">
        <v>750</v>
      </c>
      <c r="H309" s="1184">
        <v>2440</v>
      </c>
      <c r="I309" s="1184">
        <v>1283</v>
      </c>
      <c r="J309" s="1090">
        <v>1757313.13</v>
      </c>
      <c r="K309" s="1090">
        <v>215035.99</v>
      </c>
      <c r="L309" s="1090">
        <v>377259.18</v>
      </c>
      <c r="M309" s="1090">
        <v>2349608.2999999998</v>
      </c>
      <c r="N309" s="1090">
        <v>1295736.5900000001</v>
      </c>
      <c r="O309" s="1090">
        <v>1167.0999999999999</v>
      </c>
      <c r="P309" s="1090">
        <v>503</v>
      </c>
      <c r="X309" s="52"/>
      <c r="Y309" s="52"/>
      <c r="Z309" s="52"/>
      <c r="AA309" s="173"/>
    </row>
    <row r="310" spans="3:27" s="235" customFormat="1" hidden="1">
      <c r="C310" s="1128"/>
      <c r="D310" s="175" t="str">
        <f>IF(Indice_index!$Z$1=1,"março","March")</f>
        <v>March</v>
      </c>
      <c r="E310" s="1184">
        <v>1569</v>
      </c>
      <c r="F310" s="1184">
        <v>77</v>
      </c>
      <c r="G310" s="1184">
        <v>813</v>
      </c>
      <c r="H310" s="1184">
        <v>2459</v>
      </c>
      <c r="I310" s="1184">
        <v>1102</v>
      </c>
      <c r="J310" s="1090">
        <v>1989226.2</v>
      </c>
      <c r="K310" s="1090">
        <v>95593.09</v>
      </c>
      <c r="L310" s="1090">
        <v>424644.21</v>
      </c>
      <c r="M310" s="1090">
        <v>2509463.5</v>
      </c>
      <c r="N310" s="1090">
        <v>1117527.6599999999</v>
      </c>
      <c r="O310" s="1090">
        <v>1266.5999999999999</v>
      </c>
      <c r="P310" s="1090">
        <v>522.29999999999995</v>
      </c>
      <c r="X310" s="52"/>
      <c r="Y310" s="52"/>
      <c r="Z310" s="52"/>
      <c r="AA310" s="173"/>
    </row>
    <row r="311" spans="3:27" s="235" customFormat="1" hidden="1">
      <c r="C311" s="1130"/>
      <c r="D311" s="175" t="str">
        <f>IF(Indice_index!$Z$1=1,"abril","April")</f>
        <v>April</v>
      </c>
      <c r="E311" s="1184">
        <v>1334</v>
      </c>
      <c r="F311" s="1184">
        <v>341</v>
      </c>
      <c r="G311" s="1184">
        <v>818</v>
      </c>
      <c r="H311" s="1184">
        <v>2493</v>
      </c>
      <c r="I311" s="1184">
        <v>1031</v>
      </c>
      <c r="J311" s="1090">
        <v>1739113.49</v>
      </c>
      <c r="K311" s="1090">
        <v>381846.29</v>
      </c>
      <c r="L311" s="1090">
        <v>407992.44</v>
      </c>
      <c r="M311" s="1090">
        <v>2528952.2200000002</v>
      </c>
      <c r="N311" s="1090">
        <v>1083317.72</v>
      </c>
      <c r="O311" s="1090">
        <v>1266.2</v>
      </c>
      <c r="P311" s="1090">
        <v>498.8</v>
      </c>
      <c r="X311" s="52"/>
      <c r="Y311" s="52"/>
      <c r="Z311" s="52"/>
      <c r="AA311" s="173"/>
    </row>
    <row r="312" spans="3:27" s="235" customFormat="1" hidden="1">
      <c r="C312" s="1130"/>
      <c r="D312" s="175" t="str">
        <f>IF(Indice_index!$Z$1=1,"maio","May")</f>
        <v>May</v>
      </c>
      <c r="E312" s="1184">
        <v>1569</v>
      </c>
      <c r="F312" s="1184">
        <v>126</v>
      </c>
      <c r="G312" s="1184">
        <v>646</v>
      </c>
      <c r="H312" s="1184">
        <v>2341</v>
      </c>
      <c r="I312" s="1184">
        <v>921</v>
      </c>
      <c r="J312" s="1090">
        <v>1984561.34</v>
      </c>
      <c r="K312" s="1090">
        <v>142609.82</v>
      </c>
      <c r="L312" s="1090">
        <v>314798.21999999997</v>
      </c>
      <c r="M312" s="1090">
        <v>2441969.38</v>
      </c>
      <c r="N312" s="1090">
        <v>990536</v>
      </c>
      <c r="O312" s="1090">
        <v>1255</v>
      </c>
      <c r="P312" s="1090">
        <v>487.3</v>
      </c>
      <c r="X312" s="52"/>
      <c r="Y312" s="52"/>
      <c r="Z312" s="52"/>
      <c r="AA312" s="173"/>
    </row>
    <row r="313" spans="3:27" s="235" customFormat="1" hidden="1">
      <c r="C313" s="1130"/>
      <c r="D313" s="175" t="str">
        <f>IF(Indice_index!$Z$1=1,"junho","June")</f>
        <v>June</v>
      </c>
      <c r="E313" s="1184">
        <v>1552</v>
      </c>
      <c r="F313" s="1184">
        <v>186</v>
      </c>
      <c r="G313" s="1184">
        <v>759</v>
      </c>
      <c r="H313" s="1184">
        <v>2497</v>
      </c>
      <c r="I313" s="1184">
        <v>1019</v>
      </c>
      <c r="J313" s="1090">
        <v>1832568.78</v>
      </c>
      <c r="K313" s="1090">
        <v>213884.45</v>
      </c>
      <c r="L313" s="1090">
        <v>378716.78</v>
      </c>
      <c r="M313" s="1090">
        <v>2425170.0099999998</v>
      </c>
      <c r="N313" s="1090">
        <v>1050314.4099999999</v>
      </c>
      <c r="O313" s="1090">
        <v>1177.5</v>
      </c>
      <c r="P313" s="1090">
        <v>499</v>
      </c>
      <c r="X313" s="52"/>
      <c r="Y313" s="52"/>
      <c r="Z313" s="52"/>
      <c r="AA313" s="173"/>
    </row>
    <row r="314" spans="3:27" s="235" customFormat="1" hidden="1">
      <c r="C314" s="1130"/>
      <c r="D314" s="175" t="str">
        <f>IF(Indice_index!$Z$1=1,"julho","July")</f>
        <v>July</v>
      </c>
      <c r="E314" s="1184">
        <v>1796</v>
      </c>
      <c r="F314" s="1184">
        <v>87</v>
      </c>
      <c r="G314" s="1184">
        <v>13138</v>
      </c>
      <c r="H314" s="1184">
        <v>15021</v>
      </c>
      <c r="I314" s="1184">
        <v>853</v>
      </c>
      <c r="J314" s="1090">
        <v>1927040.2400000002</v>
      </c>
      <c r="K314" s="1090">
        <v>86949.419999999984</v>
      </c>
      <c r="L314" s="1090">
        <v>2496857.39</v>
      </c>
      <c r="M314" s="1090">
        <v>4510847.0500000007</v>
      </c>
      <c r="N314" s="1090">
        <v>877658.51</v>
      </c>
      <c r="O314" s="1090">
        <v>1069.5999999999999</v>
      </c>
      <c r="P314" s="1090">
        <v>190</v>
      </c>
      <c r="X314" s="52"/>
      <c r="Y314" s="52"/>
      <c r="Z314" s="52"/>
      <c r="AA314" s="173"/>
    </row>
    <row r="315" spans="3:27" s="235" customFormat="1" hidden="1">
      <c r="C315" s="1130"/>
      <c r="D315" s="175" t="str">
        <f>IF(Indice_index!$Z$1=1,"agosto","August")</f>
        <v>August</v>
      </c>
      <c r="E315" s="1184">
        <v>2800</v>
      </c>
      <c r="F315" s="1184">
        <v>285</v>
      </c>
      <c r="G315" s="1184">
        <v>796</v>
      </c>
      <c r="H315" s="1184">
        <v>3881</v>
      </c>
      <c r="I315" s="1184">
        <v>911</v>
      </c>
      <c r="J315" s="1090">
        <v>1784574.77</v>
      </c>
      <c r="K315" s="1090">
        <v>279773.2</v>
      </c>
      <c r="L315" s="1090">
        <v>415378.73</v>
      </c>
      <c r="M315" s="1090">
        <v>2479726.7000000002</v>
      </c>
      <c r="N315" s="1090">
        <v>971128.11</v>
      </c>
      <c r="O315" s="1090">
        <v>669.2</v>
      </c>
      <c r="P315" s="1090">
        <v>521.79999999999995</v>
      </c>
      <c r="X315" s="52"/>
      <c r="Y315" s="52"/>
      <c r="Z315" s="52"/>
      <c r="AA315" s="173"/>
    </row>
    <row r="316" spans="3:27" s="235" customFormat="1" hidden="1">
      <c r="C316" s="1130"/>
      <c r="D316" s="175" t="str">
        <f>IF(Indice_index!$Z$1=1,"setembro","September")</f>
        <v>September</v>
      </c>
      <c r="E316" s="1184">
        <v>2469</v>
      </c>
      <c r="F316" s="1184">
        <v>270</v>
      </c>
      <c r="G316" s="1184">
        <v>566</v>
      </c>
      <c r="H316" s="1184">
        <v>3305</v>
      </c>
      <c r="I316" s="1184">
        <v>887</v>
      </c>
      <c r="J316" s="1090">
        <v>1750249.17</v>
      </c>
      <c r="K316" s="1090">
        <v>269596.73</v>
      </c>
      <c r="L316" s="1090">
        <v>279032.69</v>
      </c>
      <c r="M316" s="1090">
        <v>2298878.59</v>
      </c>
      <c r="N316" s="1090">
        <v>910999.21</v>
      </c>
      <c r="O316" s="1090">
        <v>737.4</v>
      </c>
      <c r="P316" s="1090">
        <v>493</v>
      </c>
      <c r="X316" s="52"/>
      <c r="Y316" s="52"/>
      <c r="Z316" s="52"/>
      <c r="AA316" s="173"/>
    </row>
    <row r="317" spans="3:27" s="235" customFormat="1" hidden="1">
      <c r="C317" s="1130"/>
      <c r="D317" s="175" t="str">
        <f>IF(Indice_index!$Z$1=1,"outubro","October")</f>
        <v>October</v>
      </c>
      <c r="E317" s="1184">
        <v>1613</v>
      </c>
      <c r="F317" s="1184">
        <v>100</v>
      </c>
      <c r="G317" s="1184">
        <v>849</v>
      </c>
      <c r="H317" s="1184">
        <v>2562</v>
      </c>
      <c r="I317" s="1184">
        <v>899</v>
      </c>
      <c r="J317" s="1090">
        <v>1797338.73</v>
      </c>
      <c r="K317" s="1090">
        <v>107549.74</v>
      </c>
      <c r="L317" s="1090">
        <v>415703.82</v>
      </c>
      <c r="M317" s="1090">
        <v>2320592.29</v>
      </c>
      <c r="N317" s="1090">
        <v>936966.85</v>
      </c>
      <c r="O317" s="1090">
        <v>1112</v>
      </c>
      <c r="P317" s="1090">
        <v>489</v>
      </c>
      <c r="X317" s="52"/>
      <c r="Y317" s="52"/>
      <c r="Z317" s="52"/>
      <c r="AA317" s="173"/>
    </row>
    <row r="318" spans="3:27" s="235" customFormat="1" hidden="1">
      <c r="C318" s="1130"/>
      <c r="D318" s="175" t="str">
        <f>IF(Indice_index!$Z$1=1,"novembro","November")</f>
        <v>November</v>
      </c>
      <c r="E318" s="1184">
        <v>1796</v>
      </c>
      <c r="F318" s="1184">
        <v>142</v>
      </c>
      <c r="G318" s="1184">
        <v>834</v>
      </c>
      <c r="H318" s="1184">
        <v>2772</v>
      </c>
      <c r="I318" s="1184">
        <v>1014</v>
      </c>
      <c r="J318" s="1090">
        <v>2281320.89</v>
      </c>
      <c r="K318" s="1090">
        <v>136727.79</v>
      </c>
      <c r="L318" s="1090">
        <v>409322.86</v>
      </c>
      <c r="M318" s="1090">
        <v>2827371.54</v>
      </c>
      <c r="N318" s="1090">
        <v>1047371.52</v>
      </c>
      <c r="O318" s="1090">
        <v>1247.7</v>
      </c>
      <c r="P318" s="1090">
        <v>490.8</v>
      </c>
      <c r="X318" s="52"/>
      <c r="Y318" s="52"/>
      <c r="Z318" s="52"/>
      <c r="AA318" s="173"/>
    </row>
    <row r="319" spans="3:27" s="235" customFormat="1" hidden="1">
      <c r="C319" s="1130"/>
      <c r="D319" s="175" t="str">
        <f>IF(Indice_index!$Z$1=1,"dezembro","December")</f>
        <v>December</v>
      </c>
      <c r="E319" s="1184">
        <v>1523</v>
      </c>
      <c r="F319" s="1184">
        <v>115</v>
      </c>
      <c r="G319" s="1184">
        <v>677</v>
      </c>
      <c r="H319" s="1184">
        <v>2315</v>
      </c>
      <c r="I319" s="1184">
        <v>936</v>
      </c>
      <c r="J319" s="1090">
        <v>1839898.4</v>
      </c>
      <c r="K319" s="1090">
        <v>100441.60000000001</v>
      </c>
      <c r="L319" s="1090">
        <v>334836.89</v>
      </c>
      <c r="M319" s="1090">
        <v>2275176.89</v>
      </c>
      <c r="N319" s="1090">
        <v>1000387.68</v>
      </c>
      <c r="O319" s="1090">
        <v>1184.5999999999999</v>
      </c>
      <c r="P319" s="1090">
        <v>494.6</v>
      </c>
      <c r="X319" s="52"/>
      <c r="Y319" s="52"/>
      <c r="Z319" s="52"/>
      <c r="AA319" s="173"/>
    </row>
    <row r="320" spans="3:27" s="235" customFormat="1" hidden="1">
      <c r="C320" s="1129">
        <v>2015</v>
      </c>
      <c r="D320" s="174"/>
      <c r="E320" s="1184"/>
      <c r="F320" s="1184"/>
      <c r="G320" s="1184"/>
      <c r="H320" s="1184"/>
      <c r="I320" s="1184"/>
      <c r="J320" s="1090"/>
      <c r="K320" s="1090"/>
      <c r="L320" s="1090"/>
      <c r="M320" s="1090"/>
      <c r="N320" s="1090"/>
      <c r="O320" s="1090"/>
      <c r="P320" s="1090"/>
      <c r="X320" s="52"/>
      <c r="Y320" s="52"/>
      <c r="Z320" s="52"/>
      <c r="AA320" s="173"/>
    </row>
    <row r="321" spans="3:27" s="235" customFormat="1" ht="11.25" hidden="1">
      <c r="C321" s="1130"/>
      <c r="D321" s="175" t="str">
        <f>IF(Indice_index!$Z$1=1,"janeiro","January")</f>
        <v>January</v>
      </c>
      <c r="E321" s="1184">
        <v>1770</v>
      </c>
      <c r="F321" s="1184">
        <v>136</v>
      </c>
      <c r="G321" s="1184">
        <v>606</v>
      </c>
      <c r="H321" s="1184">
        <v>2512</v>
      </c>
      <c r="I321" s="1184">
        <v>921</v>
      </c>
      <c r="J321" s="1090">
        <v>2407139.7599999998</v>
      </c>
      <c r="K321" s="1090">
        <v>109758.61</v>
      </c>
      <c r="L321" s="1090">
        <v>299494.09999999998</v>
      </c>
      <c r="M321" s="1090">
        <v>2816392.47</v>
      </c>
      <c r="N321" s="1090">
        <v>975542.06</v>
      </c>
      <c r="O321" s="1090">
        <v>1320.5</v>
      </c>
      <c r="P321" s="1090">
        <v>494.2</v>
      </c>
    </row>
    <row r="322" spans="3:27" s="235" customFormat="1" hidden="1">
      <c r="C322" s="1130"/>
      <c r="D322" s="175" t="str">
        <f>IF(Indice_index!$Z$1=1,"fevereiro","February")</f>
        <v>February</v>
      </c>
      <c r="E322" s="1184">
        <v>1711</v>
      </c>
      <c r="F322" s="1184">
        <v>94</v>
      </c>
      <c r="G322" s="1184">
        <v>532</v>
      </c>
      <c r="H322" s="1184">
        <v>2337</v>
      </c>
      <c r="I322" s="1184">
        <v>1226</v>
      </c>
      <c r="J322" s="1090">
        <v>2130496.8199999998</v>
      </c>
      <c r="K322" s="1090">
        <v>96635.839999999997</v>
      </c>
      <c r="L322" s="1090">
        <v>306687.09000000003</v>
      </c>
      <c r="M322" s="1090">
        <v>2533819.75</v>
      </c>
      <c r="N322" s="1090">
        <v>1273588.1499999999</v>
      </c>
      <c r="O322" s="1090">
        <v>1233.9000000000001</v>
      </c>
      <c r="P322" s="1090">
        <v>576.5</v>
      </c>
      <c r="X322" s="52"/>
      <c r="Y322" s="52"/>
      <c r="Z322" s="52"/>
      <c r="AA322" s="173"/>
    </row>
    <row r="323" spans="3:27" s="235" customFormat="1" hidden="1">
      <c r="C323" s="1130"/>
      <c r="D323" s="175" t="str">
        <f>IF(Indice_index!$Z$1=1,"março","March")</f>
        <v>March</v>
      </c>
      <c r="E323" s="1184">
        <v>1863</v>
      </c>
      <c r="F323" s="1184">
        <v>118</v>
      </c>
      <c r="G323" s="1184">
        <v>710</v>
      </c>
      <c r="H323" s="1184">
        <v>2691</v>
      </c>
      <c r="I323" s="1184">
        <v>1438</v>
      </c>
      <c r="J323" s="1090">
        <v>2491570.5099999998</v>
      </c>
      <c r="K323" s="1090">
        <v>123472.14</v>
      </c>
      <c r="L323" s="1090">
        <v>377539.71</v>
      </c>
      <c r="M323" s="1090">
        <v>2992582.36</v>
      </c>
      <c r="N323" s="1090">
        <v>1483538.72</v>
      </c>
      <c r="O323" s="1090">
        <v>1320.1</v>
      </c>
      <c r="P323" s="1090">
        <v>531.70000000000005</v>
      </c>
      <c r="X323" s="52"/>
      <c r="Y323" s="52"/>
      <c r="Z323" s="52"/>
      <c r="AA323" s="173"/>
    </row>
    <row r="324" spans="3:27" s="235" customFormat="1" hidden="1">
      <c r="C324" s="1130"/>
      <c r="D324" s="175" t="str">
        <f>IF(Indice_index!$Z$1=1,"abril","April")</f>
        <v>April</v>
      </c>
      <c r="E324" s="1184">
        <v>1442</v>
      </c>
      <c r="F324" s="1184">
        <v>218</v>
      </c>
      <c r="G324" s="1184">
        <v>952</v>
      </c>
      <c r="H324" s="1184">
        <v>2612</v>
      </c>
      <c r="I324" s="1184">
        <v>1325</v>
      </c>
      <c r="J324" s="1090">
        <v>1870266.71</v>
      </c>
      <c r="K324" s="1090">
        <v>207453.98</v>
      </c>
      <c r="L324" s="1090">
        <v>493357.47</v>
      </c>
      <c r="M324" s="1090">
        <v>2571078.16</v>
      </c>
      <c r="N324" s="1090">
        <v>1329636.56</v>
      </c>
      <c r="O324" s="1090">
        <v>1251.5999999999999</v>
      </c>
      <c r="P324" s="1090">
        <v>518.20000000000005</v>
      </c>
      <c r="X324" s="52"/>
      <c r="Y324" s="52"/>
      <c r="Z324" s="52"/>
      <c r="AA324" s="173"/>
    </row>
    <row r="325" spans="3:27" s="235" customFormat="1" hidden="1">
      <c r="C325" s="1130"/>
      <c r="D325" s="175" t="str">
        <f>IF(Indice_index!$Z$1=1,"maio","May")</f>
        <v>May</v>
      </c>
      <c r="E325" s="1184">
        <v>1389</v>
      </c>
      <c r="F325" s="1184">
        <v>135</v>
      </c>
      <c r="G325" s="1184">
        <v>2741</v>
      </c>
      <c r="H325" s="1184">
        <v>4265</v>
      </c>
      <c r="I325" s="1184">
        <v>1072</v>
      </c>
      <c r="J325" s="1090">
        <v>1490666.5</v>
      </c>
      <c r="K325" s="1090">
        <v>128359.52</v>
      </c>
      <c r="L325" s="1090">
        <v>646844.06000000006</v>
      </c>
      <c r="M325" s="1090">
        <v>2265870.08</v>
      </c>
      <c r="N325" s="1090">
        <v>1111609.3999999999</v>
      </c>
      <c r="O325" s="1090">
        <v>1062.4000000000001</v>
      </c>
      <c r="P325" s="1090">
        <v>236</v>
      </c>
      <c r="X325" s="52"/>
      <c r="Y325" s="52"/>
      <c r="Z325" s="52"/>
      <c r="AA325" s="173"/>
    </row>
    <row r="326" spans="3:27" s="235" customFormat="1" hidden="1">
      <c r="C326" s="1130"/>
      <c r="D326" s="175" t="str">
        <f>IF(Indice_index!$Z$1=1,"junho","June")</f>
        <v>June</v>
      </c>
      <c r="E326" s="1184">
        <v>1220</v>
      </c>
      <c r="F326" s="1184">
        <v>183</v>
      </c>
      <c r="G326" s="1184">
        <v>728</v>
      </c>
      <c r="H326" s="1184">
        <v>2131</v>
      </c>
      <c r="I326" s="1184">
        <v>953</v>
      </c>
      <c r="J326" s="1090">
        <v>1122638.95</v>
      </c>
      <c r="K326" s="1090">
        <v>154324.73000000001</v>
      </c>
      <c r="L326" s="1090">
        <v>340523.99</v>
      </c>
      <c r="M326" s="1090">
        <v>1617487.67</v>
      </c>
      <c r="N326" s="1090">
        <v>979034.81</v>
      </c>
      <c r="O326" s="1090">
        <v>910.2</v>
      </c>
      <c r="P326" s="1090">
        <v>467.8</v>
      </c>
      <c r="X326" s="52"/>
      <c r="Y326" s="52"/>
      <c r="Z326" s="52"/>
      <c r="AA326" s="173"/>
    </row>
    <row r="327" spans="3:27" s="235" customFormat="1" hidden="1">
      <c r="C327" s="1130"/>
      <c r="D327" s="175" t="str">
        <f>IF(Indice_index!$Z$1=1,"julho","July")</f>
        <v>July</v>
      </c>
      <c r="E327" s="1184">
        <v>665</v>
      </c>
      <c r="F327" s="1184">
        <v>150</v>
      </c>
      <c r="G327" s="1184">
        <v>802</v>
      </c>
      <c r="H327" s="1184">
        <v>1617</v>
      </c>
      <c r="I327" s="1184">
        <v>946</v>
      </c>
      <c r="J327" s="1090">
        <v>799815.27</v>
      </c>
      <c r="K327" s="1090">
        <v>164683.47</v>
      </c>
      <c r="L327" s="1090">
        <v>381132.69</v>
      </c>
      <c r="M327" s="1090">
        <v>1345631.43</v>
      </c>
      <c r="N327" s="1090">
        <v>982409.2</v>
      </c>
      <c r="O327" s="1090">
        <v>1183.4000000000001</v>
      </c>
      <c r="P327" s="1090">
        <v>475.2</v>
      </c>
      <c r="X327" s="52"/>
      <c r="Y327" s="52"/>
      <c r="Z327" s="52"/>
      <c r="AA327" s="173"/>
    </row>
    <row r="328" spans="3:27" s="235" customFormat="1" hidden="1">
      <c r="C328" s="1130"/>
      <c r="D328" s="175" t="str">
        <f>IF(Indice_index!$Z$1=1,"agosto","August")</f>
        <v>August</v>
      </c>
      <c r="E328" s="1184">
        <v>1267</v>
      </c>
      <c r="F328" s="1184">
        <v>180</v>
      </c>
      <c r="G328" s="1184">
        <v>763</v>
      </c>
      <c r="H328" s="1184">
        <v>2210</v>
      </c>
      <c r="I328" s="1184">
        <v>983</v>
      </c>
      <c r="J328" s="1090">
        <v>729279.21</v>
      </c>
      <c r="K328" s="1090">
        <v>227538.68</v>
      </c>
      <c r="L328" s="1090">
        <v>369190.44</v>
      </c>
      <c r="M328" s="1090">
        <v>1326008.33</v>
      </c>
      <c r="N328" s="1090">
        <v>992158.48</v>
      </c>
      <c r="O328" s="1090">
        <v>661.2</v>
      </c>
      <c r="P328" s="1090">
        <v>483.9</v>
      </c>
      <c r="X328" s="52"/>
      <c r="Y328" s="52"/>
      <c r="Z328" s="52"/>
      <c r="AA328" s="173"/>
    </row>
    <row r="329" spans="3:27" s="235" customFormat="1" hidden="1">
      <c r="C329" s="1130"/>
      <c r="D329" s="175" t="str">
        <f>IF(Indice_index!$Z$1=1,"setembro","September")</f>
        <v>September</v>
      </c>
      <c r="E329" s="1184">
        <v>967</v>
      </c>
      <c r="F329" s="1184">
        <v>184</v>
      </c>
      <c r="G329" s="1184">
        <v>748</v>
      </c>
      <c r="H329" s="1184">
        <v>1899</v>
      </c>
      <c r="I329" s="1184">
        <v>953</v>
      </c>
      <c r="J329" s="1090">
        <v>1047387.66</v>
      </c>
      <c r="K329" s="1090">
        <v>182236.75</v>
      </c>
      <c r="L329" s="1090">
        <v>397882.89</v>
      </c>
      <c r="M329" s="1090">
        <v>1627507.3000000003</v>
      </c>
      <c r="N329" s="1090">
        <v>1040644.97</v>
      </c>
      <c r="O329" s="1090">
        <v>1068.3</v>
      </c>
      <c r="P329" s="1090">
        <v>531.9</v>
      </c>
      <c r="X329" s="52"/>
      <c r="Y329" s="52"/>
      <c r="Z329" s="52"/>
      <c r="AA329" s="173"/>
    </row>
    <row r="330" spans="3:27" s="235" customFormat="1" hidden="1">
      <c r="C330" s="1130"/>
      <c r="D330" s="175" t="str">
        <f>IF(Indice_index!$Z$1=1,"outubro","October")</f>
        <v>October</v>
      </c>
      <c r="E330" s="1184">
        <v>788</v>
      </c>
      <c r="F330" s="1184">
        <v>158</v>
      </c>
      <c r="G330" s="1184">
        <v>547</v>
      </c>
      <c r="H330" s="1184">
        <v>1493</v>
      </c>
      <c r="I330" s="1184">
        <v>909</v>
      </c>
      <c r="J330" s="1090">
        <v>718601.03</v>
      </c>
      <c r="K330" s="1090">
        <v>195071.44</v>
      </c>
      <c r="L330" s="1090">
        <v>275368.63</v>
      </c>
      <c r="M330" s="1090">
        <v>1189041.1000000001</v>
      </c>
      <c r="N330" s="1090">
        <v>914422.88</v>
      </c>
      <c r="O330" s="1090">
        <v>965.8</v>
      </c>
      <c r="P330" s="1090">
        <v>503.4</v>
      </c>
      <c r="X330" s="52"/>
      <c r="Y330" s="52"/>
      <c r="Z330" s="52"/>
      <c r="AA330" s="173"/>
    </row>
    <row r="331" spans="3:27" s="235" customFormat="1" hidden="1">
      <c r="C331" s="1130"/>
      <c r="D331" s="175" t="str">
        <f>IF(Indice_index!$Z$1=1,"novembro","November")</f>
        <v>November</v>
      </c>
      <c r="E331" s="1184">
        <v>646</v>
      </c>
      <c r="F331" s="1184">
        <v>82</v>
      </c>
      <c r="G331" s="1184">
        <v>767</v>
      </c>
      <c r="H331" s="1184">
        <v>1495</v>
      </c>
      <c r="I331" s="1184">
        <v>974</v>
      </c>
      <c r="J331" s="1090">
        <v>678062.34</v>
      </c>
      <c r="K331" s="1090">
        <v>78490.509999999995</v>
      </c>
      <c r="L331" s="1090">
        <v>407768.24</v>
      </c>
      <c r="M331" s="1090">
        <v>1164321.0900000001</v>
      </c>
      <c r="N331" s="1090">
        <v>1016231.87</v>
      </c>
      <c r="O331" s="1090">
        <v>1039.2</v>
      </c>
      <c r="P331" s="1090">
        <v>531.6</v>
      </c>
      <c r="X331" s="52"/>
      <c r="Y331" s="52"/>
      <c r="Z331" s="52"/>
      <c r="AA331" s="173"/>
    </row>
    <row r="332" spans="3:27" s="235" customFormat="1" hidden="1">
      <c r="C332" s="1130"/>
      <c r="D332" s="175" t="str">
        <f>IF(Indice_index!$Z$1=1,"dezembro","December")</f>
        <v>December</v>
      </c>
      <c r="E332" s="1184">
        <v>647</v>
      </c>
      <c r="F332" s="1184">
        <v>185</v>
      </c>
      <c r="G332" s="1184">
        <v>719</v>
      </c>
      <c r="H332" s="1184">
        <v>1551</v>
      </c>
      <c r="I332" s="1184">
        <v>935</v>
      </c>
      <c r="J332" s="1090">
        <v>645465.87</v>
      </c>
      <c r="K332" s="1090">
        <v>219634.42</v>
      </c>
      <c r="L332" s="1090">
        <v>340514.09</v>
      </c>
      <c r="M332" s="1090">
        <v>1205614.3799999999</v>
      </c>
      <c r="N332" s="1090">
        <v>983801.21</v>
      </c>
      <c r="O332" s="1090">
        <v>1039.8</v>
      </c>
      <c r="P332" s="1090">
        <v>473.6</v>
      </c>
      <c r="X332" s="52"/>
      <c r="Y332" s="52"/>
      <c r="Z332" s="52"/>
      <c r="AA332" s="173"/>
    </row>
    <row r="333" spans="3:27" s="235" customFormat="1" hidden="1">
      <c r="C333" s="306">
        <v>2016</v>
      </c>
      <c r="D333" s="174"/>
      <c r="E333" s="1184"/>
      <c r="F333" s="1184"/>
      <c r="G333" s="1184"/>
      <c r="H333" s="1184"/>
      <c r="I333" s="1184"/>
      <c r="J333" s="1090"/>
      <c r="K333" s="1090"/>
      <c r="L333" s="1090"/>
      <c r="M333" s="1090"/>
      <c r="N333" s="1090"/>
      <c r="O333" s="1090"/>
      <c r="P333" s="1090"/>
      <c r="X333" s="52"/>
      <c r="Y333" s="52"/>
      <c r="Z333" s="52"/>
      <c r="AA333" s="173"/>
    </row>
    <row r="334" spans="3:27" s="235" customFormat="1" hidden="1">
      <c r="C334" s="1130"/>
      <c r="D334" s="175" t="str">
        <f>IF(Indice_index!$Z$1=1,"janeiro","January")</f>
        <v>January</v>
      </c>
      <c r="E334" s="1184">
        <v>581</v>
      </c>
      <c r="F334" s="1184">
        <v>114</v>
      </c>
      <c r="G334" s="1184">
        <v>551</v>
      </c>
      <c r="H334" s="1184">
        <v>1246</v>
      </c>
      <c r="I334" s="1184">
        <v>898</v>
      </c>
      <c r="J334" s="1090">
        <v>556067.03</v>
      </c>
      <c r="K334" s="1090">
        <v>121174.09</v>
      </c>
      <c r="L334" s="1090">
        <v>286234.01</v>
      </c>
      <c r="M334" s="1090">
        <v>963475.13</v>
      </c>
      <c r="N334" s="1090">
        <v>965165.38</v>
      </c>
      <c r="O334" s="1090">
        <v>974.4</v>
      </c>
      <c r="P334" s="1090">
        <v>519.5</v>
      </c>
      <c r="X334" s="52"/>
      <c r="Y334" s="52"/>
      <c r="Z334" s="52"/>
      <c r="AA334" s="173"/>
    </row>
    <row r="335" spans="3:27" s="235" customFormat="1" hidden="1">
      <c r="C335" s="1130"/>
      <c r="D335" s="175" t="str">
        <f>IF(Indice_index!$Z$1=1,"fevereiro","February")</f>
        <v>February</v>
      </c>
      <c r="E335" s="1184">
        <v>608</v>
      </c>
      <c r="F335" s="1184">
        <v>81</v>
      </c>
      <c r="G335" s="1184">
        <v>608</v>
      </c>
      <c r="H335" s="1184">
        <v>1297</v>
      </c>
      <c r="I335" s="1184">
        <v>1117</v>
      </c>
      <c r="J335" s="1090">
        <v>577088.16</v>
      </c>
      <c r="K335" s="1090">
        <v>93877.26</v>
      </c>
      <c r="L335" s="1090">
        <v>298416.71999999997</v>
      </c>
      <c r="M335" s="1090">
        <v>969381.14</v>
      </c>
      <c r="N335" s="1090">
        <v>1166900.32</v>
      </c>
      <c r="O335" s="1090">
        <v>973.8</v>
      </c>
      <c r="P335" s="1090">
        <v>490.8</v>
      </c>
      <c r="X335" s="52"/>
      <c r="Y335" s="52"/>
      <c r="Z335" s="52"/>
      <c r="AA335" s="173"/>
    </row>
    <row r="336" spans="3:27" s="235" customFormat="1" hidden="1">
      <c r="C336" s="1130"/>
      <c r="D336" s="175" t="str">
        <f>IF(Indice_index!$Z$1=1,"março","March")</f>
        <v>March</v>
      </c>
      <c r="E336" s="1184">
        <v>743</v>
      </c>
      <c r="F336" s="1184">
        <v>142</v>
      </c>
      <c r="G336" s="1184">
        <v>663</v>
      </c>
      <c r="H336" s="1184">
        <v>1548</v>
      </c>
      <c r="I336" s="1184">
        <v>1172</v>
      </c>
      <c r="J336" s="1090">
        <v>757732.41</v>
      </c>
      <c r="K336" s="1090">
        <v>164022.62</v>
      </c>
      <c r="L336" s="1090">
        <v>348417.45</v>
      </c>
      <c r="M336" s="1090">
        <v>1270172.48</v>
      </c>
      <c r="N336" s="1090">
        <v>1212648.3999999999</v>
      </c>
      <c r="O336" s="1090">
        <v>1041.5</v>
      </c>
      <c r="P336" s="1090">
        <v>525.5</v>
      </c>
      <c r="X336" s="52"/>
      <c r="Y336" s="52"/>
      <c r="Z336" s="52"/>
      <c r="AA336" s="173"/>
    </row>
    <row r="337" spans="3:29" s="235" customFormat="1" hidden="1">
      <c r="C337" s="1130"/>
      <c r="D337" s="175" t="str">
        <f>IF(Indice_index!$Z$1=1,"abril","April")</f>
        <v>April</v>
      </c>
      <c r="E337" s="1184">
        <v>796</v>
      </c>
      <c r="F337" s="1184">
        <v>145</v>
      </c>
      <c r="G337" s="1184">
        <v>810</v>
      </c>
      <c r="H337" s="1184">
        <v>1751</v>
      </c>
      <c r="I337" s="1184">
        <v>1163</v>
      </c>
      <c r="J337" s="1090">
        <v>709955.13</v>
      </c>
      <c r="K337" s="1090">
        <v>144923.67000000001</v>
      </c>
      <c r="L337" s="1090">
        <v>423348.57</v>
      </c>
      <c r="M337" s="1090">
        <v>1278227.3700000001</v>
      </c>
      <c r="N337" s="1090">
        <v>1280346.29</v>
      </c>
      <c r="O337" s="1090">
        <v>908.4</v>
      </c>
      <c r="P337" s="1090">
        <v>522.70000000000005</v>
      </c>
      <c r="X337" s="52"/>
      <c r="Y337" s="52"/>
      <c r="Z337" s="52"/>
      <c r="AA337" s="173"/>
    </row>
    <row r="338" spans="3:29" s="235" customFormat="1" hidden="1">
      <c r="C338" s="1130"/>
      <c r="D338" s="175" t="str">
        <f>IF(Indice_index!$Z$1=1,"maio","May")</f>
        <v>May</v>
      </c>
      <c r="E338" s="1184">
        <v>540</v>
      </c>
      <c r="F338" s="1184">
        <v>127</v>
      </c>
      <c r="G338" s="1184">
        <v>707</v>
      </c>
      <c r="H338" s="1184">
        <v>1374</v>
      </c>
      <c r="I338" s="1184">
        <v>1143</v>
      </c>
      <c r="J338" s="1090">
        <v>447117.33</v>
      </c>
      <c r="K338" s="1090">
        <v>130857.16</v>
      </c>
      <c r="L338" s="1090">
        <v>347806.21</v>
      </c>
      <c r="M338" s="1090">
        <v>925780.7</v>
      </c>
      <c r="N338" s="1090">
        <v>1225053.6299999999</v>
      </c>
      <c r="O338" s="1090">
        <v>866.5</v>
      </c>
      <c r="P338" s="1090">
        <v>491.9</v>
      </c>
      <c r="X338" s="52"/>
      <c r="Y338" s="52"/>
      <c r="Z338" s="52"/>
      <c r="AA338" s="173"/>
    </row>
    <row r="339" spans="3:29" s="235" customFormat="1" hidden="1">
      <c r="C339" s="1130"/>
      <c r="D339" s="175" t="str">
        <f>IF(Indice_index!$Z$1=1,"junho","June")</f>
        <v>June</v>
      </c>
      <c r="E339" s="1184">
        <v>602</v>
      </c>
      <c r="F339" s="1184">
        <v>151</v>
      </c>
      <c r="G339" s="1184">
        <v>906</v>
      </c>
      <c r="H339" s="1185">
        <v>1659</v>
      </c>
      <c r="I339" s="1184">
        <v>1092</v>
      </c>
      <c r="J339" s="1090">
        <v>463727.65</v>
      </c>
      <c r="K339" s="1090">
        <v>137148.81</v>
      </c>
      <c r="L339" s="1090">
        <v>458482.88</v>
      </c>
      <c r="M339" s="1186">
        <v>1059359.3400000001</v>
      </c>
      <c r="N339" s="1090">
        <v>1125006.02</v>
      </c>
      <c r="O339" s="235">
        <v>798</v>
      </c>
      <c r="P339" s="235">
        <v>506.1</v>
      </c>
      <c r="X339" s="52"/>
      <c r="Y339" s="52"/>
      <c r="Z339" s="52"/>
      <c r="AA339" s="173"/>
    </row>
    <row r="340" spans="3:29" s="235" customFormat="1" hidden="1">
      <c r="C340" s="1130"/>
      <c r="D340" s="175" t="str">
        <f>IF(Indice_index!$Z$1=1,"julho","July")</f>
        <v>July</v>
      </c>
      <c r="E340" s="1184">
        <v>489</v>
      </c>
      <c r="F340" s="1184">
        <v>172</v>
      </c>
      <c r="G340" s="1184">
        <v>633</v>
      </c>
      <c r="H340" s="1185">
        <v>1294</v>
      </c>
      <c r="I340" s="1184">
        <v>957</v>
      </c>
      <c r="J340" s="1090">
        <v>416511.64</v>
      </c>
      <c r="K340" s="1090">
        <v>160737.88</v>
      </c>
      <c r="L340" s="1090">
        <v>316744.83</v>
      </c>
      <c r="M340" s="1186">
        <v>893994.35</v>
      </c>
      <c r="N340" s="1090">
        <v>1020151.33</v>
      </c>
      <c r="O340" s="235">
        <v>873.3</v>
      </c>
      <c r="P340" s="235">
        <v>500.4</v>
      </c>
      <c r="X340" s="52"/>
      <c r="Y340" s="52"/>
      <c r="Z340" s="52"/>
      <c r="AA340" s="173"/>
    </row>
    <row r="341" spans="3:29" s="235" customFormat="1" hidden="1">
      <c r="C341" s="1130"/>
      <c r="D341" s="175" t="str">
        <f>IF(Indice_index!$Z$1=1,"agosto","August")</f>
        <v>August</v>
      </c>
      <c r="E341" s="1184">
        <v>503</v>
      </c>
      <c r="F341" s="1184">
        <v>167</v>
      </c>
      <c r="G341" s="1184">
        <v>559</v>
      </c>
      <c r="H341" s="1185">
        <v>1229</v>
      </c>
      <c r="I341" s="1184">
        <v>911</v>
      </c>
      <c r="J341" s="1090">
        <v>441955.65</v>
      </c>
      <c r="K341" s="1090">
        <v>168720.69</v>
      </c>
      <c r="L341" s="1090">
        <v>270402.07</v>
      </c>
      <c r="M341" s="1186">
        <v>881078.41000000015</v>
      </c>
      <c r="N341" s="1090">
        <v>989137.72</v>
      </c>
      <c r="O341" s="235">
        <v>911.5</v>
      </c>
      <c r="P341" s="235">
        <v>483.7</v>
      </c>
      <c r="X341" s="52"/>
      <c r="Y341" s="52"/>
      <c r="Z341" s="52"/>
      <c r="AA341" s="173"/>
    </row>
    <row r="342" spans="3:29" s="235" customFormat="1" hidden="1">
      <c r="C342" s="1130"/>
      <c r="D342" s="175" t="str">
        <f>IF(Indice_index!$Z$1=1,"setembro","September")</f>
        <v>September</v>
      </c>
      <c r="E342" s="1184">
        <v>561</v>
      </c>
      <c r="F342" s="1184">
        <v>197</v>
      </c>
      <c r="G342" s="1184">
        <v>647</v>
      </c>
      <c r="H342" s="1185">
        <v>1405</v>
      </c>
      <c r="I342" s="1184">
        <v>966</v>
      </c>
      <c r="J342" s="1090">
        <v>590543.46</v>
      </c>
      <c r="K342" s="1090">
        <v>187237.62</v>
      </c>
      <c r="L342" s="1090">
        <v>341862.92</v>
      </c>
      <c r="M342" s="1186">
        <v>1119644</v>
      </c>
      <c r="N342" s="1090">
        <v>1028801.2</v>
      </c>
      <c r="O342" s="235">
        <v>1026.0999999999999</v>
      </c>
      <c r="P342" s="235">
        <v>528.4</v>
      </c>
      <c r="X342" s="52"/>
      <c r="Y342" s="52"/>
      <c r="Z342" s="52"/>
      <c r="AA342" s="173"/>
    </row>
    <row r="343" spans="3:29" s="235" customFormat="1" hidden="1">
      <c r="C343" s="1130"/>
      <c r="D343" s="175" t="str">
        <f>IF(Indice_index!$Z$1=1,"outubro","October")</f>
        <v>October</v>
      </c>
      <c r="E343" s="1184">
        <v>523</v>
      </c>
      <c r="F343" s="1184">
        <v>146</v>
      </c>
      <c r="G343" s="1184">
        <v>491</v>
      </c>
      <c r="H343" s="1185">
        <v>1160</v>
      </c>
      <c r="I343" s="1184">
        <v>1004</v>
      </c>
      <c r="J343" s="1090">
        <v>481812.93</v>
      </c>
      <c r="K343" s="1090">
        <v>139106.82</v>
      </c>
      <c r="L343" s="1090">
        <v>246229.43</v>
      </c>
      <c r="M343" s="1186">
        <v>867149.18</v>
      </c>
      <c r="N343" s="1090">
        <v>1043795.75</v>
      </c>
      <c r="O343" s="235">
        <v>928.1</v>
      </c>
      <c r="P343" s="235">
        <v>501.5</v>
      </c>
      <c r="X343" s="52"/>
      <c r="Y343" s="52"/>
      <c r="Z343" s="52"/>
      <c r="AA343" s="173"/>
    </row>
    <row r="344" spans="3:29" s="235" customFormat="1" hidden="1">
      <c r="C344" s="1130"/>
      <c r="D344" s="175" t="str">
        <f>IF(Indice_index!$Z$1=1,"novembro","November")</f>
        <v>November</v>
      </c>
      <c r="E344" s="1184">
        <v>450</v>
      </c>
      <c r="F344" s="1184">
        <v>80</v>
      </c>
      <c r="G344" s="1184">
        <v>774</v>
      </c>
      <c r="H344" s="1185">
        <v>1304</v>
      </c>
      <c r="I344" s="1184">
        <v>946</v>
      </c>
      <c r="J344" s="1090">
        <v>408562.65</v>
      </c>
      <c r="K344" s="1090">
        <v>72794.44</v>
      </c>
      <c r="L344" s="1090">
        <v>390158.55</v>
      </c>
      <c r="M344" s="1186">
        <v>871515.61</v>
      </c>
      <c r="N344" s="1090">
        <v>977121.49</v>
      </c>
      <c r="O344" s="235">
        <v>908.2</v>
      </c>
      <c r="P344" s="235">
        <v>504.1</v>
      </c>
      <c r="X344" s="52"/>
      <c r="Y344" s="52"/>
      <c r="Z344" s="52"/>
      <c r="AA344" s="173"/>
    </row>
    <row r="345" spans="3:29" s="235" customFormat="1" hidden="1">
      <c r="C345" s="1130"/>
      <c r="D345" s="175" t="str">
        <f>IF(Indice_index!$Z$1=1,"dezembro","December")</f>
        <v>December</v>
      </c>
      <c r="E345" s="1184">
        <v>634</v>
      </c>
      <c r="F345" s="1184">
        <v>175</v>
      </c>
      <c r="G345" s="1184">
        <v>650</v>
      </c>
      <c r="H345" s="1185">
        <v>1459</v>
      </c>
      <c r="I345" s="1184">
        <v>1013</v>
      </c>
      <c r="J345" s="1090">
        <v>637254.05000000005</v>
      </c>
      <c r="K345" s="1090">
        <v>156384.87</v>
      </c>
      <c r="L345" s="1090">
        <v>321538.2</v>
      </c>
      <c r="M345" s="1186">
        <v>1115177.1200000001</v>
      </c>
      <c r="N345" s="1090">
        <v>1087068.3899999999</v>
      </c>
      <c r="O345" s="235">
        <v>981</v>
      </c>
      <c r="P345" s="235">
        <v>494.7</v>
      </c>
      <c r="X345" s="52"/>
      <c r="Y345" s="52"/>
      <c r="Z345" s="52"/>
      <c r="AA345" s="173"/>
    </row>
    <row r="346" spans="3:29" s="235" customFormat="1" hidden="1">
      <c r="C346" s="306">
        <v>2017</v>
      </c>
      <c r="D346" s="174"/>
      <c r="E346" s="1184"/>
      <c r="F346" s="1184"/>
      <c r="G346" s="1184"/>
      <c r="H346" s="1184"/>
      <c r="I346" s="1184"/>
      <c r="J346" s="1090"/>
      <c r="K346" s="1090"/>
      <c r="L346" s="1090"/>
      <c r="M346" s="1090"/>
      <c r="N346" s="1090"/>
      <c r="O346" s="1090"/>
      <c r="P346" s="1090"/>
      <c r="X346" s="52"/>
      <c r="Y346" s="52"/>
      <c r="Z346" s="52"/>
      <c r="AA346" s="173"/>
    </row>
    <row r="347" spans="3:29" s="174" customFormat="1" ht="11.25" hidden="1">
      <c r="C347" s="1187"/>
      <c r="D347" s="175" t="str">
        <f>IF(Indice_index!$Z$1=1,"janeiro","January")</f>
        <v>January</v>
      </c>
      <c r="E347" s="1184">
        <v>786</v>
      </c>
      <c r="F347" s="1184">
        <v>140</v>
      </c>
      <c r="G347" s="1184">
        <v>593</v>
      </c>
      <c r="H347" s="1184">
        <v>1519</v>
      </c>
      <c r="I347" s="1184">
        <v>977</v>
      </c>
      <c r="J347" s="1090">
        <v>578370.84</v>
      </c>
      <c r="K347" s="1090">
        <v>138294.88</v>
      </c>
      <c r="L347" s="1090">
        <v>296116.46999999997</v>
      </c>
      <c r="M347" s="1090">
        <v>1012782.19</v>
      </c>
      <c r="N347" s="1090">
        <v>1011409.09</v>
      </c>
      <c r="O347" s="1090">
        <v>773.9</v>
      </c>
      <c r="P347" s="1090">
        <v>499.4</v>
      </c>
      <c r="R347" s="235"/>
      <c r="S347" s="235"/>
      <c r="T347" s="235"/>
      <c r="U347" s="235"/>
      <c r="V347" s="235"/>
      <c r="W347" s="235"/>
      <c r="X347" s="235"/>
      <c r="Y347" s="235"/>
      <c r="Z347" s="235"/>
      <c r="AA347" s="235"/>
      <c r="AB347" s="235"/>
      <c r="AC347" s="235"/>
    </row>
    <row r="348" spans="3:29" s="174" customFormat="1" ht="11.25" hidden="1">
      <c r="C348" s="1187"/>
      <c r="D348" s="175" t="str">
        <f>IF(Indice_index!$Z$1=1,"fevereiro","February")</f>
        <v>February</v>
      </c>
      <c r="E348" s="1184">
        <v>573</v>
      </c>
      <c r="F348" s="1184">
        <v>127</v>
      </c>
      <c r="G348" s="1184">
        <v>756</v>
      </c>
      <c r="H348" s="1184">
        <v>1456</v>
      </c>
      <c r="I348" s="1184">
        <v>1520</v>
      </c>
      <c r="J348" s="1090">
        <v>582431.9</v>
      </c>
      <c r="K348" s="1090">
        <v>128892.18</v>
      </c>
      <c r="L348" s="1090">
        <v>394383.93</v>
      </c>
      <c r="M348" s="1090">
        <v>1105708.01</v>
      </c>
      <c r="N348" s="1090">
        <v>1609971.21</v>
      </c>
      <c r="O348" s="1090">
        <v>1016.2</v>
      </c>
      <c r="P348" s="1090">
        <v>521.70000000000005</v>
      </c>
      <c r="R348" s="235"/>
      <c r="S348" s="235"/>
      <c r="T348" s="235"/>
      <c r="U348" s="235"/>
      <c r="V348" s="235"/>
      <c r="W348" s="235"/>
      <c r="X348" s="235"/>
      <c r="Y348" s="235"/>
      <c r="Z348" s="235"/>
      <c r="AA348" s="235"/>
      <c r="AB348" s="235"/>
      <c r="AC348" s="235"/>
    </row>
    <row r="349" spans="3:29" s="235" customFormat="1" ht="11.25" hidden="1">
      <c r="C349" s="306"/>
      <c r="D349" s="175" t="str">
        <f>IF(Indice_index!$Z$1=1,"março","March")</f>
        <v>March</v>
      </c>
      <c r="E349" s="1184">
        <v>374</v>
      </c>
      <c r="F349" s="1184">
        <v>148</v>
      </c>
      <c r="G349" s="1184">
        <v>899</v>
      </c>
      <c r="H349" s="1184">
        <v>1421</v>
      </c>
      <c r="I349" s="1184">
        <v>1377</v>
      </c>
      <c r="J349" s="1090">
        <v>394397.49</v>
      </c>
      <c r="K349" s="1090">
        <v>160746.25</v>
      </c>
      <c r="L349" s="1090">
        <v>461100.92</v>
      </c>
      <c r="M349" s="1090">
        <v>1016244.66</v>
      </c>
      <c r="N349" s="1090">
        <v>1410294.92</v>
      </c>
      <c r="O349" s="1090">
        <v>1063.5</v>
      </c>
      <c r="P349" s="1090">
        <v>512.9</v>
      </c>
    </row>
    <row r="350" spans="3:29" s="235" customFormat="1" ht="11.25" hidden="1">
      <c r="C350" s="306"/>
      <c r="D350" s="175" t="str">
        <f>IF(Indice_index!$Z$1=1,"abril","April")</f>
        <v>April</v>
      </c>
      <c r="E350" s="1184">
        <v>541</v>
      </c>
      <c r="F350" s="1184">
        <v>157</v>
      </c>
      <c r="G350" s="1184">
        <v>820</v>
      </c>
      <c r="H350" s="1184">
        <v>1518</v>
      </c>
      <c r="I350" s="1184">
        <v>1227</v>
      </c>
      <c r="J350" s="1090">
        <v>649425</v>
      </c>
      <c r="K350" s="1090">
        <v>142514.06</v>
      </c>
      <c r="L350" s="1090">
        <v>435970.18</v>
      </c>
      <c r="M350" s="1090">
        <v>1227909.24</v>
      </c>
      <c r="N350" s="1090">
        <v>1306714.6399999999</v>
      </c>
      <c r="O350" s="1090">
        <v>1134.5999999999999</v>
      </c>
      <c r="P350" s="1090">
        <v>531.70000000000005</v>
      </c>
    </row>
    <row r="351" spans="3:29" s="235" customFormat="1" ht="12.75" hidden="1" customHeight="1">
      <c r="C351" s="306"/>
      <c r="D351" s="175" t="str">
        <f>IF(Indice_index!$Z$1=1,"maio","May")</f>
        <v>May</v>
      </c>
      <c r="E351" s="1184">
        <v>787</v>
      </c>
      <c r="F351" s="1184">
        <v>137</v>
      </c>
      <c r="G351" s="1184">
        <v>667</v>
      </c>
      <c r="H351" s="1184">
        <v>1591</v>
      </c>
      <c r="I351" s="1184">
        <v>965</v>
      </c>
      <c r="J351" s="1090">
        <v>1126009.55</v>
      </c>
      <c r="K351" s="1090">
        <v>142162</v>
      </c>
      <c r="L351" s="1090">
        <v>344238.68</v>
      </c>
      <c r="M351" s="1090">
        <v>1612410.23</v>
      </c>
      <c r="N351" s="1090">
        <v>1013052.58</v>
      </c>
      <c r="O351" s="1090">
        <v>1372.5</v>
      </c>
      <c r="P351" s="1090">
        <v>516.1</v>
      </c>
    </row>
    <row r="352" spans="3:29" s="235" customFormat="1" ht="12.75" hidden="1" customHeight="1">
      <c r="C352" s="306"/>
      <c r="D352" s="175" t="str">
        <f>IF(Indice_index!$Z$1=1,"junho","June")</f>
        <v>June</v>
      </c>
      <c r="E352" s="1184">
        <v>1047</v>
      </c>
      <c r="F352" s="1184">
        <v>142</v>
      </c>
      <c r="G352" s="1184">
        <v>828</v>
      </c>
      <c r="H352" s="1184">
        <v>2017</v>
      </c>
      <c r="I352" s="1184">
        <v>1057</v>
      </c>
      <c r="J352" s="1090">
        <v>1177461.47</v>
      </c>
      <c r="K352" s="1090">
        <v>163205.15</v>
      </c>
      <c r="L352" s="1090">
        <v>427465.75</v>
      </c>
      <c r="M352" s="1090">
        <v>1768132.37</v>
      </c>
      <c r="N352" s="1090">
        <v>1121550.1299999999</v>
      </c>
      <c r="O352" s="1090">
        <v>1127.5999999999999</v>
      </c>
      <c r="P352" s="1090">
        <v>516.29999999999995</v>
      </c>
    </row>
    <row r="353" spans="3:29" s="235" customFormat="1" ht="12.75" hidden="1" customHeight="1">
      <c r="C353" s="306"/>
      <c r="D353" s="175" t="str">
        <f>IF(Indice_index!$Z$1=1,"julho","July")</f>
        <v>July</v>
      </c>
      <c r="E353" s="1184">
        <v>1387</v>
      </c>
      <c r="F353" s="1184">
        <v>166</v>
      </c>
      <c r="G353" s="1184">
        <v>557</v>
      </c>
      <c r="H353" s="1184">
        <v>2110</v>
      </c>
      <c r="I353" s="1184">
        <v>988</v>
      </c>
      <c r="J353" s="1090">
        <v>1562695.69</v>
      </c>
      <c r="K353" s="1090">
        <v>159216.19</v>
      </c>
      <c r="L353" s="1090">
        <v>302530.78999999998</v>
      </c>
      <c r="M353" s="1090">
        <v>2024442.67</v>
      </c>
      <c r="N353" s="1090">
        <v>1023568.02</v>
      </c>
      <c r="O353" s="1090">
        <v>1108.8</v>
      </c>
      <c r="P353" s="1090">
        <v>543.1</v>
      </c>
    </row>
    <row r="354" spans="3:29" s="235" customFormat="1" ht="12.75" hidden="1" customHeight="1">
      <c r="C354" s="306"/>
      <c r="D354" s="175" t="str">
        <f>IF(Indice_index!$Z$1=1,"agosto","August")</f>
        <v>August</v>
      </c>
      <c r="E354" s="1184">
        <v>1277</v>
      </c>
      <c r="F354" s="1184">
        <v>113</v>
      </c>
      <c r="G354" s="1184">
        <v>567</v>
      </c>
      <c r="H354" s="1184">
        <v>1957</v>
      </c>
      <c r="I354" s="1184">
        <v>995</v>
      </c>
      <c r="J354" s="1090">
        <v>1333807.08</v>
      </c>
      <c r="K354" s="1090">
        <v>126989.99</v>
      </c>
      <c r="L354" s="1090">
        <v>297063.33</v>
      </c>
      <c r="M354" s="1090">
        <v>1757860.4</v>
      </c>
      <c r="N354" s="1090">
        <v>914810.8</v>
      </c>
      <c r="O354" s="1090">
        <v>1050.9000000000001</v>
      </c>
      <c r="P354" s="1090">
        <v>523.9</v>
      </c>
    </row>
    <row r="355" spans="3:29" s="235" customFormat="1" ht="12.75" hidden="1" customHeight="1">
      <c r="C355" s="306"/>
      <c r="D355" s="175" t="str">
        <f>IF(Indice_index!$Z$1=1,"setembro","September")</f>
        <v>September</v>
      </c>
      <c r="E355" s="1184">
        <v>935</v>
      </c>
      <c r="F355" s="1184">
        <v>180</v>
      </c>
      <c r="G355" s="1184">
        <v>648</v>
      </c>
      <c r="H355" s="1184">
        <v>1763</v>
      </c>
      <c r="I355" s="1184">
        <v>925</v>
      </c>
      <c r="J355" s="1090">
        <v>1395259.46</v>
      </c>
      <c r="K355" s="1090">
        <v>185588.5</v>
      </c>
      <c r="L355" s="1090">
        <v>325847.75</v>
      </c>
      <c r="M355" s="1090">
        <v>1906695.71</v>
      </c>
      <c r="N355" s="1090">
        <v>1001667.37</v>
      </c>
      <c r="O355" s="1090">
        <v>1417.8</v>
      </c>
      <c r="P355" s="1090">
        <v>502.9</v>
      </c>
    </row>
    <row r="356" spans="3:29" s="235" customFormat="1" ht="12.75" hidden="1" customHeight="1">
      <c r="C356" s="306"/>
      <c r="D356" s="175" t="str">
        <f>IF(Indice_index!$Z$1=1,"outubro","October")</f>
        <v>October</v>
      </c>
      <c r="E356" s="1184">
        <v>1011</v>
      </c>
      <c r="F356" s="1184">
        <v>67</v>
      </c>
      <c r="G356" s="1184">
        <v>4020</v>
      </c>
      <c r="H356" s="1184">
        <v>5098</v>
      </c>
      <c r="I356" s="1184">
        <v>941</v>
      </c>
      <c r="J356" s="1090">
        <v>1275119.77</v>
      </c>
      <c r="K356" s="1090">
        <v>80781.440000000002</v>
      </c>
      <c r="L356" s="1090">
        <v>886881.41</v>
      </c>
      <c r="M356" s="1090">
        <v>2242782.62</v>
      </c>
      <c r="N356" s="1090">
        <v>1009636.48</v>
      </c>
      <c r="O356" s="1090">
        <v>1257.8</v>
      </c>
      <c r="P356" s="1090">
        <v>220.6</v>
      </c>
    </row>
    <row r="357" spans="3:29" s="174" customFormat="1" ht="12.75" hidden="1" customHeight="1">
      <c r="C357" s="1187"/>
      <c r="D357" s="175" t="str">
        <f>IF(Indice_index!$Z$1=1,"novembro","November")</f>
        <v>November</v>
      </c>
      <c r="E357" s="1184">
        <v>1160</v>
      </c>
      <c r="F357" s="1184">
        <v>161</v>
      </c>
      <c r="G357" s="1184">
        <v>717</v>
      </c>
      <c r="H357" s="1184">
        <v>2038</v>
      </c>
      <c r="I357" s="1184">
        <v>979</v>
      </c>
      <c r="J357" s="1090">
        <v>1888615.66</v>
      </c>
      <c r="K357" s="1090">
        <v>155626.68</v>
      </c>
      <c r="L357" s="1090">
        <v>360787.04</v>
      </c>
      <c r="M357" s="1090">
        <v>2405029.38</v>
      </c>
      <c r="N357" s="1090">
        <v>1056929.01</v>
      </c>
      <c r="O357" s="1090">
        <v>1547.5</v>
      </c>
      <c r="P357" s="1090">
        <v>503.2</v>
      </c>
      <c r="R357" s="235"/>
      <c r="S357" s="235"/>
      <c r="T357" s="235"/>
      <c r="U357" s="235"/>
      <c r="V357" s="235"/>
      <c r="W357" s="235"/>
      <c r="X357" s="235"/>
      <c r="Y357" s="235"/>
      <c r="Z357" s="235"/>
      <c r="AA357" s="235"/>
      <c r="AB357" s="235"/>
      <c r="AC357" s="235"/>
    </row>
    <row r="358" spans="3:29" s="235" customFormat="1" ht="11.25" hidden="1">
      <c r="C358" s="1130"/>
      <c r="D358" s="175" t="str">
        <f>IF(Indice_index!$Z$1=1,"dezembro","December")</f>
        <v>December</v>
      </c>
      <c r="E358" s="1184">
        <v>698</v>
      </c>
      <c r="F358" s="1184">
        <v>184</v>
      </c>
      <c r="G358" s="1184">
        <v>851</v>
      </c>
      <c r="H358" s="1184">
        <v>1733</v>
      </c>
      <c r="I358" s="1184">
        <v>1084</v>
      </c>
      <c r="J358" s="1090">
        <v>798282.51</v>
      </c>
      <c r="K358" s="1090">
        <v>152255.45000000001</v>
      </c>
      <c r="L358" s="1090">
        <v>447597.94</v>
      </c>
      <c r="M358" s="1090">
        <v>1398135.9</v>
      </c>
      <c r="N358" s="1090">
        <v>1138241.57</v>
      </c>
      <c r="O358" s="1090">
        <v>1077.7</v>
      </c>
      <c r="P358" s="1090">
        <v>526</v>
      </c>
    </row>
    <row r="359" spans="3:29" s="235" customFormat="1" ht="15" customHeight="1">
      <c r="C359" s="306">
        <v>2018</v>
      </c>
      <c r="D359" s="174"/>
      <c r="E359" s="1184"/>
      <c r="F359" s="1184"/>
      <c r="G359" s="1184"/>
      <c r="H359" s="1184"/>
      <c r="I359" s="1184"/>
      <c r="J359" s="1090"/>
      <c r="K359" s="1090"/>
      <c r="L359" s="1090"/>
      <c r="M359" s="1090"/>
      <c r="N359" s="1090"/>
      <c r="O359" s="1090"/>
      <c r="P359" s="1090"/>
      <c r="X359" s="52"/>
      <c r="Y359" s="52"/>
      <c r="Z359" s="52"/>
      <c r="AA359" s="173"/>
    </row>
    <row r="360" spans="3:29" s="174" customFormat="1" ht="15" customHeight="1">
      <c r="C360" s="1187"/>
      <c r="D360" s="175" t="str">
        <f>IF(Indice_index!$Z$1=1,"janeiro","January")</f>
        <v>January</v>
      </c>
      <c r="E360" s="173">
        <v>704</v>
      </c>
      <c r="F360" s="173">
        <v>125</v>
      </c>
      <c r="G360" s="173">
        <v>557</v>
      </c>
      <c r="H360" s="173">
        <v>1386</v>
      </c>
      <c r="I360" s="173">
        <v>982</v>
      </c>
      <c r="J360" s="235">
        <v>649244.81999999995</v>
      </c>
      <c r="K360" s="235">
        <v>118696.11</v>
      </c>
      <c r="L360" s="235">
        <v>289384.83</v>
      </c>
      <c r="M360" s="235">
        <v>1057325.76</v>
      </c>
      <c r="N360" s="235">
        <v>1016310.96</v>
      </c>
      <c r="O360" s="235">
        <v>926.3</v>
      </c>
      <c r="P360" s="235">
        <v>519.5</v>
      </c>
      <c r="R360" s="236"/>
      <c r="S360" s="236"/>
      <c r="T360" s="236"/>
      <c r="U360" s="236"/>
      <c r="V360" s="236"/>
      <c r="W360" s="236"/>
      <c r="X360" s="236"/>
      <c r="Y360" s="236"/>
      <c r="Z360" s="236"/>
      <c r="AA360" s="236"/>
      <c r="AB360" s="236"/>
      <c r="AC360" s="236"/>
    </row>
    <row r="361" spans="3:29" s="174" customFormat="1" ht="15" customHeight="1">
      <c r="C361" s="1187"/>
      <c r="D361" s="175" t="str">
        <f>IF(Indice_index!$Z$1=1,"fevereiro","February")</f>
        <v>February</v>
      </c>
      <c r="E361" s="173">
        <v>736</v>
      </c>
      <c r="F361" s="173">
        <v>82</v>
      </c>
      <c r="G361" s="173">
        <v>677</v>
      </c>
      <c r="H361" s="173">
        <v>1495</v>
      </c>
      <c r="I361" s="173">
        <v>1351</v>
      </c>
      <c r="J361" s="235">
        <v>984989.74</v>
      </c>
      <c r="K361" s="235">
        <v>91052.5</v>
      </c>
      <c r="L361" s="235">
        <v>356073.66</v>
      </c>
      <c r="M361" s="235">
        <v>1432115.9</v>
      </c>
      <c r="N361" s="235">
        <v>1446462.79</v>
      </c>
      <c r="O361" s="235">
        <v>1315.5</v>
      </c>
      <c r="P361" s="235">
        <v>526</v>
      </c>
      <c r="R361" s="236"/>
      <c r="S361" s="236"/>
      <c r="T361" s="236"/>
      <c r="U361" s="236"/>
      <c r="V361" s="236"/>
      <c r="W361" s="236"/>
      <c r="X361" s="236"/>
      <c r="Y361" s="236"/>
      <c r="Z361" s="236"/>
      <c r="AA361" s="236"/>
      <c r="AB361" s="236"/>
      <c r="AC361" s="236"/>
    </row>
    <row r="362" spans="3:29" s="235" customFormat="1" ht="15" customHeight="1">
      <c r="C362" s="306"/>
      <c r="D362" s="175" t="str">
        <f>IF(Indice_index!$Z$1=1,"março","March")</f>
        <v>March</v>
      </c>
      <c r="E362" s="173">
        <v>671</v>
      </c>
      <c r="F362" s="173">
        <v>170</v>
      </c>
      <c r="G362" s="173">
        <v>607</v>
      </c>
      <c r="H362" s="173">
        <v>1448</v>
      </c>
      <c r="I362" s="173">
        <v>1314</v>
      </c>
      <c r="J362" s="235">
        <v>906528.91</v>
      </c>
      <c r="K362" s="235">
        <v>161943.29999999999</v>
      </c>
      <c r="L362" s="235">
        <v>334897.33</v>
      </c>
      <c r="M362" s="235">
        <v>1403369.54</v>
      </c>
      <c r="N362" s="235">
        <v>1384282.53</v>
      </c>
      <c r="O362" s="235">
        <v>1270.5</v>
      </c>
      <c r="P362" s="235">
        <v>551.70000000000005</v>
      </c>
      <c r="R362" s="236"/>
      <c r="S362" s="236"/>
      <c r="T362" s="236"/>
      <c r="U362" s="236"/>
      <c r="V362" s="236"/>
      <c r="W362" s="236"/>
      <c r="X362" s="236"/>
      <c r="Y362" s="236"/>
      <c r="Z362" s="236"/>
      <c r="AA362" s="236"/>
      <c r="AB362" s="236"/>
      <c r="AC362" s="236"/>
    </row>
    <row r="363" spans="3:29" s="235" customFormat="1" ht="15" customHeight="1">
      <c r="C363" s="306"/>
      <c r="D363" s="175" t="str">
        <f>IF(Indice_index!$Z$1=1,"abril","April")</f>
        <v>April</v>
      </c>
      <c r="E363" s="173">
        <v>662</v>
      </c>
      <c r="F363" s="173">
        <v>121</v>
      </c>
      <c r="G363" s="173">
        <v>664</v>
      </c>
      <c r="H363" s="173">
        <v>1447</v>
      </c>
      <c r="I363" s="173">
        <v>1498</v>
      </c>
      <c r="J363" s="235">
        <v>880272.05</v>
      </c>
      <c r="K363" s="235">
        <v>130755.48</v>
      </c>
      <c r="L363" s="235">
        <v>334385.78000000003</v>
      </c>
      <c r="M363" s="235">
        <v>1345413.31</v>
      </c>
      <c r="N363" s="235">
        <v>1619775.04</v>
      </c>
      <c r="O363" s="235">
        <v>1291.2</v>
      </c>
      <c r="P363" s="235">
        <v>503.6</v>
      </c>
      <c r="R363" s="236"/>
      <c r="S363" s="236"/>
      <c r="T363" s="236"/>
      <c r="U363" s="236"/>
      <c r="V363" s="236"/>
      <c r="W363" s="236"/>
      <c r="X363" s="236"/>
      <c r="Y363" s="236"/>
      <c r="Z363" s="236"/>
      <c r="AA363" s="236"/>
      <c r="AB363" s="236"/>
      <c r="AC363" s="236"/>
    </row>
    <row r="364" spans="3:29" s="235" customFormat="1" ht="15" customHeight="1">
      <c r="C364" s="306"/>
      <c r="D364" s="175" t="str">
        <f>IF(Indice_index!$Z$1=1,"maio","May")</f>
        <v>May</v>
      </c>
      <c r="E364" s="173">
        <v>960</v>
      </c>
      <c r="F364" s="173">
        <v>137</v>
      </c>
      <c r="G364" s="173">
        <v>652</v>
      </c>
      <c r="H364" s="173">
        <v>1749</v>
      </c>
      <c r="I364" s="173">
        <v>995</v>
      </c>
      <c r="J364" s="235">
        <v>1360647.94</v>
      </c>
      <c r="K364" s="235">
        <v>138764.43</v>
      </c>
      <c r="L364" s="235">
        <v>364375</v>
      </c>
      <c r="M364" s="235">
        <v>1863787.37</v>
      </c>
      <c r="N364" s="235">
        <v>1084089.8</v>
      </c>
      <c r="O364" s="235">
        <v>1366.8</v>
      </c>
      <c r="P364" s="235">
        <v>558.9</v>
      </c>
      <c r="R364" s="236"/>
      <c r="S364" s="236"/>
      <c r="T364" s="236"/>
      <c r="U364" s="236"/>
      <c r="V364" s="236"/>
      <c r="W364" s="236"/>
      <c r="X364" s="236"/>
      <c r="Y364" s="236"/>
      <c r="Z364" s="236"/>
      <c r="AA364" s="236"/>
      <c r="AB364" s="236"/>
      <c r="AC364" s="236"/>
    </row>
    <row r="365" spans="3:29" s="235" customFormat="1" ht="15" customHeight="1">
      <c r="C365" s="306"/>
      <c r="D365" s="175" t="str">
        <f>IF(Indice_index!$Z$1=1,"junho","June")</f>
        <v>June</v>
      </c>
      <c r="E365" s="173">
        <v>719</v>
      </c>
      <c r="F365" s="173">
        <v>122</v>
      </c>
      <c r="G365" s="173">
        <v>607</v>
      </c>
      <c r="H365" s="173">
        <v>1448</v>
      </c>
      <c r="I365" s="173">
        <v>1188</v>
      </c>
      <c r="J365" s="235">
        <v>1057409.9099999999</v>
      </c>
      <c r="K365" s="235">
        <v>111931.88</v>
      </c>
      <c r="L365" s="235">
        <v>329419.95</v>
      </c>
      <c r="M365" s="235">
        <v>1498761.74</v>
      </c>
      <c r="N365" s="235">
        <v>1318705.6299999999</v>
      </c>
      <c r="O365" s="235">
        <v>1390.4</v>
      </c>
      <c r="P365" s="235">
        <v>542.70000000000005</v>
      </c>
      <c r="R365" s="236"/>
      <c r="S365" s="236"/>
      <c r="T365" s="236"/>
      <c r="U365" s="236"/>
      <c r="V365" s="236"/>
      <c r="W365" s="236"/>
      <c r="X365" s="236"/>
      <c r="Y365" s="236"/>
      <c r="Z365" s="236"/>
      <c r="AA365" s="236"/>
      <c r="AB365" s="236"/>
      <c r="AC365" s="236"/>
    </row>
    <row r="366" spans="3:29" s="235" customFormat="1" ht="15" customHeight="1">
      <c r="C366" s="306"/>
      <c r="D366" s="175" t="str">
        <f>IF(Indice_index!$Z$1=1,"julho","July")</f>
        <v>July</v>
      </c>
      <c r="E366" s="173">
        <v>693</v>
      </c>
      <c r="F366" s="173">
        <v>129</v>
      </c>
      <c r="G366" s="173">
        <v>701</v>
      </c>
      <c r="H366" s="173">
        <v>1523</v>
      </c>
      <c r="I366" s="173">
        <v>988</v>
      </c>
      <c r="J366" s="235">
        <v>919354.92</v>
      </c>
      <c r="K366" s="235">
        <v>121307.29</v>
      </c>
      <c r="L366" s="235">
        <v>370489.63</v>
      </c>
      <c r="M366" s="235">
        <v>1411151.84</v>
      </c>
      <c r="N366" s="235">
        <v>1101581.99</v>
      </c>
      <c r="O366" s="235">
        <v>1266</v>
      </c>
      <c r="P366" s="235">
        <v>528.5</v>
      </c>
      <c r="R366" s="236"/>
      <c r="S366" s="236"/>
      <c r="T366" s="236"/>
      <c r="U366" s="236"/>
      <c r="V366" s="236"/>
      <c r="W366" s="236"/>
      <c r="X366" s="236"/>
      <c r="Y366" s="236"/>
      <c r="Z366" s="236"/>
      <c r="AA366" s="236"/>
      <c r="AB366" s="236"/>
      <c r="AC366" s="236"/>
    </row>
    <row r="367" spans="3:29" s="235" customFormat="1" ht="15" customHeight="1">
      <c r="C367" s="306"/>
      <c r="D367" s="175" t="str">
        <f>IF(Indice_index!$Z$1=1,"agosto","August")</f>
        <v>August</v>
      </c>
      <c r="E367" s="1184">
        <v>808</v>
      </c>
      <c r="F367" s="1184">
        <v>99</v>
      </c>
      <c r="G367" s="1184">
        <v>576</v>
      </c>
      <c r="H367" s="1184">
        <v>1483</v>
      </c>
      <c r="I367" s="1184">
        <v>948</v>
      </c>
      <c r="J367" s="1090">
        <v>1121156.8400000001</v>
      </c>
      <c r="K367" s="1090">
        <v>125035.88</v>
      </c>
      <c r="L367" s="1090">
        <v>296873.08</v>
      </c>
      <c r="M367" s="1090">
        <v>1543065.8</v>
      </c>
      <c r="N367" s="1090">
        <v>997270.6</v>
      </c>
      <c r="O367" s="1090">
        <v>1374</v>
      </c>
      <c r="P367" s="1090">
        <v>515.4</v>
      </c>
      <c r="R367" s="236"/>
      <c r="S367" s="236"/>
      <c r="T367" s="236"/>
      <c r="U367" s="236"/>
      <c r="V367" s="236"/>
      <c r="W367" s="236"/>
      <c r="X367" s="236"/>
      <c r="Y367" s="236"/>
      <c r="Z367" s="236"/>
      <c r="AA367" s="236"/>
      <c r="AB367" s="236"/>
      <c r="AC367" s="236"/>
    </row>
    <row r="368" spans="3:29" s="235" customFormat="1" ht="15" customHeight="1">
      <c r="C368" s="306"/>
      <c r="D368" s="175" t="str">
        <f>IF(Indice_index!$Z$1=1,"setembro","September")</f>
        <v>September</v>
      </c>
      <c r="E368" s="1184">
        <v>898</v>
      </c>
      <c r="F368" s="1184">
        <v>139</v>
      </c>
      <c r="G368" s="1184">
        <v>635</v>
      </c>
      <c r="H368" s="1184">
        <v>1672</v>
      </c>
      <c r="I368" s="1184">
        <v>1000</v>
      </c>
      <c r="J368" s="1090">
        <v>1227038.67</v>
      </c>
      <c r="K368" s="1090">
        <v>134826.20000000001</v>
      </c>
      <c r="L368" s="1090">
        <v>335400.65999999997</v>
      </c>
      <c r="M368" s="1090">
        <v>1697265.53</v>
      </c>
      <c r="N368" s="1090">
        <v>1112186.8</v>
      </c>
      <c r="O368" s="1090">
        <v>1313.3</v>
      </c>
      <c r="P368" s="1090">
        <v>528.20000000000005</v>
      </c>
      <c r="R368" s="236"/>
      <c r="S368" s="236"/>
      <c r="T368" s="236"/>
      <c r="U368" s="236"/>
      <c r="V368" s="236"/>
      <c r="W368" s="236"/>
      <c r="X368" s="236"/>
      <c r="Y368" s="236"/>
      <c r="Z368" s="236"/>
      <c r="AA368" s="236"/>
      <c r="AB368" s="236"/>
      <c r="AC368" s="236"/>
    </row>
    <row r="369" spans="3:29" s="235" customFormat="1" ht="15" customHeight="1">
      <c r="C369" s="306"/>
      <c r="D369" s="175" t="str">
        <f>IF(Indice_index!$Z$1=1,"outubro","October")</f>
        <v>October</v>
      </c>
      <c r="E369" s="1184">
        <v>595</v>
      </c>
      <c r="F369" s="1184">
        <v>90</v>
      </c>
      <c r="G369" s="1184">
        <v>549</v>
      </c>
      <c r="H369" s="1184">
        <v>1234</v>
      </c>
      <c r="I369" s="1184">
        <v>1098</v>
      </c>
      <c r="J369" s="1090">
        <v>853401.65</v>
      </c>
      <c r="K369" s="1090">
        <v>109404.93</v>
      </c>
      <c r="L369" s="1090">
        <v>297062.19</v>
      </c>
      <c r="M369" s="1090">
        <v>1259868.77</v>
      </c>
      <c r="N369" s="1090">
        <v>1220062.75</v>
      </c>
      <c r="O369" s="1090">
        <v>1405.6</v>
      </c>
      <c r="P369" s="1090">
        <v>541.1</v>
      </c>
      <c r="R369" s="236"/>
      <c r="S369" s="236"/>
      <c r="T369" s="236"/>
      <c r="U369" s="236"/>
      <c r="V369" s="236"/>
      <c r="W369" s="236"/>
      <c r="X369" s="236"/>
      <c r="Y369" s="236"/>
      <c r="Z369" s="236"/>
      <c r="AA369" s="236"/>
      <c r="AB369" s="236"/>
      <c r="AC369" s="236"/>
    </row>
    <row r="370" spans="3:29" s="174" customFormat="1" ht="15" customHeight="1">
      <c r="C370" s="1187"/>
      <c r="D370" s="175" t="str">
        <f>IF(Indice_index!$Z$1=1,"novembro","November")</f>
        <v>November</v>
      </c>
      <c r="E370" s="1184">
        <v>721</v>
      </c>
      <c r="F370" s="1184">
        <v>134</v>
      </c>
      <c r="G370" s="1184">
        <v>920</v>
      </c>
      <c r="H370" s="1184">
        <v>1775</v>
      </c>
      <c r="I370" s="1184">
        <v>979</v>
      </c>
      <c r="J370" s="1090">
        <v>913278.22</v>
      </c>
      <c r="K370" s="1090">
        <v>154092.66</v>
      </c>
      <c r="L370" s="1090">
        <v>529161.11</v>
      </c>
      <c r="M370" s="1090">
        <v>1596531.99</v>
      </c>
      <c r="N370" s="1090">
        <v>1070531.94</v>
      </c>
      <c r="O370" s="1090">
        <v>1248.4000000000001</v>
      </c>
      <c r="P370" s="1090">
        <v>575.20000000000005</v>
      </c>
      <c r="R370" s="236"/>
      <c r="S370" s="236"/>
      <c r="T370" s="236"/>
      <c r="U370" s="236"/>
      <c r="V370" s="236"/>
      <c r="W370" s="236"/>
      <c r="X370" s="236"/>
      <c r="Y370" s="236"/>
      <c r="Z370" s="236"/>
      <c r="AA370" s="236"/>
      <c r="AB370" s="236"/>
      <c r="AC370" s="236"/>
    </row>
    <row r="371" spans="3:29" s="235" customFormat="1" ht="15" customHeight="1">
      <c r="C371" s="1130"/>
      <c r="D371" s="175" t="str">
        <f>IF(Indice_index!$Z$1=1,"dezembro","December")</f>
        <v>December</v>
      </c>
      <c r="E371" s="1184">
        <v>876</v>
      </c>
      <c r="F371" s="1184">
        <v>218</v>
      </c>
      <c r="G371" s="1184">
        <v>830</v>
      </c>
      <c r="H371" s="1184">
        <v>1924</v>
      </c>
      <c r="I371" s="1184">
        <v>1013</v>
      </c>
      <c r="J371" s="1090">
        <v>1300968.45</v>
      </c>
      <c r="K371" s="1090">
        <v>230659.94</v>
      </c>
      <c r="L371" s="1090">
        <v>471993.47</v>
      </c>
      <c r="M371" s="1090">
        <v>2003621.86</v>
      </c>
      <c r="N371" s="1090">
        <v>1096958.03</v>
      </c>
      <c r="O371" s="1090">
        <v>1400</v>
      </c>
      <c r="P371" s="1090">
        <v>568.70000000000005</v>
      </c>
      <c r="R371" s="236"/>
      <c r="S371" s="236"/>
      <c r="T371" s="236"/>
      <c r="U371" s="236"/>
      <c r="V371" s="236"/>
      <c r="W371" s="236"/>
      <c r="X371" s="236"/>
      <c r="Y371" s="236"/>
      <c r="Z371" s="236"/>
      <c r="AA371" s="236"/>
      <c r="AB371" s="236"/>
      <c r="AC371" s="236"/>
    </row>
    <row r="372" spans="3:29" s="235" customFormat="1" ht="15" customHeight="1">
      <c r="C372" s="306">
        <v>2019</v>
      </c>
      <c r="D372" s="174"/>
      <c r="E372" s="1184"/>
      <c r="F372" s="1184"/>
      <c r="G372" s="1184"/>
      <c r="H372" s="1184"/>
      <c r="I372" s="1184"/>
      <c r="J372" s="1090"/>
      <c r="K372" s="1090"/>
      <c r="L372" s="1090"/>
      <c r="M372" s="1090"/>
      <c r="N372" s="1090"/>
      <c r="O372" s="1090"/>
      <c r="P372" s="1090"/>
      <c r="R372" s="236"/>
      <c r="S372" s="236"/>
      <c r="T372" s="236"/>
      <c r="U372" s="236"/>
      <c r="V372" s="236"/>
      <c r="W372" s="236"/>
      <c r="X372" s="236"/>
      <c r="Y372" s="236"/>
      <c r="Z372" s="236"/>
      <c r="AA372" s="236"/>
      <c r="AB372" s="236"/>
      <c r="AC372" s="236"/>
    </row>
    <row r="373" spans="3:29" s="174" customFormat="1" ht="15" customHeight="1">
      <c r="C373" s="1187"/>
      <c r="D373" s="175" t="str">
        <f>IF(Indice_index!$Z$1=1,"janeiro","January")</f>
        <v>January</v>
      </c>
      <c r="E373" s="1188">
        <v>800</v>
      </c>
      <c r="F373" s="1188">
        <v>175</v>
      </c>
      <c r="G373" s="1188">
        <v>760</v>
      </c>
      <c r="H373" s="1188">
        <v>1735</v>
      </c>
      <c r="I373" s="1188">
        <v>1018</v>
      </c>
      <c r="J373" s="1189">
        <v>1089572.17</v>
      </c>
      <c r="K373" s="1189">
        <v>171869</v>
      </c>
      <c r="L373" s="1189">
        <v>395310.99</v>
      </c>
      <c r="M373" s="1189">
        <v>1656752.16</v>
      </c>
      <c r="N373" s="1189">
        <v>1079656.3899999999</v>
      </c>
      <c r="O373" s="1189">
        <v>1293.8</v>
      </c>
      <c r="P373" s="1189">
        <v>520.1</v>
      </c>
      <c r="R373" s="236"/>
      <c r="S373" s="236"/>
      <c r="T373" s="236"/>
      <c r="U373" s="236"/>
      <c r="V373" s="236"/>
      <c r="W373" s="236"/>
      <c r="X373" s="236"/>
      <c r="Y373" s="236"/>
      <c r="Z373" s="236"/>
      <c r="AA373" s="236"/>
      <c r="AB373" s="236"/>
      <c r="AC373" s="236"/>
    </row>
    <row r="374" spans="3:29" s="174" customFormat="1" ht="15" customHeight="1">
      <c r="C374" s="1187"/>
      <c r="D374" s="175" t="str">
        <f>IF(Indice_index!$Z$1=1,"fevereiro","February")</f>
        <v>February</v>
      </c>
      <c r="E374" s="1188">
        <v>681</v>
      </c>
      <c r="F374" s="1188">
        <v>166</v>
      </c>
      <c r="G374" s="1188">
        <v>899</v>
      </c>
      <c r="H374" s="1188">
        <v>1746</v>
      </c>
      <c r="I374" s="1188">
        <v>1239</v>
      </c>
      <c r="J374" s="1189">
        <v>811436.59</v>
      </c>
      <c r="K374" s="1189">
        <v>182202.01</v>
      </c>
      <c r="L374" s="1189">
        <v>501172.89</v>
      </c>
      <c r="M374" s="1189">
        <v>1494811.49</v>
      </c>
      <c r="N374" s="1189">
        <v>1399159.51</v>
      </c>
      <c r="O374" s="1189">
        <v>1173.0999999999999</v>
      </c>
      <c r="P374" s="1189">
        <v>557.5</v>
      </c>
      <c r="R374" s="236"/>
      <c r="S374" s="236"/>
      <c r="T374" s="236"/>
      <c r="U374" s="236"/>
      <c r="V374" s="236"/>
      <c r="W374" s="236"/>
      <c r="X374" s="236"/>
      <c r="Y374" s="236"/>
      <c r="Z374" s="236"/>
      <c r="AA374" s="236"/>
      <c r="AB374" s="236"/>
      <c r="AC374" s="236"/>
    </row>
    <row r="375" spans="3:29" s="235" customFormat="1" ht="15" customHeight="1">
      <c r="C375" s="306"/>
      <c r="D375" s="175" t="str">
        <f>IF(Indice_index!$Z$1=1,"março","March")</f>
        <v>March</v>
      </c>
      <c r="E375" s="1188">
        <v>515</v>
      </c>
      <c r="F375" s="1188">
        <v>256</v>
      </c>
      <c r="G375" s="1188">
        <v>907</v>
      </c>
      <c r="H375" s="1188">
        <v>1678</v>
      </c>
      <c r="I375" s="1188">
        <v>1514</v>
      </c>
      <c r="J375" s="1189">
        <v>716359.79</v>
      </c>
      <c r="K375" s="1189">
        <v>275750.90000000002</v>
      </c>
      <c r="L375" s="1189">
        <v>494600.39</v>
      </c>
      <c r="M375" s="1189">
        <v>1486711.08</v>
      </c>
      <c r="N375" s="1189">
        <v>1614644.05</v>
      </c>
      <c r="O375" s="1189">
        <v>1286.8</v>
      </c>
      <c r="P375" s="1189">
        <v>545.29999999999995</v>
      </c>
      <c r="R375" s="236"/>
      <c r="S375" s="236"/>
      <c r="T375" s="236"/>
      <c r="U375" s="236"/>
      <c r="V375" s="236"/>
      <c r="W375" s="236"/>
      <c r="X375" s="236"/>
      <c r="Y375" s="236"/>
      <c r="Z375" s="236"/>
      <c r="AA375" s="236"/>
      <c r="AB375" s="236"/>
      <c r="AC375" s="236"/>
    </row>
    <row r="376" spans="3:29" s="235" customFormat="1" ht="15" customHeight="1">
      <c r="C376" s="306"/>
      <c r="D376" s="175" t="str">
        <f>IF(Indice_index!$Z$1=1,"abril","April")</f>
        <v>April</v>
      </c>
      <c r="E376" s="1188">
        <v>1065</v>
      </c>
      <c r="F376" s="1188">
        <v>314</v>
      </c>
      <c r="G376" s="1188">
        <v>733</v>
      </c>
      <c r="H376" s="1188">
        <v>2112</v>
      </c>
      <c r="I376" s="1188">
        <v>1232</v>
      </c>
      <c r="J376" s="1189">
        <v>1303373.69</v>
      </c>
      <c r="K376" s="1189">
        <v>353465.21</v>
      </c>
      <c r="L376" s="1189">
        <v>409577.3</v>
      </c>
      <c r="M376" s="1189">
        <v>2066416.2</v>
      </c>
      <c r="N376" s="1189">
        <v>1325659.73</v>
      </c>
      <c r="O376" s="1189">
        <v>1201.5</v>
      </c>
      <c r="P376" s="1189">
        <v>558.79999999999995</v>
      </c>
      <c r="R376" s="236"/>
      <c r="S376" s="236"/>
      <c r="T376" s="236"/>
      <c r="U376" s="236"/>
      <c r="V376" s="236"/>
      <c r="W376" s="236"/>
      <c r="X376" s="236"/>
      <c r="Y376" s="236"/>
      <c r="Z376" s="236"/>
      <c r="AA376" s="236"/>
      <c r="AB376" s="236"/>
      <c r="AC376" s="236"/>
    </row>
    <row r="377" spans="3:29" s="235" customFormat="1" ht="15" customHeight="1">
      <c r="C377" s="306"/>
      <c r="D377" s="175" t="str">
        <f>IF(Indice_index!$Z$1=1,"maio","May")</f>
        <v>May</v>
      </c>
      <c r="E377" s="1188">
        <v>1128</v>
      </c>
      <c r="F377" s="1188">
        <v>244</v>
      </c>
      <c r="G377" s="1188">
        <v>882</v>
      </c>
      <c r="H377" s="1188">
        <v>2254</v>
      </c>
      <c r="I377" s="1188">
        <v>1085</v>
      </c>
      <c r="J377" s="1189">
        <v>1546773.28</v>
      </c>
      <c r="K377" s="1189">
        <v>248128.21</v>
      </c>
      <c r="L377" s="1189">
        <v>454247.7</v>
      </c>
      <c r="M377" s="1189">
        <v>2249149.19</v>
      </c>
      <c r="N377" s="1189">
        <v>1794901.49</v>
      </c>
      <c r="O377" s="1189">
        <v>1308.2</v>
      </c>
      <c r="P377" s="1189">
        <v>515</v>
      </c>
      <c r="R377" s="236"/>
      <c r="S377" s="236"/>
      <c r="T377" s="236"/>
      <c r="U377" s="236"/>
      <c r="V377" s="236"/>
      <c r="W377" s="236"/>
      <c r="X377" s="236"/>
      <c r="Y377" s="236"/>
      <c r="Z377" s="236"/>
      <c r="AA377" s="236"/>
      <c r="AB377" s="236"/>
      <c r="AC377" s="236"/>
    </row>
    <row r="378" spans="3:29" s="235" customFormat="1" ht="15" customHeight="1">
      <c r="C378" s="306"/>
      <c r="D378" s="175" t="str">
        <f>IF(Indice_index!$Z$1=1,"junho","June")</f>
        <v>June</v>
      </c>
      <c r="E378" s="1188">
        <v>945</v>
      </c>
      <c r="F378" s="1188">
        <v>258</v>
      </c>
      <c r="G378" s="1188">
        <v>982</v>
      </c>
      <c r="H378" s="1188">
        <v>2185</v>
      </c>
      <c r="I378" s="1188">
        <v>1255</v>
      </c>
      <c r="J378" s="1189">
        <v>1136649.44</v>
      </c>
      <c r="K378" s="1189">
        <v>315491.37</v>
      </c>
      <c r="L378" s="1189">
        <v>500211.27</v>
      </c>
      <c r="M378" s="1189">
        <v>1952352.08</v>
      </c>
      <c r="N378" s="1189">
        <v>1423669.42</v>
      </c>
      <c r="O378" s="1189">
        <v>1207.0999999999999</v>
      </c>
      <c r="P378" s="1189">
        <v>509.4</v>
      </c>
      <c r="R378" s="236"/>
      <c r="S378" s="236"/>
      <c r="T378" s="236"/>
      <c r="U378" s="236"/>
      <c r="V378" s="236"/>
      <c r="W378" s="236"/>
      <c r="X378" s="236"/>
      <c r="Y378" s="236"/>
      <c r="Z378" s="236"/>
      <c r="AA378" s="236"/>
      <c r="AB378" s="236"/>
      <c r="AC378" s="236"/>
    </row>
    <row r="379" spans="3:29" s="235" customFormat="1" ht="15" customHeight="1">
      <c r="C379" s="306"/>
      <c r="D379" s="175" t="str">
        <f>IF(Indice_index!$Z$1=1,"julho","July")</f>
        <v>July</v>
      </c>
      <c r="E379" s="1188">
        <v>1013</v>
      </c>
      <c r="F379" s="1188">
        <v>164</v>
      </c>
      <c r="G379" s="1188">
        <v>747</v>
      </c>
      <c r="H379" s="1188">
        <v>1924</v>
      </c>
      <c r="I379" s="1188">
        <v>920</v>
      </c>
      <c r="J379" s="1189">
        <v>1350515.13</v>
      </c>
      <c r="K379" s="1189">
        <v>191515.13</v>
      </c>
      <c r="L379" s="1189">
        <v>414170.55</v>
      </c>
      <c r="M379" s="1189">
        <v>1956200.8099999998</v>
      </c>
      <c r="N379" s="1189">
        <v>966080.69</v>
      </c>
      <c r="O379" s="1189">
        <v>1310</v>
      </c>
      <c r="P379" s="1189">
        <v>554.4</v>
      </c>
      <c r="R379" s="236"/>
      <c r="S379" s="236"/>
      <c r="T379" s="236"/>
      <c r="U379" s="236"/>
      <c r="V379" s="236"/>
      <c r="W379" s="236"/>
      <c r="X379" s="236"/>
      <c r="Y379" s="236"/>
      <c r="Z379" s="236"/>
      <c r="AA379" s="236"/>
      <c r="AB379" s="236"/>
      <c r="AC379" s="236"/>
    </row>
    <row r="380" spans="3:29" s="235" customFormat="1" ht="15" customHeight="1">
      <c r="C380" s="306"/>
      <c r="D380" s="175" t="str">
        <f>IF(Indice_index!$Z$1=1,"agosto","August")</f>
        <v>August</v>
      </c>
      <c r="E380" s="1188">
        <v>973</v>
      </c>
      <c r="F380" s="1188">
        <v>157</v>
      </c>
      <c r="G380" s="1188">
        <v>853</v>
      </c>
      <c r="H380" s="1188">
        <v>1983</v>
      </c>
      <c r="I380" s="1188">
        <v>1061</v>
      </c>
      <c r="J380" s="1189">
        <v>1053354.69</v>
      </c>
      <c r="K380" s="1189">
        <v>161216.37</v>
      </c>
      <c r="L380" s="1189">
        <v>418478.12</v>
      </c>
      <c r="M380" s="1189">
        <v>1633049.1800000002</v>
      </c>
      <c r="N380" s="1189">
        <v>1130360.99</v>
      </c>
      <c r="O380" s="1189">
        <v>1074.8</v>
      </c>
      <c r="P380" s="1189">
        <v>490.6</v>
      </c>
    </row>
    <row r="381" spans="3:29" s="235" customFormat="1" ht="15" customHeight="1">
      <c r="C381" s="306"/>
      <c r="D381" s="175" t="str">
        <f>IF(Indice_index!$Z$1=1,"setembro","September")</f>
        <v>September</v>
      </c>
      <c r="E381" s="1188">
        <v>1018</v>
      </c>
      <c r="F381" s="1188">
        <v>188</v>
      </c>
      <c r="G381" s="1188">
        <v>921</v>
      </c>
      <c r="H381" s="1188">
        <v>2127</v>
      </c>
      <c r="I381" s="1188">
        <v>957</v>
      </c>
      <c r="J381" s="1189">
        <v>1180241.8500000001</v>
      </c>
      <c r="K381" s="1189">
        <v>212205.83</v>
      </c>
      <c r="L381" s="1189">
        <v>399925.98</v>
      </c>
      <c r="M381" s="1189">
        <v>1792373.66</v>
      </c>
      <c r="N381" s="1189">
        <v>1085699.8899999999</v>
      </c>
      <c r="O381" s="1189">
        <v>1154.5999999999999</v>
      </c>
      <c r="P381" s="1189">
        <v>434.2</v>
      </c>
    </row>
    <row r="382" spans="3:29" s="235" customFormat="1" ht="15" customHeight="1">
      <c r="C382" s="306"/>
      <c r="D382" s="175" t="str">
        <f>IF(Indice_index!$Z$1=1,"outubro","October")</f>
        <v>October</v>
      </c>
      <c r="E382" s="1190">
        <v>830</v>
      </c>
      <c r="F382" s="1190">
        <v>87</v>
      </c>
      <c r="G382" s="1190">
        <v>735</v>
      </c>
      <c r="H382" s="1190">
        <v>1652</v>
      </c>
      <c r="I382" s="1190">
        <v>1129</v>
      </c>
      <c r="J382" s="1191">
        <v>937535.28</v>
      </c>
      <c r="K382" s="1191">
        <v>96065.17</v>
      </c>
      <c r="L382" s="1191">
        <v>327182.71999999997</v>
      </c>
      <c r="M382" s="1191">
        <v>1360783.17</v>
      </c>
      <c r="N382" s="1191">
        <v>1273577.6299999999</v>
      </c>
      <c r="O382" s="1191">
        <v>1127.2</v>
      </c>
      <c r="P382" s="1191">
        <v>445.1</v>
      </c>
    </row>
    <row r="383" spans="3:29" s="174" customFormat="1" ht="15" customHeight="1">
      <c r="C383" s="1187"/>
      <c r="D383" s="175" t="str">
        <f>IF(Indice_index!$Z$1=1,"novembro","November")</f>
        <v>November</v>
      </c>
      <c r="E383" s="1192">
        <v>2057</v>
      </c>
      <c r="F383" s="1192">
        <v>176</v>
      </c>
      <c r="G383" s="1192">
        <v>1034</v>
      </c>
      <c r="H383" s="1192">
        <v>3267</v>
      </c>
      <c r="I383" s="1192">
        <v>1052</v>
      </c>
      <c r="J383" s="1193">
        <v>1512838.7399999998</v>
      </c>
      <c r="K383" s="1193">
        <v>194177.99999999997</v>
      </c>
      <c r="L383" s="1193">
        <v>482554.58</v>
      </c>
      <c r="M383" s="1193">
        <v>2189571.3199999998</v>
      </c>
      <c r="N383" s="1193">
        <v>1179613.68</v>
      </c>
      <c r="O383" s="1193">
        <v>764.4</v>
      </c>
      <c r="P383" s="1193">
        <v>466.7</v>
      </c>
      <c r="R383" s="235"/>
      <c r="S383" s="235"/>
      <c r="T383" s="235"/>
      <c r="U383" s="235"/>
      <c r="V383" s="235"/>
      <c r="W383" s="235"/>
      <c r="X383" s="235"/>
      <c r="Y383" s="235"/>
      <c r="Z383" s="235"/>
      <c r="AA383" s="235"/>
      <c r="AB383" s="235"/>
      <c r="AC383" s="235"/>
    </row>
    <row r="384" spans="3:29" s="235" customFormat="1" ht="15" customHeight="1">
      <c r="C384" s="1130"/>
      <c r="D384" s="175" t="str">
        <f>IF(Indice_index!$Z$1=1,"dezembro","December")</f>
        <v>December</v>
      </c>
      <c r="E384" s="1184">
        <v>2065</v>
      </c>
      <c r="F384" s="1184">
        <v>165</v>
      </c>
      <c r="G384" s="1184">
        <v>643</v>
      </c>
      <c r="H384" s="1184">
        <v>2873</v>
      </c>
      <c r="I384" s="1184">
        <v>1095</v>
      </c>
      <c r="J384" s="1090">
        <v>1764593.98</v>
      </c>
      <c r="K384" s="1090">
        <v>160955.39000000001</v>
      </c>
      <c r="L384" s="1090">
        <v>305412.8</v>
      </c>
      <c r="M384" s="1090">
        <v>2230962.17</v>
      </c>
      <c r="N384" s="1090">
        <v>1240568.53</v>
      </c>
      <c r="O384" s="1090">
        <v>863.5</v>
      </c>
      <c r="P384" s="1090">
        <v>475</v>
      </c>
      <c r="X384" s="52"/>
      <c r="Y384" s="52"/>
      <c r="Z384" s="52"/>
      <c r="AA384" s="173"/>
    </row>
    <row r="385" spans="3:41" s="235" customFormat="1" ht="15" customHeight="1">
      <c r="C385" s="306">
        <v>2020</v>
      </c>
      <c r="D385" s="174"/>
      <c r="E385" s="1184"/>
      <c r="F385" s="1184"/>
      <c r="G385" s="1184"/>
      <c r="H385" s="1184"/>
      <c r="I385" s="1184"/>
      <c r="J385" s="1090"/>
      <c r="K385" s="1090"/>
      <c r="L385" s="1090"/>
      <c r="M385" s="1090"/>
      <c r="N385" s="1090"/>
      <c r="O385" s="1090"/>
      <c r="P385" s="1090"/>
      <c r="R385" s="236"/>
      <c r="S385" s="236"/>
      <c r="T385" s="236"/>
      <c r="U385" s="236"/>
      <c r="V385" s="236"/>
      <c r="W385" s="236"/>
      <c r="X385" s="236"/>
      <c r="Y385" s="236"/>
      <c r="Z385" s="236"/>
      <c r="AA385" s="236"/>
      <c r="AB385" s="236"/>
      <c r="AC385" s="236"/>
    </row>
    <row r="386" spans="3:41" s="174" customFormat="1" ht="15" customHeight="1">
      <c r="C386" s="1187"/>
      <c r="D386" s="175" t="str">
        <f>IF(Indice_index!$Z$1=1,"janeiro","January")</f>
        <v>January</v>
      </c>
      <c r="E386" s="1188">
        <v>1301</v>
      </c>
      <c r="F386" s="1188">
        <v>101</v>
      </c>
      <c r="G386" s="1188">
        <v>1606</v>
      </c>
      <c r="H386" s="1188">
        <v>3008</v>
      </c>
      <c r="I386" s="1188">
        <v>1254</v>
      </c>
      <c r="J386" s="1189">
        <v>1406215.8599999999</v>
      </c>
      <c r="K386" s="1189">
        <v>120721.40999999999</v>
      </c>
      <c r="L386" s="1189">
        <v>1121634.8500000001</v>
      </c>
      <c r="M386" s="1189">
        <v>2648572.12</v>
      </c>
      <c r="N386" s="1189">
        <v>1181130.18</v>
      </c>
      <c r="O386" s="1189">
        <v>1089.0999999999999</v>
      </c>
      <c r="P386" s="1189">
        <v>698.4</v>
      </c>
      <c r="R386" s="236"/>
      <c r="S386" s="236"/>
      <c r="T386" s="236"/>
      <c r="U386" s="236"/>
      <c r="V386" s="236"/>
      <c r="W386" s="236"/>
      <c r="X386" s="236"/>
      <c r="Y386" s="236"/>
      <c r="Z386" s="236"/>
      <c r="AA386" s="236"/>
      <c r="AB386" s="236"/>
      <c r="AC386" s="236"/>
      <c r="AD386" s="440"/>
      <c r="AE386" s="440"/>
      <c r="AF386" s="440"/>
      <c r="AG386" s="440"/>
      <c r="AH386" s="440"/>
      <c r="AI386" s="440"/>
      <c r="AJ386" s="440"/>
      <c r="AK386" s="440"/>
      <c r="AL386" s="440"/>
      <c r="AM386" s="440"/>
      <c r="AN386" s="440"/>
      <c r="AO386" s="440"/>
    </row>
    <row r="387" spans="3:41" s="174" customFormat="1" ht="15" customHeight="1">
      <c r="C387" s="1187"/>
      <c r="D387" s="175" t="str">
        <f>IF(Indice_index!$Z$1=1,"fevereiro","February")</f>
        <v>February</v>
      </c>
      <c r="E387" s="1188">
        <v>1156</v>
      </c>
      <c r="F387" s="1188">
        <v>86</v>
      </c>
      <c r="G387" s="1188">
        <v>784</v>
      </c>
      <c r="H387" s="1188">
        <v>2026</v>
      </c>
      <c r="I387" s="1188">
        <v>1433</v>
      </c>
      <c r="J387" s="1189">
        <v>1256302.7600000002</v>
      </c>
      <c r="K387" s="1189">
        <v>93955.06</v>
      </c>
      <c r="L387" s="1189">
        <v>340075.64</v>
      </c>
      <c r="M387" s="1189">
        <v>1690333.4600000004</v>
      </c>
      <c r="N387" s="1189">
        <v>1470168.61</v>
      </c>
      <c r="O387" s="1189">
        <v>1087.2</v>
      </c>
      <c r="P387" s="1189">
        <v>433.8</v>
      </c>
      <c r="R387" s="236"/>
      <c r="S387" s="236"/>
      <c r="T387" s="236"/>
      <c r="U387" s="236"/>
      <c r="V387" s="236"/>
      <c r="W387" s="236"/>
      <c r="X387" s="236"/>
      <c r="Y387" s="236"/>
      <c r="Z387" s="236"/>
      <c r="AA387" s="236"/>
      <c r="AB387" s="236"/>
      <c r="AC387" s="236"/>
      <c r="AD387" s="440"/>
      <c r="AE387" s="440"/>
      <c r="AF387" s="440"/>
      <c r="AG387" s="440"/>
      <c r="AH387" s="440"/>
      <c r="AI387" s="440"/>
      <c r="AJ387" s="440"/>
      <c r="AK387" s="440"/>
      <c r="AL387" s="440"/>
      <c r="AM387" s="440"/>
      <c r="AN387" s="440"/>
      <c r="AO387" s="440"/>
    </row>
    <row r="388" spans="3:41" s="235" customFormat="1" ht="15" customHeight="1">
      <c r="C388" s="306"/>
      <c r="D388" s="175" t="str">
        <f>IF(Indice_index!$Z$1=1,"março","March")</f>
        <v>March</v>
      </c>
      <c r="E388" s="1188">
        <v>1124</v>
      </c>
      <c r="F388" s="1188">
        <v>296</v>
      </c>
      <c r="G388" s="1188">
        <v>885</v>
      </c>
      <c r="H388" s="1188">
        <v>2305</v>
      </c>
      <c r="I388" s="1188">
        <v>1405</v>
      </c>
      <c r="J388" s="1189">
        <v>1455949.83</v>
      </c>
      <c r="K388" s="1189">
        <v>284777.40000000002</v>
      </c>
      <c r="L388" s="1189">
        <v>458761.12</v>
      </c>
      <c r="M388" s="1189">
        <v>2199488.35</v>
      </c>
      <c r="N388" s="1189">
        <v>1464110.3</v>
      </c>
      <c r="O388" s="1189">
        <v>1225.9000000000001</v>
      </c>
      <c r="P388" s="1189">
        <v>518.4</v>
      </c>
      <c r="R388" s="236"/>
      <c r="S388" s="236"/>
      <c r="T388" s="236"/>
      <c r="U388" s="236"/>
      <c r="V388" s="236"/>
      <c r="W388" s="236"/>
      <c r="X388" s="236"/>
      <c r="Y388" s="236"/>
      <c r="Z388" s="236"/>
      <c r="AA388" s="236"/>
      <c r="AB388" s="236"/>
      <c r="AC388" s="236"/>
      <c r="AD388" s="440"/>
      <c r="AE388" s="440"/>
      <c r="AF388" s="440"/>
      <c r="AG388" s="440"/>
      <c r="AH388" s="440"/>
      <c r="AI388" s="440"/>
      <c r="AJ388" s="440"/>
      <c r="AK388" s="440"/>
      <c r="AL388" s="440"/>
      <c r="AM388" s="440"/>
      <c r="AN388" s="440"/>
      <c r="AO388" s="440"/>
    </row>
    <row r="389" spans="3:41" s="235" customFormat="1" ht="15" customHeight="1">
      <c r="C389" s="306"/>
      <c r="D389" s="175" t="str">
        <f>IF(Indice_index!$Z$1=1,"abril","April")</f>
        <v>April</v>
      </c>
      <c r="E389" s="1188">
        <v>1369</v>
      </c>
      <c r="F389" s="1188">
        <v>110</v>
      </c>
      <c r="G389" s="1188">
        <v>958</v>
      </c>
      <c r="H389" s="1188">
        <v>2437</v>
      </c>
      <c r="I389" s="1188">
        <v>1330</v>
      </c>
      <c r="J389" s="1189">
        <v>1733658.78</v>
      </c>
      <c r="K389" s="1189">
        <v>136607.13</v>
      </c>
      <c r="L389" s="1189">
        <v>469100.58</v>
      </c>
      <c r="M389" s="1189">
        <v>2339366.4900000002</v>
      </c>
      <c r="N389" s="1189">
        <v>1389223.38</v>
      </c>
      <c r="O389" s="1189">
        <v>1264.5</v>
      </c>
      <c r="P389" s="1189">
        <v>489.7</v>
      </c>
      <c r="R389" s="236"/>
      <c r="S389" s="236"/>
      <c r="T389" s="236"/>
      <c r="U389" s="236"/>
      <c r="V389" s="236"/>
      <c r="W389" s="236"/>
      <c r="X389" s="236"/>
      <c r="Y389" s="236"/>
      <c r="Z389" s="236"/>
      <c r="AA389" s="236"/>
      <c r="AB389" s="236"/>
      <c r="AC389" s="236"/>
      <c r="AD389" s="440"/>
      <c r="AE389" s="440"/>
      <c r="AF389" s="440"/>
      <c r="AG389" s="440"/>
      <c r="AH389" s="440"/>
      <c r="AI389" s="440"/>
      <c r="AJ389" s="440"/>
      <c r="AK389" s="440"/>
      <c r="AL389" s="440"/>
      <c r="AM389" s="440"/>
      <c r="AN389" s="440"/>
      <c r="AO389" s="440"/>
    </row>
    <row r="390" spans="3:41" s="235" customFormat="1" ht="15" customHeight="1">
      <c r="C390" s="306"/>
      <c r="D390" s="175" t="str">
        <f>IF(Indice_index!$Z$1=1,"maio","May")</f>
        <v>May</v>
      </c>
      <c r="E390" s="1188">
        <v>1531</v>
      </c>
      <c r="F390" s="1188">
        <v>78</v>
      </c>
      <c r="G390" s="1188">
        <v>981</v>
      </c>
      <c r="H390" s="1188">
        <v>2590</v>
      </c>
      <c r="I390" s="1188">
        <v>1371</v>
      </c>
      <c r="J390" s="1189">
        <v>1984223.61</v>
      </c>
      <c r="K390" s="1189">
        <v>92547.049999999988</v>
      </c>
      <c r="L390" s="1189">
        <v>505983.3</v>
      </c>
      <c r="M390" s="1189">
        <v>2582753.96</v>
      </c>
      <c r="N390" s="1189">
        <v>1531210.28</v>
      </c>
      <c r="O390" s="1189">
        <v>1290.7</v>
      </c>
      <c r="P390" s="1189">
        <v>515.79999999999995</v>
      </c>
      <c r="R390" s="236"/>
      <c r="S390" s="236"/>
      <c r="T390" s="236"/>
      <c r="U390" s="236"/>
      <c r="V390" s="236"/>
      <c r="W390" s="236"/>
      <c r="X390" s="236"/>
      <c r="Y390" s="236"/>
      <c r="Z390" s="236"/>
      <c r="AA390" s="236"/>
      <c r="AB390" s="236"/>
      <c r="AC390" s="236"/>
      <c r="AD390" s="440"/>
      <c r="AE390" s="440"/>
      <c r="AF390" s="440"/>
      <c r="AG390" s="440"/>
      <c r="AH390" s="440"/>
      <c r="AI390" s="440"/>
      <c r="AJ390" s="440"/>
      <c r="AK390" s="440"/>
      <c r="AL390" s="440"/>
      <c r="AM390" s="440"/>
      <c r="AN390" s="440"/>
      <c r="AO390" s="440"/>
    </row>
    <row r="391" spans="3:41" s="235" customFormat="1" ht="15" customHeight="1">
      <c r="C391" s="306"/>
      <c r="D391" s="175" t="str">
        <f>IF(Indice_index!$Z$1=1,"junho","June")</f>
        <v>June</v>
      </c>
      <c r="E391" s="1188">
        <v>1499</v>
      </c>
      <c r="F391" s="1188">
        <v>89</v>
      </c>
      <c r="G391" s="1188">
        <v>865</v>
      </c>
      <c r="H391" s="1188">
        <v>2453</v>
      </c>
      <c r="I391" s="1188">
        <v>1349</v>
      </c>
      <c r="J391" s="1189">
        <v>1855493.75</v>
      </c>
      <c r="K391" s="1189">
        <v>106652.79</v>
      </c>
      <c r="L391" s="1189">
        <v>464286.68</v>
      </c>
      <c r="M391" s="1189">
        <v>2426433.2200000002</v>
      </c>
      <c r="N391" s="1189">
        <v>1540020.1</v>
      </c>
      <c r="O391" s="1189">
        <v>1235.5999999999999</v>
      </c>
      <c r="P391" s="1189">
        <v>536.70000000000005</v>
      </c>
      <c r="R391" s="236"/>
      <c r="S391" s="236"/>
      <c r="T391" s="236"/>
      <c r="U391" s="236"/>
      <c r="V391" s="236"/>
      <c r="W391" s="236"/>
      <c r="X391" s="236"/>
      <c r="Y391" s="236"/>
      <c r="Z391" s="236"/>
      <c r="AA391" s="236"/>
      <c r="AB391" s="236"/>
      <c r="AC391" s="236"/>
    </row>
    <row r="392" spans="3:41" s="235" customFormat="1" ht="15" customHeight="1">
      <c r="C392" s="306"/>
      <c r="D392" s="175" t="str">
        <f>IF(Indice_index!$Z$1=1,"julho","July")</f>
        <v>July</v>
      </c>
      <c r="E392" s="1188">
        <v>1452</v>
      </c>
      <c r="F392" s="1188">
        <v>58</v>
      </c>
      <c r="G392" s="1188">
        <v>929</v>
      </c>
      <c r="H392" s="1188">
        <v>2439</v>
      </c>
      <c r="I392" s="1188">
        <v>1105</v>
      </c>
      <c r="J392" s="1189">
        <v>1944599.44</v>
      </c>
      <c r="K392" s="1189">
        <v>67974.77</v>
      </c>
      <c r="L392" s="1189">
        <v>541800.02</v>
      </c>
      <c r="M392" s="1189">
        <v>2554374.23</v>
      </c>
      <c r="N392" s="1189">
        <v>1241641.8799999999</v>
      </c>
      <c r="O392" s="1189">
        <v>1332.8</v>
      </c>
      <c r="P392" s="1189">
        <v>583.20000000000005</v>
      </c>
      <c r="R392" s="236"/>
      <c r="S392" s="236"/>
      <c r="T392" s="236"/>
      <c r="U392" s="236"/>
      <c r="V392" s="236"/>
      <c r="W392" s="236"/>
      <c r="X392" s="236"/>
      <c r="Y392" s="236"/>
      <c r="Z392" s="236"/>
      <c r="AA392" s="236"/>
      <c r="AB392" s="236"/>
      <c r="AC392" s="236"/>
    </row>
    <row r="393" spans="3:41" s="235" customFormat="1" ht="15" customHeight="1">
      <c r="C393" s="306"/>
      <c r="D393" s="175" t="str">
        <f>IF(Indice_index!$Z$1=1,"agosto","August")</f>
        <v>August</v>
      </c>
      <c r="E393" s="1188">
        <v>1470</v>
      </c>
      <c r="F393" s="1188">
        <v>36</v>
      </c>
      <c r="G393" s="1188">
        <v>1000</v>
      </c>
      <c r="H393" s="1188">
        <v>2506</v>
      </c>
      <c r="I393" s="1188">
        <v>1168</v>
      </c>
      <c r="J393" s="1189">
        <v>1875739.22</v>
      </c>
      <c r="K393" s="1189">
        <v>36978.129999999997</v>
      </c>
      <c r="L393" s="1189">
        <v>554835.69000000006</v>
      </c>
      <c r="M393" s="1189">
        <v>2467553.04</v>
      </c>
      <c r="N393" s="1189">
        <v>1282507.42</v>
      </c>
      <c r="O393" s="1189">
        <v>1270.0999999999999</v>
      </c>
      <c r="P393" s="1189">
        <v>554.79999999999995</v>
      </c>
    </row>
    <row r="394" spans="3:41" s="235" customFormat="1" ht="15" customHeight="1">
      <c r="C394" s="306"/>
      <c r="D394" s="175" t="str">
        <f>IF(Indice_index!$Z$1=1,"setembro","September")</f>
        <v>September</v>
      </c>
      <c r="E394" s="1188">
        <v>1318</v>
      </c>
      <c r="F394" s="1188">
        <v>29</v>
      </c>
      <c r="G394" s="1188">
        <v>773</v>
      </c>
      <c r="H394" s="1188">
        <v>2120</v>
      </c>
      <c r="I394" s="1188">
        <v>1265</v>
      </c>
      <c r="J394" s="1189">
        <v>2047092.5899999999</v>
      </c>
      <c r="K394" s="1189">
        <v>39101.64</v>
      </c>
      <c r="L394" s="1189">
        <v>431175.01</v>
      </c>
      <c r="M394" s="1189">
        <v>2517369.2399999998</v>
      </c>
      <c r="N394" s="1189">
        <v>1390071.15</v>
      </c>
      <c r="O394" s="1189">
        <v>1548.8</v>
      </c>
      <c r="P394" s="1189">
        <v>557.79999999999995</v>
      </c>
    </row>
    <row r="395" spans="3:41" s="235" customFormat="1" ht="15" customHeight="1">
      <c r="C395" s="306"/>
      <c r="D395" s="175" t="str">
        <f>IF(Indice_index!$Z$1=1,"outubro","October")</f>
        <v>October</v>
      </c>
      <c r="E395" s="1194">
        <v>1206</v>
      </c>
      <c r="F395" s="1194">
        <v>27</v>
      </c>
      <c r="G395" s="1194">
        <v>773</v>
      </c>
      <c r="H395" s="1194">
        <v>2006</v>
      </c>
      <c r="I395" s="1194">
        <v>1151</v>
      </c>
      <c r="J395" s="1195">
        <v>1774555.76</v>
      </c>
      <c r="K395" s="1195">
        <v>41696.28</v>
      </c>
      <c r="L395" s="1195">
        <v>424627.48</v>
      </c>
      <c r="M395" s="1195">
        <v>2240879.52</v>
      </c>
      <c r="N395" s="1195">
        <v>1317894.17</v>
      </c>
      <c r="O395" s="1195">
        <v>1473</v>
      </c>
      <c r="P395" s="1195">
        <v>549.29999999999995</v>
      </c>
    </row>
    <row r="396" spans="3:41" s="174" customFormat="1" ht="15" customHeight="1">
      <c r="C396" s="1187"/>
      <c r="D396" s="175" t="str">
        <f>IF(Indice_index!$Z$1=1,"novembro","November")</f>
        <v>November</v>
      </c>
      <c r="E396" s="1196">
        <v>1111</v>
      </c>
      <c r="F396" s="1196">
        <v>86</v>
      </c>
      <c r="G396" s="1196">
        <v>871</v>
      </c>
      <c r="H396" s="1196">
        <v>2068</v>
      </c>
      <c r="I396" s="1196">
        <v>1162</v>
      </c>
      <c r="J396" s="1197">
        <v>1770166.95</v>
      </c>
      <c r="K396" s="1197">
        <v>101722.77</v>
      </c>
      <c r="L396" s="1197">
        <v>447410.54</v>
      </c>
      <c r="M396" s="1197">
        <v>2319300.2599999998</v>
      </c>
      <c r="N396" s="1197">
        <v>1306216.53</v>
      </c>
      <c r="O396" s="1197">
        <v>1563.8</v>
      </c>
      <c r="P396" s="1197">
        <v>513.70000000000005</v>
      </c>
      <c r="R396" s="235"/>
      <c r="S396" s="235"/>
      <c r="T396" s="235"/>
      <c r="U396" s="235"/>
      <c r="V396" s="235"/>
      <c r="W396" s="235"/>
      <c r="X396" s="235"/>
      <c r="Y396" s="235"/>
      <c r="Z396" s="235"/>
      <c r="AA396" s="235"/>
      <c r="AB396" s="235"/>
      <c r="AC396" s="235"/>
    </row>
    <row r="397" spans="3:41" s="235" customFormat="1" ht="15" customHeight="1">
      <c r="C397" s="1130"/>
      <c r="D397" s="175" t="str">
        <f>IF(Indice_index!$Z$1=1,"dezembro","December")</f>
        <v>December</v>
      </c>
      <c r="E397" s="1198">
        <v>1057</v>
      </c>
      <c r="F397" s="1198">
        <v>106</v>
      </c>
      <c r="G397" s="1198">
        <v>889</v>
      </c>
      <c r="H397" s="1198">
        <v>2052</v>
      </c>
      <c r="I397" s="1198">
        <v>1288</v>
      </c>
      <c r="J397" s="1199">
        <v>1823991.91</v>
      </c>
      <c r="K397" s="1199">
        <v>121644.84</v>
      </c>
      <c r="L397" s="1199">
        <v>467474.39</v>
      </c>
      <c r="M397" s="1199">
        <v>2413111.14</v>
      </c>
      <c r="N397" s="1199">
        <v>1486433.23</v>
      </c>
      <c r="O397" s="1199">
        <v>1672.9</v>
      </c>
      <c r="P397" s="1199">
        <v>525.79999999999995</v>
      </c>
      <c r="X397" s="52"/>
      <c r="Y397" s="52"/>
      <c r="Z397" s="52"/>
      <c r="AA397" s="173"/>
    </row>
    <row r="398" spans="3:41" s="235" customFormat="1" ht="15" customHeight="1">
      <c r="C398" s="1200" t="s">
        <v>83</v>
      </c>
      <c r="D398" s="174"/>
      <c r="E398" s="1184"/>
      <c r="F398" s="1184"/>
      <c r="G398" s="1184"/>
      <c r="H398" s="1184"/>
      <c r="I398" s="1184"/>
      <c r="J398" s="1090"/>
      <c r="K398" s="1090"/>
      <c r="L398" s="1090"/>
      <c r="M398" s="1090"/>
      <c r="N398" s="1090"/>
      <c r="O398" s="1090"/>
      <c r="P398" s="1090"/>
      <c r="R398" s="236"/>
      <c r="S398" s="236"/>
      <c r="T398" s="236"/>
      <c r="U398" s="236"/>
      <c r="V398" s="236"/>
      <c r="W398" s="236"/>
      <c r="X398" s="236"/>
      <c r="Y398" s="236"/>
      <c r="Z398" s="236"/>
      <c r="AA398" s="236"/>
      <c r="AB398" s="236"/>
      <c r="AC398" s="236"/>
    </row>
    <row r="399" spans="3:41" s="174" customFormat="1" ht="15" customHeight="1">
      <c r="C399" s="1187"/>
      <c r="D399" s="175" t="str">
        <f>IF(Indice_index!$Z$1=1,"janeiro","January")</f>
        <v>January</v>
      </c>
      <c r="E399" s="1188">
        <v>1024</v>
      </c>
      <c r="F399" s="1188">
        <v>87</v>
      </c>
      <c r="G399" s="1188">
        <v>678</v>
      </c>
      <c r="H399" s="1188">
        <v>1789</v>
      </c>
      <c r="I399" s="1188">
        <v>1319</v>
      </c>
      <c r="J399" s="1189">
        <v>1639431.98</v>
      </c>
      <c r="K399" s="1189">
        <v>104309.67</v>
      </c>
      <c r="L399" s="1189">
        <v>372691.26</v>
      </c>
      <c r="M399" s="1189">
        <v>2116432.91</v>
      </c>
      <c r="N399" s="1189">
        <v>1451929.72</v>
      </c>
      <c r="O399" s="1189">
        <v>1569.5</v>
      </c>
      <c r="P399" s="1189">
        <v>549.70000000000005</v>
      </c>
      <c r="R399" s="236"/>
      <c r="S399" s="236"/>
      <c r="T399" s="236"/>
      <c r="U399" s="236"/>
      <c r="V399" s="236"/>
      <c r="W399" s="236"/>
      <c r="X399" s="236"/>
      <c r="Y399" s="236"/>
      <c r="Z399" s="236"/>
      <c r="AA399" s="236"/>
      <c r="AB399" s="236"/>
      <c r="AC399" s="236"/>
      <c r="AD399" s="440"/>
      <c r="AE399" s="440"/>
      <c r="AF399" s="440"/>
      <c r="AG399" s="440"/>
      <c r="AH399" s="440"/>
      <c r="AI399" s="440"/>
      <c r="AJ399" s="440"/>
      <c r="AK399" s="440"/>
      <c r="AL399" s="440"/>
      <c r="AM399" s="440"/>
      <c r="AN399" s="440"/>
      <c r="AO399" s="440"/>
    </row>
    <row r="400" spans="3:41" s="174" customFormat="1" ht="15" customHeight="1">
      <c r="C400" s="1187"/>
      <c r="D400" s="175" t="str">
        <f>IF(Indice_index!$Z$1=1,"fevereiro","February")</f>
        <v>February</v>
      </c>
      <c r="E400" s="1188">
        <v>883</v>
      </c>
      <c r="F400" s="1188">
        <v>101</v>
      </c>
      <c r="G400" s="1188">
        <v>836</v>
      </c>
      <c r="H400" s="1188">
        <v>1820</v>
      </c>
      <c r="I400" s="1188">
        <v>1678</v>
      </c>
      <c r="J400" s="1189">
        <v>1306138.5900000001</v>
      </c>
      <c r="K400" s="1189">
        <v>100339.62</v>
      </c>
      <c r="L400" s="1189">
        <v>458772.69</v>
      </c>
      <c r="M400" s="1189">
        <v>1865250.9</v>
      </c>
      <c r="N400" s="1189">
        <v>1928449.74</v>
      </c>
      <c r="O400" s="1189">
        <v>1429.3</v>
      </c>
      <c r="P400" s="1189">
        <v>548.79999999999995</v>
      </c>
      <c r="R400" s="236"/>
      <c r="S400" s="236"/>
      <c r="T400" s="236"/>
      <c r="U400" s="236"/>
      <c r="V400" s="236"/>
      <c r="W400" s="236"/>
      <c r="X400" s="236"/>
      <c r="Y400" s="236"/>
      <c r="Z400" s="236"/>
      <c r="AA400" s="236"/>
      <c r="AB400" s="236"/>
      <c r="AC400" s="236"/>
      <c r="AD400" s="440"/>
      <c r="AE400" s="440"/>
      <c r="AF400" s="440"/>
      <c r="AG400" s="440"/>
      <c r="AH400" s="440"/>
      <c r="AI400" s="440"/>
      <c r="AJ400" s="440"/>
      <c r="AK400" s="440"/>
      <c r="AL400" s="440"/>
      <c r="AM400" s="440"/>
      <c r="AN400" s="440"/>
      <c r="AO400" s="440"/>
    </row>
    <row r="401" spans="3:41" s="235" customFormat="1" ht="15" customHeight="1">
      <c r="C401" s="306"/>
      <c r="D401" s="175" t="str">
        <f>IF(Indice_index!$Z$1=1,"março","March")</f>
        <v>March</v>
      </c>
      <c r="E401" s="1201">
        <v>1036</v>
      </c>
      <c r="F401" s="1201">
        <v>222</v>
      </c>
      <c r="G401" s="1201">
        <v>1078</v>
      </c>
      <c r="H401" s="1201">
        <v>2336</v>
      </c>
      <c r="I401" s="1201">
        <v>2405</v>
      </c>
      <c r="J401" s="1202">
        <v>1613764.1900000002</v>
      </c>
      <c r="K401" s="1202">
        <v>133205.26999999999</v>
      </c>
      <c r="L401" s="1202">
        <v>613383.06000000006</v>
      </c>
      <c r="M401" s="1202">
        <v>2360352.5200000005</v>
      </c>
      <c r="N401" s="1202">
        <v>2673440.56</v>
      </c>
      <c r="O401" s="1202">
        <v>1388.7</v>
      </c>
      <c r="P401" s="1202">
        <v>569</v>
      </c>
      <c r="R401" s="236"/>
      <c r="S401" s="236"/>
      <c r="T401" s="236"/>
      <c r="U401" s="236"/>
      <c r="V401" s="236"/>
      <c r="W401" s="236"/>
      <c r="X401" s="236"/>
      <c r="Y401" s="236"/>
      <c r="Z401" s="236"/>
      <c r="AA401" s="236"/>
      <c r="AB401" s="236"/>
      <c r="AC401" s="236"/>
      <c r="AD401" s="440"/>
      <c r="AE401" s="440"/>
      <c r="AF401" s="440"/>
      <c r="AG401" s="440"/>
      <c r="AH401" s="440"/>
      <c r="AI401" s="440"/>
      <c r="AJ401" s="440"/>
      <c r="AK401" s="440"/>
      <c r="AL401" s="440"/>
      <c r="AM401" s="440"/>
      <c r="AN401" s="440"/>
      <c r="AO401" s="440"/>
    </row>
    <row r="402" spans="3:41" s="235" customFormat="1" ht="15" customHeight="1">
      <c r="C402" s="306"/>
      <c r="D402" s="175" t="str">
        <f>IF(Indice_index!$Z$1=1,"abril","April")</f>
        <v>April</v>
      </c>
      <c r="E402" s="1188">
        <v>1283</v>
      </c>
      <c r="F402" s="1188">
        <v>72</v>
      </c>
      <c r="G402" s="1188">
        <v>1236</v>
      </c>
      <c r="H402" s="1188">
        <v>2591</v>
      </c>
      <c r="I402" s="1188">
        <v>1968</v>
      </c>
      <c r="J402" s="1189">
        <v>1804177.68</v>
      </c>
      <c r="K402" s="1189">
        <v>70996.08</v>
      </c>
      <c r="L402" s="1189">
        <v>710753.37</v>
      </c>
      <c r="M402" s="1189">
        <v>2585927.13</v>
      </c>
      <c r="N402" s="1189">
        <v>2223482.38</v>
      </c>
      <c r="O402" s="1189">
        <v>1383.9</v>
      </c>
      <c r="P402" s="1189">
        <v>575</v>
      </c>
      <c r="R402" s="236"/>
      <c r="S402" s="236"/>
      <c r="T402" s="236"/>
      <c r="U402" s="236"/>
      <c r="V402" s="236"/>
      <c r="W402" s="236"/>
      <c r="X402" s="236"/>
      <c r="Y402" s="236"/>
      <c r="Z402" s="236"/>
      <c r="AA402" s="236"/>
      <c r="AB402" s="236"/>
      <c r="AC402" s="236"/>
      <c r="AD402" s="440"/>
      <c r="AE402" s="440"/>
      <c r="AF402" s="440"/>
      <c r="AG402" s="440"/>
      <c r="AH402" s="440"/>
      <c r="AI402" s="440"/>
      <c r="AJ402" s="440"/>
      <c r="AK402" s="440"/>
      <c r="AL402" s="440"/>
      <c r="AM402" s="440"/>
      <c r="AN402" s="440"/>
      <c r="AO402" s="440"/>
    </row>
    <row r="403" spans="3:41" s="235" customFormat="1" ht="15" customHeight="1">
      <c r="C403" s="306"/>
      <c r="D403" s="175" t="str">
        <f>IF(Indice_index!$Z$1=1,"maio","May")</f>
        <v>May</v>
      </c>
      <c r="E403" s="1203">
        <v>1308</v>
      </c>
      <c r="F403" s="1203">
        <v>110</v>
      </c>
      <c r="G403" s="1203">
        <v>1023</v>
      </c>
      <c r="H403" s="1203">
        <v>2441</v>
      </c>
      <c r="I403" s="1203">
        <v>1258</v>
      </c>
      <c r="J403" s="1204">
        <v>1815930.3900000001</v>
      </c>
      <c r="K403" s="1204">
        <v>133305.41</v>
      </c>
      <c r="L403" s="1204">
        <v>555171.43000000005</v>
      </c>
      <c r="M403" s="1204">
        <v>2504407.23</v>
      </c>
      <c r="N403" s="1204">
        <v>1405971.93</v>
      </c>
      <c r="O403" s="1204">
        <v>1374.6</v>
      </c>
      <c r="P403" s="1204">
        <v>542.70000000000005</v>
      </c>
      <c r="R403" s="236"/>
      <c r="S403" s="236"/>
      <c r="T403" s="236"/>
      <c r="U403" s="236"/>
      <c r="V403" s="236"/>
      <c r="W403" s="236"/>
      <c r="X403" s="236"/>
      <c r="Y403" s="236"/>
      <c r="Z403" s="236"/>
      <c r="AA403" s="236"/>
      <c r="AB403" s="236"/>
      <c r="AC403" s="236"/>
      <c r="AD403" s="440"/>
      <c r="AE403" s="440"/>
      <c r="AF403" s="440"/>
      <c r="AG403" s="440"/>
      <c r="AH403" s="440"/>
      <c r="AI403" s="440"/>
      <c r="AJ403" s="440"/>
      <c r="AK403" s="440"/>
      <c r="AL403" s="440"/>
      <c r="AM403" s="440"/>
      <c r="AN403" s="440"/>
      <c r="AO403" s="440"/>
    </row>
    <row r="404" spans="3:41" s="235" customFormat="1" ht="15" customHeight="1">
      <c r="C404" s="306"/>
      <c r="D404" s="175" t="str">
        <f>IF(Indice_index!$Z$1=1,"junho","June")</f>
        <v>June</v>
      </c>
      <c r="E404" s="1205">
        <v>1295</v>
      </c>
      <c r="F404" s="1205">
        <v>111</v>
      </c>
      <c r="G404" s="1205">
        <v>934</v>
      </c>
      <c r="H404" s="1205">
        <v>2340</v>
      </c>
      <c r="I404" s="1205">
        <v>1117</v>
      </c>
      <c r="J404" s="1206">
        <v>1705979.83</v>
      </c>
      <c r="K404" s="1206">
        <v>133788.29999999999</v>
      </c>
      <c r="L404" s="1206">
        <v>509751.18</v>
      </c>
      <c r="M404" s="1206">
        <v>2349519.31</v>
      </c>
      <c r="N404" s="1206">
        <v>1237118.06</v>
      </c>
      <c r="O404" s="1206">
        <v>1308.5</v>
      </c>
      <c r="P404" s="1206">
        <v>545.79999999999995</v>
      </c>
      <c r="R404" s="236"/>
      <c r="S404" s="236"/>
      <c r="T404" s="236"/>
      <c r="U404" s="236"/>
      <c r="V404" s="236"/>
      <c r="W404" s="236"/>
      <c r="X404" s="236"/>
      <c r="Y404" s="236"/>
      <c r="Z404" s="236"/>
      <c r="AA404" s="236"/>
      <c r="AB404" s="236"/>
      <c r="AC404" s="236"/>
    </row>
    <row r="405" spans="3:41" s="235" customFormat="1" ht="15" customHeight="1">
      <c r="C405" s="306"/>
      <c r="D405" s="175" t="str">
        <f>IF(Indice_index!$Z$1=1,"julho","July")</f>
        <v>July</v>
      </c>
      <c r="E405" s="1207">
        <v>1548</v>
      </c>
      <c r="F405" s="1207">
        <v>107</v>
      </c>
      <c r="G405" s="1207">
        <v>769</v>
      </c>
      <c r="H405" s="1207">
        <v>2424</v>
      </c>
      <c r="I405" s="1207">
        <v>1105</v>
      </c>
      <c r="J405" s="1208">
        <v>2041996.1</v>
      </c>
      <c r="K405" s="1208">
        <v>127232.38</v>
      </c>
      <c r="L405" s="1208">
        <v>390379.21</v>
      </c>
      <c r="M405" s="1208">
        <v>2559607.69</v>
      </c>
      <c r="N405" s="1208">
        <v>1305963.02</v>
      </c>
      <c r="O405" s="1208">
        <v>1310.7</v>
      </c>
      <c r="P405" s="1208">
        <v>507.6</v>
      </c>
      <c r="R405" s="236"/>
      <c r="S405" s="236"/>
      <c r="T405" s="236"/>
      <c r="U405" s="236"/>
      <c r="V405" s="236"/>
      <c r="W405" s="236"/>
      <c r="X405" s="236"/>
      <c r="Y405" s="236"/>
      <c r="Z405" s="236"/>
      <c r="AA405" s="236"/>
      <c r="AB405" s="236"/>
      <c r="AC405" s="236"/>
    </row>
    <row r="406" spans="3:41" s="235" customFormat="1" ht="15" customHeight="1">
      <c r="C406" s="306"/>
      <c r="D406" s="175" t="str">
        <f>IF(Indice_index!$Z$1=1,"agosto","August")</f>
        <v>August</v>
      </c>
      <c r="E406" s="1209">
        <v>1486</v>
      </c>
      <c r="F406" s="1209">
        <v>126</v>
      </c>
      <c r="G406" s="1209">
        <v>863</v>
      </c>
      <c r="H406" s="1209">
        <v>2475</v>
      </c>
      <c r="I406" s="1209">
        <v>1058</v>
      </c>
      <c r="J406" s="1210">
        <v>1897364.2</v>
      </c>
      <c r="K406" s="1210">
        <v>142210.25</v>
      </c>
      <c r="L406" s="1210">
        <v>468601</v>
      </c>
      <c r="M406" s="1210">
        <v>2508175.4500000002</v>
      </c>
      <c r="N406" s="1210">
        <v>1161705</v>
      </c>
      <c r="O406" s="1211">
        <v>1265.2</v>
      </c>
      <c r="P406" s="1211">
        <v>543</v>
      </c>
    </row>
    <row r="407" spans="3:41" s="235" customFormat="1" ht="15" customHeight="1">
      <c r="C407" s="306"/>
      <c r="D407" s="175" t="str">
        <f>IF(Indice_index!$Z$1=1,"setembro","September")</f>
        <v>September</v>
      </c>
      <c r="E407" s="1212">
        <v>1195</v>
      </c>
      <c r="F407" s="1212">
        <v>88</v>
      </c>
      <c r="G407" s="1212">
        <v>728</v>
      </c>
      <c r="H407" s="1212">
        <v>2011</v>
      </c>
      <c r="I407" s="1212">
        <v>1125</v>
      </c>
      <c r="J407" s="1213">
        <v>1784873.2</v>
      </c>
      <c r="K407" s="1213">
        <v>94208.49</v>
      </c>
      <c r="L407" s="1213">
        <v>389174.55</v>
      </c>
      <c r="M407" s="1213">
        <v>2268256.2399999998</v>
      </c>
      <c r="N407" s="1213">
        <v>1343124.69</v>
      </c>
      <c r="O407" s="1214">
        <v>1464.6</v>
      </c>
      <c r="P407" s="1214">
        <v>534.6</v>
      </c>
    </row>
    <row r="408" spans="3:41" s="235" customFormat="1" ht="15" customHeight="1">
      <c r="C408" s="306"/>
      <c r="D408" s="175" t="str">
        <f>IF(Indice_index!$Z$1=1,"outubro","October")</f>
        <v>October</v>
      </c>
      <c r="E408" s="1194">
        <v>1266</v>
      </c>
      <c r="F408" s="1194">
        <v>100</v>
      </c>
      <c r="G408" s="1194">
        <v>617</v>
      </c>
      <c r="H408" s="1194">
        <v>1983</v>
      </c>
      <c r="I408" s="1194">
        <v>1209</v>
      </c>
      <c r="J408" s="1195">
        <v>1666727.6800000002</v>
      </c>
      <c r="K408" s="1195">
        <v>122592.57999999999</v>
      </c>
      <c r="L408" s="1195">
        <v>317206.96000000002</v>
      </c>
      <c r="M408" s="1195">
        <v>2106527.2200000002</v>
      </c>
      <c r="N408" s="1195">
        <v>1330476.01</v>
      </c>
      <c r="O408" s="1195">
        <v>1309.9000000000001</v>
      </c>
      <c r="P408" s="1195">
        <v>514.1</v>
      </c>
    </row>
    <row r="409" spans="3:41" s="174" customFormat="1" ht="15" customHeight="1">
      <c r="C409" s="1187"/>
      <c r="D409" s="175" t="str">
        <f>IF(Indice_index!$Z$1=1,"novembro","November")</f>
        <v>November</v>
      </c>
      <c r="E409" s="1196">
        <v>1183</v>
      </c>
      <c r="F409" s="1196">
        <v>103</v>
      </c>
      <c r="G409" s="1196">
        <v>799</v>
      </c>
      <c r="H409" s="1196">
        <v>2085</v>
      </c>
      <c r="I409" s="1196">
        <v>1166</v>
      </c>
      <c r="J409" s="1197">
        <v>1598623.57</v>
      </c>
      <c r="K409" s="1197">
        <v>130135.86000000002</v>
      </c>
      <c r="L409" s="1197">
        <v>460655.36000000004</v>
      </c>
      <c r="M409" s="1197">
        <v>2189414.79</v>
      </c>
      <c r="N409" s="1197">
        <v>1319273.3500000001</v>
      </c>
      <c r="O409" s="1197">
        <v>1344.3</v>
      </c>
      <c r="P409" s="1197">
        <v>576.5</v>
      </c>
      <c r="R409" s="235"/>
      <c r="S409" s="235"/>
      <c r="T409" s="235"/>
      <c r="U409" s="235"/>
      <c r="V409" s="235"/>
      <c r="W409" s="235"/>
      <c r="X409" s="235"/>
      <c r="Y409" s="235"/>
      <c r="Z409" s="235"/>
      <c r="AA409" s="235"/>
      <c r="AB409" s="235"/>
      <c r="AC409" s="235"/>
    </row>
    <row r="410" spans="3:41" s="235" customFormat="1" ht="15" customHeight="1">
      <c r="C410" s="1130"/>
      <c r="D410" s="175" t="str">
        <f>IF(Indice_index!$Z$1=1,"dezembro","December")</f>
        <v>December</v>
      </c>
      <c r="E410" s="1258">
        <v>1258</v>
      </c>
      <c r="F410" s="1258">
        <v>86</v>
      </c>
      <c r="G410" s="1258">
        <v>799</v>
      </c>
      <c r="H410" s="1258">
        <v>2143</v>
      </c>
      <c r="I410" s="1258">
        <v>1157</v>
      </c>
      <c r="J410" s="1259">
        <v>1695800.9499999997</v>
      </c>
      <c r="K410" s="1259">
        <v>99472.79</v>
      </c>
      <c r="L410" s="1259">
        <v>423524.91</v>
      </c>
      <c r="M410" s="1259">
        <v>2218798.65</v>
      </c>
      <c r="N410" s="1259">
        <v>1390334.04</v>
      </c>
      <c r="O410" s="1257">
        <v>1335.8</v>
      </c>
      <c r="P410" s="1257">
        <v>530.1</v>
      </c>
      <c r="X410" s="52"/>
      <c r="Y410" s="52"/>
      <c r="Z410" s="52"/>
      <c r="AA410" s="173"/>
    </row>
    <row r="411" spans="3:41" s="235" customFormat="1" ht="3" customHeight="1">
      <c r="C411" s="1122"/>
      <c r="D411" s="1123"/>
      <c r="E411" s="1123"/>
      <c r="F411" s="1123"/>
      <c r="G411" s="1123"/>
      <c r="H411" s="1123"/>
      <c r="I411" s="1123"/>
      <c r="J411" s="1123"/>
      <c r="K411" s="1123"/>
      <c r="L411" s="1123"/>
      <c r="M411" s="1123"/>
      <c r="N411" s="1123"/>
      <c r="O411" s="1123"/>
      <c r="P411" s="1123"/>
      <c r="AA411" s="173"/>
    </row>
    <row r="412" spans="3:41" s="235" customFormat="1" ht="15" customHeight="1">
      <c r="C412" s="1215"/>
      <c r="F412" s="173"/>
      <c r="G412" s="173"/>
      <c r="H412" s="173"/>
      <c r="I412" s="173"/>
      <c r="J412" s="173"/>
      <c r="K412" s="173"/>
      <c r="L412" s="175"/>
      <c r="M412" s="175"/>
      <c r="N412" s="175"/>
      <c r="R412" s="174"/>
      <c r="X412" s="52"/>
      <c r="Y412" s="52"/>
      <c r="Z412" s="52"/>
      <c r="AA412" s="173"/>
    </row>
    <row r="413" spans="3:41" s="235" customFormat="1" ht="15" customHeight="1">
      <c r="C413" s="1215"/>
      <c r="F413" s="173"/>
      <c r="G413" s="173"/>
      <c r="H413" s="173"/>
      <c r="I413" s="173"/>
      <c r="J413" s="173"/>
      <c r="K413" s="173"/>
      <c r="L413" s="175"/>
      <c r="M413" s="175"/>
      <c r="N413" s="175"/>
      <c r="R413" s="174"/>
      <c r="X413" s="52"/>
      <c r="Y413" s="52"/>
      <c r="Z413" s="52"/>
      <c r="AA413" s="173"/>
    </row>
    <row r="414" spans="3:41" s="235" customFormat="1" ht="15" customHeight="1">
      <c r="C414" s="1179"/>
      <c r="D414" s="1159"/>
      <c r="E414" s="174"/>
      <c r="F414" s="1159"/>
      <c r="G414" s="1159"/>
      <c r="H414" s="174"/>
      <c r="I414" s="174"/>
      <c r="J414" s="174"/>
      <c r="K414" s="174"/>
      <c r="L414" s="174"/>
      <c r="M414" s="174"/>
      <c r="N414" s="174"/>
      <c r="O414" s="88"/>
      <c r="X414" s="52"/>
      <c r="Y414" s="52"/>
      <c r="Z414" s="52"/>
      <c r="AA414" s="173"/>
    </row>
    <row r="415" spans="3:41" s="235" customFormat="1" ht="12" customHeight="1">
      <c r="C415" s="1120"/>
      <c r="D415" s="1180"/>
      <c r="E415" s="1661" t="str">
        <f>IF(Indice_index!$Z$1=1,"VH do número de pensionistas (%)","YOY Change Rate of the number of subscribers (%)")</f>
        <v>YOY Change Rate of the number of subscribers (%)</v>
      </c>
      <c r="F415" s="1661"/>
      <c r="G415" s="1661"/>
      <c r="H415" s="1661"/>
      <c r="I415" s="1661"/>
      <c r="J415" s="1622" t="str">
        <f>IF(Indice_index!$Z$1=1,"VHA da Despesa com pensões (€)","YOY Change Rate of the Expense with Pensions")</f>
        <v>YOY Change Rate of the Expense with Pensions</v>
      </c>
      <c r="K415" s="1622"/>
      <c r="L415" s="1622"/>
      <c r="M415" s="1622"/>
      <c r="N415" s="1622"/>
      <c r="O415" s="1668" t="str">
        <f>IF(Indice_index!$Z$1=1,"VHA Pensão média nova Aposentação/Reforma (€)","YOY Change Rate of the Average Value paid per new Retirment Pensioner")</f>
        <v>YOY Change Rate of the Average Value paid per new Retirment Pensioner</v>
      </c>
      <c r="P415" s="1662" t="str">
        <f>IF(Indice_index!$Z$1=1,"VHA Pensão média nova Sobrevivência e Outras (€)","YOY Change Rate of the Average Value paid per new Survival and Others Pensioner")</f>
        <v>YOY Change Rate of the Average Value paid per new Survival and Others Pensioner</v>
      </c>
      <c r="X415" s="52"/>
      <c r="Y415" s="52"/>
      <c r="Z415" s="52"/>
      <c r="AA415" s="173"/>
    </row>
    <row r="416" spans="3:41" s="235" customFormat="1" ht="12" customHeight="1">
      <c r="C416" s="1179"/>
      <c r="D416" s="1182"/>
      <c r="E416" s="1661" t="str">
        <f>IF(Indice_index!$Z$1=1,"Novos","New")</f>
        <v>New</v>
      </c>
      <c r="F416" s="1661"/>
      <c r="G416" s="1661"/>
      <c r="H416" s="1661"/>
      <c r="I416" s="1668" t="str">
        <f>IF(Indice_index!$Z$1=1,"Abonos abatidos de Aposentação /Reforma","Allowances deducted from Retirement / Pension")</f>
        <v>Allowances deducted from Retirement / Pension</v>
      </c>
      <c r="J416" s="1622" t="str">
        <f>IF(Indice_index!$Z$1=1,"Novos","New")</f>
        <v>New</v>
      </c>
      <c r="K416" s="1622"/>
      <c r="L416" s="1622"/>
      <c r="M416" s="1622"/>
      <c r="N416" s="1668" t="str">
        <f>IF(Indice_index!$Z$1=1,"Abonos abatidos de Aposentação /Reforma","Allowances deducted from Retirement / Pension")</f>
        <v>Allowances deducted from Retirement / Pension</v>
      </c>
      <c r="O416" s="1668"/>
      <c r="P416" s="1662"/>
      <c r="X416" s="52"/>
      <c r="Y416" s="52"/>
      <c r="Z416" s="52"/>
      <c r="AA416" s="173"/>
    </row>
    <row r="417" spans="3:27" s="235" customFormat="1" ht="42" customHeight="1">
      <c r="C417" s="1122"/>
      <c r="D417" s="1183"/>
      <c r="E417" s="1124" t="str">
        <f>IF(Indice_index!$Z$1=1,"Velhice e Outros Motivos","Old age and other Reasons")</f>
        <v>Old age and other Reasons</v>
      </c>
      <c r="F417" s="1125" t="str">
        <f>IF(Indice_index!$Z$1=1,"Invalidez","Disability")</f>
        <v>Disability</v>
      </c>
      <c r="G417" s="1124" t="str">
        <f>IF(Indice_index!$Z$1=1,"Sobrevivência e Outros","Survival and Others")</f>
        <v>Survival and Others</v>
      </c>
      <c r="H417" s="1124" t="str">
        <f>IF(Indice_index!$Z$1=1,"Total de Pensionistas","Total of Pensioners")</f>
        <v>Total of Pensioners</v>
      </c>
      <c r="I417" s="1668"/>
      <c r="J417" s="1124" t="str">
        <f>IF(Indice_index!$Z$1=1,"Velhice e Outros Motivos","Old age and other Reasons")</f>
        <v>Old age and other Reasons</v>
      </c>
      <c r="K417" s="1125" t="str">
        <f>IF(Indice_index!$Z$1=1,"Invalidez","Disability")</f>
        <v>Disability</v>
      </c>
      <c r="L417" s="1124" t="str">
        <f>IF(Indice_index!$Z$1=1,"Sobrevivência e Outros","Survival and Others")</f>
        <v>Survival and Others</v>
      </c>
      <c r="M417" s="1124" t="str">
        <f>IF(Indice_index!$Z$1=1,"Total","Total")</f>
        <v>Total</v>
      </c>
      <c r="N417" s="1668"/>
      <c r="O417" s="1668"/>
      <c r="P417" s="1662"/>
      <c r="X417" s="52"/>
      <c r="Y417" s="52"/>
      <c r="Z417" s="52"/>
      <c r="AA417" s="173"/>
    </row>
    <row r="418" spans="3:27" s="235" customFormat="1" hidden="1">
      <c r="C418" s="1126" t="s">
        <v>16</v>
      </c>
      <c r="D418" s="1127"/>
      <c r="E418" s="1184"/>
      <c r="F418" s="1184"/>
      <c r="G418" s="1184"/>
      <c r="H418" s="1184"/>
      <c r="I418" s="1184"/>
      <c r="J418" s="1090"/>
      <c r="K418" s="1090"/>
      <c r="L418" s="1090"/>
      <c r="M418" s="174"/>
      <c r="N418" s="1184"/>
      <c r="O418" s="1090"/>
      <c r="X418" s="52"/>
      <c r="Y418" s="52"/>
      <c r="Z418" s="52"/>
      <c r="AA418" s="173"/>
    </row>
    <row r="419" spans="3:27" s="235" customFormat="1" hidden="1">
      <c r="C419" s="1126"/>
      <c r="D419" s="175" t="str">
        <f>IF(Indice_index!$Z$1=1,"janeiro","January")</f>
        <v>January</v>
      </c>
      <c r="E419" s="1090">
        <v>9.6999999999999993</v>
      </c>
      <c r="F419" s="1090">
        <v>5.3</v>
      </c>
      <c r="G419" s="1090">
        <v>21.4</v>
      </c>
      <c r="H419" s="1090">
        <v>12.1</v>
      </c>
      <c r="I419" s="1090">
        <v>-7.8</v>
      </c>
      <c r="J419" s="1090">
        <v>6.5</v>
      </c>
      <c r="K419" s="1090">
        <v>26.4</v>
      </c>
      <c r="L419" s="1090">
        <v>20.6</v>
      </c>
      <c r="M419" s="174">
        <v>9.1999999999999993</v>
      </c>
      <c r="N419" s="1090">
        <v>-5.5</v>
      </c>
      <c r="O419" s="1090">
        <v>-1.1000000000000001</v>
      </c>
      <c r="P419" s="235">
        <v>-0.7</v>
      </c>
      <c r="X419" s="52"/>
      <c r="Y419" s="52"/>
      <c r="Z419" s="52"/>
      <c r="AA419" s="173"/>
    </row>
    <row r="420" spans="3:27" s="235" customFormat="1" hidden="1">
      <c r="C420" s="1128"/>
      <c r="D420" s="175" t="str">
        <f>IF(Indice_index!$Z$1=1,"fevereiro","February")</f>
        <v>February</v>
      </c>
      <c r="E420" s="1090">
        <v>-22.3</v>
      </c>
      <c r="F420" s="1090">
        <v>4.3</v>
      </c>
      <c r="G420" s="1090">
        <v>-6.4</v>
      </c>
      <c r="H420" s="1090">
        <v>-16.2</v>
      </c>
      <c r="I420" s="1090">
        <v>1.5</v>
      </c>
      <c r="J420" s="1090">
        <v>-36.799999999999997</v>
      </c>
      <c r="K420" s="1090">
        <v>6.5</v>
      </c>
      <c r="L420" s="1090">
        <v>-4.5999999999999996</v>
      </c>
      <c r="M420" s="174">
        <v>-30.7</v>
      </c>
      <c r="N420" s="1090">
        <v>-1.2</v>
      </c>
      <c r="O420" s="1090">
        <v>-17.3</v>
      </c>
      <c r="P420" s="1090">
        <v>1.9</v>
      </c>
      <c r="X420" s="52"/>
      <c r="Y420" s="52"/>
      <c r="Z420" s="52"/>
      <c r="AA420" s="173"/>
    </row>
    <row r="421" spans="3:27" s="235" customFormat="1" hidden="1">
      <c r="C421" s="1128"/>
      <c r="D421" s="175" t="str">
        <f>IF(Indice_index!$Z$1=1,"março","March")</f>
        <v>March</v>
      </c>
      <c r="E421" s="1090">
        <v>25.9</v>
      </c>
      <c r="F421" s="1090">
        <v>-41.8</v>
      </c>
      <c r="G421" s="1090">
        <v>-28</v>
      </c>
      <c r="H421" s="1090">
        <v>-0.5</v>
      </c>
      <c r="I421" s="1090">
        <v>2.1</v>
      </c>
      <c r="J421" s="1090">
        <v>8.5</v>
      </c>
      <c r="K421" s="1090">
        <v>-38.9</v>
      </c>
      <c r="L421" s="1090">
        <v>-30.1</v>
      </c>
      <c r="M421" s="174">
        <v>-3.6</v>
      </c>
      <c r="N421" s="1090">
        <v>3.8</v>
      </c>
      <c r="O421" s="1090">
        <v>-11.4</v>
      </c>
      <c r="P421" s="1090">
        <v>-2.8</v>
      </c>
      <c r="X421" s="52"/>
      <c r="Y421" s="52"/>
      <c r="Z421" s="52"/>
      <c r="AA421" s="173"/>
    </row>
    <row r="422" spans="3:27" s="235" customFormat="1" hidden="1">
      <c r="C422" s="1128"/>
      <c r="D422" s="175" t="str">
        <f>IF(Indice_index!$Z$1=1,"abril","April")</f>
        <v>April</v>
      </c>
      <c r="E422" s="1090">
        <v>25.4</v>
      </c>
      <c r="F422" s="1090">
        <v>-34.700000000000003</v>
      </c>
      <c r="G422" s="1090">
        <v>-26.5</v>
      </c>
      <c r="H422" s="1090">
        <v>1.8</v>
      </c>
      <c r="I422" s="1090">
        <v>-18</v>
      </c>
      <c r="J422" s="1090">
        <v>15.4</v>
      </c>
      <c r="K422" s="1090">
        <v>-38</v>
      </c>
      <c r="L422" s="1090">
        <v>-13.2</v>
      </c>
      <c r="M422" s="174">
        <v>3.9</v>
      </c>
      <c r="N422" s="1090">
        <v>-16.8</v>
      </c>
      <c r="O422" s="1090">
        <v>-7.7</v>
      </c>
      <c r="P422" s="1090">
        <v>18.100000000000001</v>
      </c>
      <c r="X422" s="52"/>
      <c r="Y422" s="52"/>
      <c r="Z422" s="52"/>
      <c r="AA422" s="173"/>
    </row>
    <row r="423" spans="3:27" s="235" customFormat="1" hidden="1">
      <c r="C423" s="1128"/>
      <c r="D423" s="175" t="str">
        <f>IF(Indice_index!$Z$1=1,"maio","May")</f>
        <v>May</v>
      </c>
      <c r="E423" s="1090">
        <v>7.9</v>
      </c>
      <c r="F423" s="1090">
        <v>37.6</v>
      </c>
      <c r="G423" s="1090">
        <v>-6.6</v>
      </c>
      <c r="H423" s="1090">
        <v>5.4</v>
      </c>
      <c r="I423" s="1090">
        <v>-4.4000000000000004</v>
      </c>
      <c r="J423" s="1090">
        <v>8</v>
      </c>
      <c r="K423" s="1090">
        <v>46.1</v>
      </c>
      <c r="L423" s="1090">
        <v>-5.7</v>
      </c>
      <c r="M423" s="174">
        <v>8.6</v>
      </c>
      <c r="N423" s="1090">
        <v>-1.3</v>
      </c>
      <c r="O423" s="1090">
        <v>0.8</v>
      </c>
      <c r="P423" s="1090">
        <v>0.9</v>
      </c>
      <c r="X423" s="52"/>
      <c r="Y423" s="52"/>
      <c r="Z423" s="52"/>
      <c r="AA423" s="173"/>
    </row>
    <row r="424" spans="3:27" s="235" customFormat="1" hidden="1">
      <c r="C424" s="1128"/>
      <c r="D424" s="175" t="str">
        <f>IF(Indice_index!$Z$1=1,"junho","June")</f>
        <v>June</v>
      </c>
      <c r="E424" s="1090">
        <v>-21.2</v>
      </c>
      <c r="F424" s="1090">
        <v>73</v>
      </c>
      <c r="G424" s="1090">
        <v>-15</v>
      </c>
      <c r="H424" s="1090">
        <v>-11.9</v>
      </c>
      <c r="I424" s="1090">
        <v>8.4</v>
      </c>
      <c r="J424" s="1090">
        <v>-4.0999999999999996</v>
      </c>
      <c r="K424" s="1090">
        <v>57.3</v>
      </c>
      <c r="L424" s="1090">
        <v>-15.1</v>
      </c>
      <c r="M424" s="174">
        <v>0.8</v>
      </c>
      <c r="N424" s="1090">
        <v>13.2</v>
      </c>
      <c r="O424" s="1090">
        <v>16.3</v>
      </c>
      <c r="P424" s="1090">
        <v>-0.1</v>
      </c>
      <c r="X424" s="52"/>
      <c r="Y424" s="52"/>
      <c r="Z424" s="52"/>
      <c r="AA424" s="173"/>
    </row>
    <row r="425" spans="3:27" s="235" customFormat="1" hidden="1">
      <c r="C425" s="1128"/>
      <c r="D425" s="175" t="str">
        <f>IF(Indice_index!$Z$1=1,"julho","July")</f>
        <v>July</v>
      </c>
      <c r="E425" s="1090">
        <v>-23.3</v>
      </c>
      <c r="F425" s="1090">
        <v>-9.9</v>
      </c>
      <c r="G425" s="1090">
        <v>-16.2</v>
      </c>
      <c r="H425" s="1090">
        <v>-20.399999999999999</v>
      </c>
      <c r="I425" s="1090">
        <v>2.5</v>
      </c>
      <c r="J425" s="1090">
        <v>-25.5</v>
      </c>
      <c r="K425" s="1090">
        <v>2.2000000000000002</v>
      </c>
      <c r="L425" s="1090">
        <v>-7.8</v>
      </c>
      <c r="M425" s="174">
        <v>-21.1</v>
      </c>
      <c r="N425" s="1090">
        <v>5</v>
      </c>
      <c r="O425" s="1090">
        <v>-1.3</v>
      </c>
      <c r="P425" s="1090">
        <v>10.1</v>
      </c>
      <c r="X425" s="52"/>
      <c r="Y425" s="52"/>
      <c r="Z425" s="52"/>
      <c r="AA425" s="173"/>
    </row>
    <row r="426" spans="3:27" s="235" customFormat="1" hidden="1">
      <c r="C426" s="1128"/>
      <c r="D426" s="175" t="str">
        <f>IF(Indice_index!$Z$1=1,"agosto","August")</f>
        <v>August</v>
      </c>
      <c r="E426" s="1090">
        <v>-41.2</v>
      </c>
      <c r="F426" s="1090">
        <v>-19.600000000000001</v>
      </c>
      <c r="G426" s="1090">
        <v>4.0999999999999996</v>
      </c>
      <c r="H426" s="1090">
        <v>-26.4</v>
      </c>
      <c r="I426" s="1090">
        <v>19.8</v>
      </c>
      <c r="J426" s="1090">
        <v>-31.5</v>
      </c>
      <c r="K426" s="1090">
        <v>-13.5</v>
      </c>
      <c r="L426" s="1090">
        <v>14.3</v>
      </c>
      <c r="M426" s="174">
        <v>-22.9</v>
      </c>
      <c r="N426" s="1090">
        <v>15.2</v>
      </c>
      <c r="O426" s="1090">
        <v>15.7</v>
      </c>
      <c r="P426" s="1090">
        <v>9.6999999999999993</v>
      </c>
      <c r="X426" s="52"/>
      <c r="Y426" s="52"/>
      <c r="Z426" s="52"/>
      <c r="AA426" s="173"/>
    </row>
    <row r="427" spans="3:27" s="235" customFormat="1" hidden="1">
      <c r="C427" s="1128"/>
      <c r="D427" s="175" t="str">
        <f>IF(Indice_index!$Z$1=1,"setembro","September")</f>
        <v>September</v>
      </c>
      <c r="E427" s="1090">
        <v>-50.9</v>
      </c>
      <c r="F427" s="1090">
        <v>-35.9</v>
      </c>
      <c r="G427" s="1090">
        <v>-7.9</v>
      </c>
      <c r="H427" s="1090">
        <v>-39.6</v>
      </c>
      <c r="I427" s="1090">
        <v>16.3</v>
      </c>
      <c r="J427" s="1090">
        <v>-50</v>
      </c>
      <c r="K427" s="1090">
        <v>-20.5</v>
      </c>
      <c r="L427" s="1090">
        <v>1.7</v>
      </c>
      <c r="M427" s="174">
        <v>-42.5</v>
      </c>
      <c r="N427" s="1090">
        <v>27.2</v>
      </c>
      <c r="O427" s="1090">
        <v>3.4</v>
      </c>
      <c r="P427" s="1090">
        <v>10.4</v>
      </c>
      <c r="X427" s="52"/>
      <c r="Y427" s="52"/>
      <c r="Z427" s="52"/>
      <c r="AA427" s="173"/>
    </row>
    <row r="428" spans="3:27" s="235" customFormat="1" hidden="1">
      <c r="C428" s="1128"/>
      <c r="D428" s="175" t="str">
        <f>IF(Indice_index!$Z$1=1,"outubro","October")</f>
        <v>October</v>
      </c>
      <c r="E428" s="1090">
        <v>-34.1</v>
      </c>
      <c r="F428" s="1090">
        <v>-47.3</v>
      </c>
      <c r="G428" s="1090">
        <v>16.7</v>
      </c>
      <c r="H428" s="1090">
        <v>-22.5</v>
      </c>
      <c r="I428" s="1090">
        <v>1.1000000000000001</v>
      </c>
      <c r="J428" s="1090">
        <v>-27.2</v>
      </c>
      <c r="K428" s="1090">
        <v>-46.5</v>
      </c>
      <c r="L428" s="1090">
        <v>3.3</v>
      </c>
      <c r="M428" s="174">
        <v>-25.6</v>
      </c>
      <c r="N428" s="1090">
        <v>10</v>
      </c>
      <c r="O428" s="1090">
        <v>10</v>
      </c>
      <c r="P428" s="1090">
        <v>-11.5</v>
      </c>
      <c r="X428" s="52"/>
      <c r="Y428" s="52"/>
      <c r="Z428" s="52"/>
      <c r="AA428" s="173"/>
    </row>
    <row r="429" spans="3:27" s="235" customFormat="1" hidden="1">
      <c r="C429" s="1128"/>
      <c r="D429" s="175" t="str">
        <f>IF(Indice_index!$Z$1=1,"novembro","November")</f>
        <v>November</v>
      </c>
      <c r="E429" s="1090">
        <v>64</v>
      </c>
      <c r="F429" s="1090">
        <v>485.2</v>
      </c>
      <c r="G429" s="1090">
        <v>38.200000000000003</v>
      </c>
      <c r="H429" s="1090">
        <v>68.3</v>
      </c>
      <c r="I429" s="1090">
        <v>10.7</v>
      </c>
      <c r="J429" s="1090">
        <v>69.400000000000006</v>
      </c>
      <c r="K429" s="1090">
        <v>521.20000000000005</v>
      </c>
      <c r="L429" s="1090">
        <v>55.5</v>
      </c>
      <c r="M429" s="174">
        <v>81.900000000000006</v>
      </c>
      <c r="N429" s="1090">
        <v>14.7</v>
      </c>
      <c r="O429" s="1090">
        <v>1.1000000000000001</v>
      </c>
      <c r="P429" s="1090">
        <v>12.6</v>
      </c>
      <c r="X429" s="52"/>
      <c r="Y429" s="52"/>
      <c r="Z429" s="52"/>
      <c r="AA429" s="173"/>
    </row>
    <row r="430" spans="3:27" s="235" customFormat="1" hidden="1">
      <c r="C430" s="1128"/>
      <c r="D430" s="175" t="str">
        <f>IF(Indice_index!$Z$1=1,"dezembro","December")</f>
        <v>December</v>
      </c>
      <c r="E430" s="1090">
        <v>96.8</v>
      </c>
      <c r="F430" s="1090">
        <v>43.5</v>
      </c>
      <c r="G430" s="1090">
        <v>22.7</v>
      </c>
      <c r="H430" s="1090">
        <v>64.400000000000006</v>
      </c>
      <c r="I430" s="1090">
        <v>2.8</v>
      </c>
      <c r="J430" s="1090">
        <v>160.6</v>
      </c>
      <c r="K430" s="1090">
        <v>59.4</v>
      </c>
      <c r="L430" s="1090">
        <v>29.5</v>
      </c>
      <c r="M430" s="174">
        <v>129.19999999999999</v>
      </c>
      <c r="N430" s="1090">
        <v>-1.3</v>
      </c>
      <c r="O430" s="1090">
        <v>31.9</v>
      </c>
      <c r="P430" s="1090">
        <v>5.6</v>
      </c>
      <c r="X430" s="52"/>
      <c r="Y430" s="52"/>
      <c r="Z430" s="52"/>
      <c r="AA430" s="173"/>
    </row>
    <row r="431" spans="3:27" s="235" customFormat="1" hidden="1">
      <c r="C431" s="1126" t="s">
        <v>17</v>
      </c>
      <c r="D431" s="174"/>
      <c r="E431" s="1090"/>
      <c r="F431" s="1090"/>
      <c r="G431" s="1090"/>
      <c r="H431" s="1090"/>
      <c r="I431" s="1090"/>
      <c r="J431" s="1090"/>
      <c r="K431" s="1090"/>
      <c r="L431" s="1090"/>
      <c r="M431" s="174"/>
      <c r="N431" s="1090"/>
      <c r="O431" s="1090"/>
      <c r="P431" s="1090"/>
      <c r="X431" s="52"/>
      <c r="Y431" s="52"/>
      <c r="Z431" s="52"/>
      <c r="AA431" s="173"/>
    </row>
    <row r="432" spans="3:27" s="235" customFormat="1" hidden="1">
      <c r="C432" s="1128"/>
      <c r="D432" s="175" t="str">
        <f>IF(Indice_index!$Z$1=1,"janeiro","January")</f>
        <v>January</v>
      </c>
      <c r="E432" s="1090">
        <v>-3.2</v>
      </c>
      <c r="F432" s="1090">
        <v>66.5</v>
      </c>
      <c r="G432" s="1090">
        <v>-6.9</v>
      </c>
      <c r="H432" s="1090">
        <v>1</v>
      </c>
      <c r="I432" s="1090">
        <v>5.5</v>
      </c>
      <c r="J432" s="1090">
        <v>-10.7</v>
      </c>
      <c r="K432" s="1090">
        <v>50.7</v>
      </c>
      <c r="L432" s="1090">
        <v>-12.1</v>
      </c>
      <c r="M432" s="174">
        <v>-6.1</v>
      </c>
      <c r="N432" s="1090">
        <v>8.3000000000000007</v>
      </c>
      <c r="O432" s="1090">
        <v>-8.8000000000000007</v>
      </c>
      <c r="P432" s="1090">
        <v>-5.6</v>
      </c>
      <c r="X432" s="52"/>
      <c r="Y432" s="52"/>
      <c r="Z432" s="52"/>
      <c r="AA432" s="173"/>
    </row>
    <row r="433" spans="3:27" s="235" customFormat="1" hidden="1">
      <c r="C433" s="1128"/>
      <c r="D433" s="175" t="str">
        <f>IF(Indice_index!$Z$1=1,"fevereiro","February")</f>
        <v>February</v>
      </c>
      <c r="E433" s="1090">
        <v>1.5</v>
      </c>
      <c r="F433" s="1090">
        <v>-25.7</v>
      </c>
      <c r="G433" s="1090">
        <v>2.6</v>
      </c>
      <c r="H433" s="1090">
        <v>-0.6</v>
      </c>
      <c r="I433" s="1090">
        <v>18.7</v>
      </c>
      <c r="J433" s="1090">
        <v>-5.7</v>
      </c>
      <c r="K433" s="1090">
        <v>-11.9</v>
      </c>
      <c r="L433" s="1090">
        <v>9.1999999999999993</v>
      </c>
      <c r="M433" s="174">
        <v>-4.2</v>
      </c>
      <c r="N433" s="1090">
        <v>16.3</v>
      </c>
      <c r="O433" s="1090">
        <v>-4.5</v>
      </c>
      <c r="P433" s="1090">
        <v>6.5</v>
      </c>
      <c r="X433" s="52"/>
      <c r="Y433" s="52"/>
      <c r="Z433" s="52"/>
      <c r="AA433" s="173"/>
    </row>
    <row r="434" spans="3:27" s="235" customFormat="1" hidden="1">
      <c r="C434" s="1128"/>
      <c r="D434" s="175" t="str">
        <f>IF(Indice_index!$Z$1=1,"março","March")</f>
        <v>March</v>
      </c>
      <c r="E434" s="1090">
        <v>-6.7</v>
      </c>
      <c r="F434" s="1090">
        <v>-45.8</v>
      </c>
      <c r="G434" s="1090">
        <v>23.2</v>
      </c>
      <c r="H434" s="1090">
        <v>-1</v>
      </c>
      <c r="I434" s="1090">
        <v>0.7</v>
      </c>
      <c r="J434" s="1090">
        <v>1.8</v>
      </c>
      <c r="K434" s="1090">
        <v>-42.3</v>
      </c>
      <c r="L434" s="1090">
        <v>32.4</v>
      </c>
      <c r="M434" s="174">
        <v>2.9</v>
      </c>
      <c r="N434" s="1090">
        <v>7.7</v>
      </c>
      <c r="O434" s="1090">
        <v>9</v>
      </c>
      <c r="P434" s="1090">
        <v>7.5</v>
      </c>
      <c r="X434" s="52"/>
      <c r="Y434" s="52"/>
      <c r="Z434" s="52"/>
      <c r="AA434" s="173"/>
    </row>
    <row r="435" spans="3:27" s="235" customFormat="1" hidden="1">
      <c r="C435" s="1128"/>
      <c r="D435" s="175" t="str">
        <f>IF(Indice_index!$Z$1=1,"abril","April")</f>
        <v>April</v>
      </c>
      <c r="E435" s="1090">
        <v>-29.8</v>
      </c>
      <c r="F435" s="1090">
        <v>92.7</v>
      </c>
      <c r="G435" s="1090">
        <v>21.9</v>
      </c>
      <c r="H435" s="1090">
        <v>-9.3000000000000007</v>
      </c>
      <c r="I435" s="1090">
        <v>-1.8</v>
      </c>
      <c r="J435" s="1090">
        <v>-15.5</v>
      </c>
      <c r="K435" s="1090">
        <v>92.4</v>
      </c>
      <c r="L435" s="1090">
        <v>14.5</v>
      </c>
      <c r="M435" s="174">
        <v>-3.2</v>
      </c>
      <c r="N435" s="1090">
        <v>5.7</v>
      </c>
      <c r="O435" s="1090">
        <v>16.5</v>
      </c>
      <c r="P435" s="1090">
        <v>-6</v>
      </c>
      <c r="X435" s="52"/>
      <c r="Y435" s="52"/>
      <c r="Z435" s="52"/>
      <c r="AA435" s="173"/>
    </row>
    <row r="436" spans="3:27" s="235" customFormat="1" hidden="1">
      <c r="C436" s="1128"/>
      <c r="D436" s="175" t="str">
        <f>IF(Indice_index!$Z$1=1,"maio","May")</f>
        <v>May</v>
      </c>
      <c r="E436" s="1090">
        <v>-15.7</v>
      </c>
      <c r="F436" s="1090">
        <v>-41.7</v>
      </c>
      <c r="G436" s="1090">
        <v>-12.1</v>
      </c>
      <c r="H436" s="1090">
        <v>-16.7</v>
      </c>
      <c r="I436" s="1090">
        <v>-10</v>
      </c>
      <c r="J436" s="1090">
        <v>0.8</v>
      </c>
      <c r="K436" s="1090">
        <v>-42.1</v>
      </c>
      <c r="L436" s="1090">
        <v>-11.4</v>
      </c>
      <c r="M436" s="174">
        <v>-5</v>
      </c>
      <c r="N436" s="1090">
        <v>-3.9</v>
      </c>
      <c r="O436" s="1090">
        <v>17.600000000000001</v>
      </c>
      <c r="P436" s="1090">
        <v>0.8</v>
      </c>
      <c r="X436" s="52"/>
      <c r="Y436" s="52"/>
      <c r="Z436" s="52"/>
      <c r="AA436" s="173"/>
    </row>
    <row r="437" spans="3:27" s="235" customFormat="1" hidden="1">
      <c r="C437" s="1128"/>
      <c r="D437" s="175" t="str">
        <f>IF(Indice_index!$Z$1=1,"junho","June")</f>
        <v>June</v>
      </c>
      <c r="E437" s="1090">
        <v>13.7</v>
      </c>
      <c r="F437" s="1090">
        <v>-51.6</v>
      </c>
      <c r="G437" s="1090">
        <v>2.4</v>
      </c>
      <c r="H437" s="1090">
        <v>0.3</v>
      </c>
      <c r="I437" s="1090">
        <v>-3.8</v>
      </c>
      <c r="J437" s="1090">
        <v>10.199999999999999</v>
      </c>
      <c r="K437" s="1090">
        <v>-49</v>
      </c>
      <c r="L437" s="1090">
        <v>6.5</v>
      </c>
      <c r="M437" s="174">
        <v>-0.5</v>
      </c>
      <c r="N437" s="1090">
        <v>-1.6</v>
      </c>
      <c r="O437" s="1090">
        <v>-1.1000000000000001</v>
      </c>
      <c r="P437" s="1090">
        <v>4</v>
      </c>
      <c r="X437" s="52"/>
      <c r="Y437" s="52"/>
      <c r="Z437" s="52"/>
      <c r="AA437" s="173"/>
    </row>
    <row r="438" spans="3:27" s="235" customFormat="1" hidden="1">
      <c r="C438" s="1128"/>
      <c r="D438" s="175" t="str">
        <f>IF(Indice_index!$Z$1=1,"julho","July")</f>
        <v>July</v>
      </c>
      <c r="E438" s="1090">
        <v>48.062654575432809</v>
      </c>
      <c r="F438" s="1090">
        <v>-46.951219512195117</v>
      </c>
      <c r="G438" s="1090">
        <v>2441.199226305609</v>
      </c>
      <c r="H438" s="1090">
        <v>693.08342133051747</v>
      </c>
      <c r="I438" s="1090">
        <v>-1.9540229885057472</v>
      </c>
      <c r="J438" s="1090">
        <v>43.702225973332972</v>
      </c>
      <c r="K438" s="1090">
        <v>-53.782405155228375</v>
      </c>
      <c r="L438" s="1090">
        <v>887.03572526265975</v>
      </c>
      <c r="M438" s="174">
        <v>153.12099766206697</v>
      </c>
      <c r="N438" s="1090">
        <v>-2.6524096708472138</v>
      </c>
      <c r="O438" s="1090">
        <v>-3.6830256641152714</v>
      </c>
      <c r="P438" s="1090">
        <v>-61.169016963008382</v>
      </c>
      <c r="X438" s="52"/>
      <c r="Y438" s="52"/>
      <c r="Z438" s="52"/>
      <c r="AA438" s="173"/>
    </row>
    <row r="439" spans="3:27" s="235" customFormat="1" hidden="1">
      <c r="C439" s="1128"/>
      <c r="D439" s="175" t="str">
        <f>IF(Indice_index!$Z$1=1,"agosto","August")</f>
        <v>August</v>
      </c>
      <c r="E439" s="1090">
        <v>185.1</v>
      </c>
      <c r="F439" s="1090">
        <v>124.4</v>
      </c>
      <c r="G439" s="1090">
        <v>-1</v>
      </c>
      <c r="H439" s="1090">
        <v>102.9</v>
      </c>
      <c r="I439" s="1090">
        <v>2.6</v>
      </c>
      <c r="J439" s="1090">
        <v>50.8</v>
      </c>
      <c r="K439" s="1090">
        <v>74.8</v>
      </c>
      <c r="L439" s="1090">
        <v>3</v>
      </c>
      <c r="M439" s="174">
        <v>42</v>
      </c>
      <c r="N439" s="1090">
        <v>8.3000000000000007</v>
      </c>
      <c r="O439" s="1090">
        <v>-44.8</v>
      </c>
      <c r="P439" s="1090">
        <v>4.0999999999999996</v>
      </c>
      <c r="X439" s="52"/>
      <c r="Y439" s="52"/>
      <c r="Z439" s="52"/>
      <c r="AA439" s="173"/>
    </row>
    <row r="440" spans="3:27" s="235" customFormat="1" hidden="1">
      <c r="C440" s="1128"/>
      <c r="D440" s="175" t="str">
        <f>IF(Indice_index!$Z$1=1,"setembro","September")</f>
        <v>September</v>
      </c>
      <c r="E440" s="1090">
        <v>169.2</v>
      </c>
      <c r="F440" s="1090">
        <v>147.69999999999999</v>
      </c>
      <c r="G440" s="1090">
        <v>-4.5999999999999996</v>
      </c>
      <c r="H440" s="1090">
        <v>104.1</v>
      </c>
      <c r="I440" s="1090">
        <v>-17.100000000000001</v>
      </c>
      <c r="J440" s="1090">
        <v>54.2</v>
      </c>
      <c r="K440" s="1090">
        <v>93.8</v>
      </c>
      <c r="L440" s="1090">
        <v>-9.4</v>
      </c>
      <c r="M440" s="174">
        <v>45.3</v>
      </c>
      <c r="N440" s="1090">
        <v>-19.399999999999999</v>
      </c>
      <c r="O440" s="1090">
        <v>-40.6</v>
      </c>
      <c r="P440" s="1090">
        <v>-5.0999999999999996</v>
      </c>
      <c r="X440" s="52"/>
      <c r="Y440" s="52"/>
      <c r="Z440" s="52"/>
      <c r="AA440" s="173"/>
    </row>
    <row r="441" spans="3:27" s="235" customFormat="1" hidden="1">
      <c r="C441" s="1128"/>
      <c r="D441" s="175" t="str">
        <f>IF(Indice_index!$Z$1=1,"outubro","October")</f>
        <v>October</v>
      </c>
      <c r="E441" s="1090">
        <v>56.8</v>
      </c>
      <c r="F441" s="1090">
        <v>1</v>
      </c>
      <c r="G441" s="1090">
        <v>25.4</v>
      </c>
      <c r="H441" s="1090">
        <v>41.9</v>
      </c>
      <c r="I441" s="1090">
        <v>6.9</v>
      </c>
      <c r="J441" s="1090">
        <v>13.3</v>
      </c>
      <c r="K441" s="1090">
        <v>-14.1</v>
      </c>
      <c r="L441" s="1090">
        <v>39.299999999999997</v>
      </c>
      <c r="M441" s="174">
        <v>15.5</v>
      </c>
      <c r="N441" s="1090">
        <v>5.2</v>
      </c>
      <c r="O441" s="1090">
        <v>-26.7</v>
      </c>
      <c r="P441" s="1090">
        <v>11.1</v>
      </c>
      <c r="X441" s="52"/>
      <c r="Y441" s="52"/>
      <c r="Z441" s="52"/>
      <c r="AA441" s="173"/>
    </row>
    <row r="442" spans="3:27" s="235" customFormat="1" hidden="1">
      <c r="C442" s="1128"/>
      <c r="D442" s="175" t="str">
        <f>IF(Indice_index!$Z$1=1,"novembro","November")</f>
        <v>November</v>
      </c>
      <c r="E442" s="1090">
        <v>-11.3</v>
      </c>
      <c r="F442" s="1090">
        <v>-60.2</v>
      </c>
      <c r="G442" s="1090">
        <v>-10</v>
      </c>
      <c r="H442" s="1090">
        <v>-16.2</v>
      </c>
      <c r="I442" s="1090">
        <v>12.8</v>
      </c>
      <c r="J442" s="1090">
        <v>-29.5</v>
      </c>
      <c r="K442" s="1090">
        <v>-69.7</v>
      </c>
      <c r="L442" s="1090">
        <v>-13.7</v>
      </c>
      <c r="M442" s="174">
        <v>-32</v>
      </c>
      <c r="N442" s="1090">
        <v>7.6</v>
      </c>
      <c r="O442" s="1090">
        <v>-19.399999999999999</v>
      </c>
      <c r="P442" s="1090">
        <v>-4.0999999999999996</v>
      </c>
      <c r="X442" s="52"/>
      <c r="Y442" s="52"/>
      <c r="Z442" s="52"/>
      <c r="AA442" s="173"/>
    </row>
    <row r="443" spans="3:27" s="235" customFormat="1" hidden="1">
      <c r="C443" s="1128"/>
      <c r="D443" s="175" t="str">
        <f>IF(Indice_index!$Z$1=1,"dezembro","December")</f>
        <v>December</v>
      </c>
      <c r="E443" s="1090">
        <v>-21.3</v>
      </c>
      <c r="F443" s="1090">
        <v>-12.9</v>
      </c>
      <c r="G443" s="1090">
        <v>-23.2</v>
      </c>
      <c r="H443" s="1090">
        <v>-21.5</v>
      </c>
      <c r="I443" s="1090">
        <v>2.7</v>
      </c>
      <c r="J443" s="1090">
        <v>-45.2</v>
      </c>
      <c r="K443" s="1090">
        <v>-34.1</v>
      </c>
      <c r="L443" s="1090">
        <v>-23.6</v>
      </c>
      <c r="M443" s="174">
        <v>-42.3</v>
      </c>
      <c r="N443" s="1090">
        <v>8.8000000000000007</v>
      </c>
      <c r="O443" s="1090">
        <v>-30.2</v>
      </c>
      <c r="P443" s="1090">
        <v>-0.6</v>
      </c>
      <c r="X443" s="52"/>
      <c r="Y443" s="52"/>
      <c r="Z443" s="52"/>
      <c r="AA443" s="173"/>
    </row>
    <row r="444" spans="3:27" s="235" customFormat="1" hidden="1">
      <c r="C444" s="1129">
        <v>2015</v>
      </c>
      <c r="D444" s="174"/>
      <c r="E444" s="1090"/>
      <c r="F444" s="1090"/>
      <c r="G444" s="1090"/>
      <c r="H444" s="1090"/>
      <c r="I444" s="1090"/>
      <c r="J444" s="1090"/>
      <c r="K444" s="1090"/>
      <c r="L444" s="1090"/>
      <c r="M444" s="174"/>
      <c r="N444" s="1090"/>
      <c r="O444" s="1090"/>
      <c r="P444" s="1090"/>
      <c r="X444" s="52"/>
      <c r="Y444" s="52"/>
      <c r="Z444" s="52"/>
      <c r="AA444" s="173"/>
    </row>
    <row r="445" spans="3:27" s="235" customFormat="1" ht="11.25" hidden="1">
      <c r="C445" s="1128"/>
      <c r="D445" s="175" t="str">
        <f>IF(Indice_index!$Z$1=1,"janeiro","January")</f>
        <v>January</v>
      </c>
      <c r="E445" s="1090">
        <v>13.3</v>
      </c>
      <c r="F445" s="1090">
        <v>-54.4</v>
      </c>
      <c r="G445" s="1090">
        <v>4.5</v>
      </c>
      <c r="H445" s="1090">
        <v>3</v>
      </c>
      <c r="I445" s="1090">
        <v>3.8</v>
      </c>
      <c r="J445" s="1090">
        <v>12.3</v>
      </c>
      <c r="K445" s="1090">
        <v>-68</v>
      </c>
      <c r="L445" s="1090">
        <v>13.2</v>
      </c>
      <c r="M445" s="174">
        <v>2.4</v>
      </c>
      <c r="N445" s="1090">
        <v>4</v>
      </c>
      <c r="O445" s="1090">
        <v>-1.2</v>
      </c>
      <c r="P445" s="1090">
        <v>8.4</v>
      </c>
    </row>
    <row r="446" spans="3:27" s="235" customFormat="1" ht="11.25" hidden="1">
      <c r="C446" s="1128"/>
      <c r="D446" s="175" t="str">
        <f>IF(Indice_index!$Z$1=1,"fevereiro","February")</f>
        <v>February</v>
      </c>
      <c r="E446" s="1090">
        <v>12</v>
      </c>
      <c r="F446" s="1090">
        <v>-42</v>
      </c>
      <c r="G446" s="1090">
        <v>-29.1</v>
      </c>
      <c r="H446" s="1090">
        <v>-4.2</v>
      </c>
      <c r="I446" s="1090">
        <v>-4.4000000000000004</v>
      </c>
      <c r="J446" s="1090">
        <v>21.2</v>
      </c>
      <c r="K446" s="1090">
        <v>-55.1</v>
      </c>
      <c r="L446" s="1090">
        <v>-18.7</v>
      </c>
      <c r="M446" s="174">
        <v>7.8</v>
      </c>
      <c r="N446" s="1090">
        <v>-1.7</v>
      </c>
      <c r="O446" s="1090">
        <v>5.7</v>
      </c>
      <c r="P446" s="1090">
        <v>14.6</v>
      </c>
    </row>
    <row r="447" spans="3:27" s="235" customFormat="1" ht="11.25" hidden="1">
      <c r="C447" s="1128"/>
      <c r="D447" s="175" t="str">
        <f>IF(Indice_index!$Z$1=1,"março","March")</f>
        <v>March</v>
      </c>
      <c r="E447" s="1090">
        <v>18.7</v>
      </c>
      <c r="F447" s="1090">
        <v>53.2</v>
      </c>
      <c r="G447" s="1090">
        <v>-12.7</v>
      </c>
      <c r="H447" s="1090">
        <v>9.4</v>
      </c>
      <c r="I447" s="1090">
        <v>30.5</v>
      </c>
      <c r="J447" s="1090">
        <v>25.3</v>
      </c>
      <c r="K447" s="1090">
        <v>29.2</v>
      </c>
      <c r="L447" s="1090">
        <v>-11.1</v>
      </c>
      <c r="M447" s="174">
        <v>19.3</v>
      </c>
      <c r="N447" s="1090">
        <v>32.799999999999997</v>
      </c>
      <c r="O447" s="1090">
        <v>4.2</v>
      </c>
      <c r="P447" s="1090">
        <v>1.8</v>
      </c>
    </row>
    <row r="448" spans="3:27" s="235" customFormat="1" ht="11.25" hidden="1">
      <c r="C448" s="1128"/>
      <c r="D448" s="175" t="str">
        <f>IF(Indice_index!$Z$1=1,"abril","April")</f>
        <v>April</v>
      </c>
      <c r="E448" s="1090">
        <v>8.1</v>
      </c>
      <c r="F448" s="1090">
        <v>-36.1</v>
      </c>
      <c r="G448" s="1090">
        <v>16.399999999999999</v>
      </c>
      <c r="H448" s="1090">
        <v>4.8</v>
      </c>
      <c r="I448" s="1090">
        <v>28.5</v>
      </c>
      <c r="J448" s="1090">
        <v>7.5</v>
      </c>
      <c r="K448" s="1090">
        <v>-45.7</v>
      </c>
      <c r="L448" s="1090">
        <v>20.9</v>
      </c>
      <c r="M448" s="174">
        <v>1.7</v>
      </c>
      <c r="N448" s="1090">
        <v>22.7</v>
      </c>
      <c r="O448" s="1090">
        <v>-1.2</v>
      </c>
      <c r="P448" s="1090">
        <v>3.9</v>
      </c>
    </row>
    <row r="449" spans="3:27" s="235" customFormat="1" ht="11.25" hidden="1">
      <c r="C449" s="1128"/>
      <c r="D449" s="175" t="str">
        <f>IF(Indice_index!$Z$1=1,"maio","May")</f>
        <v>May</v>
      </c>
      <c r="E449" s="1090">
        <v>-11.5</v>
      </c>
      <c r="F449" s="1090">
        <v>7.1</v>
      </c>
      <c r="G449" s="1090">
        <v>324.3</v>
      </c>
      <c r="H449" s="1090">
        <v>82.2</v>
      </c>
      <c r="I449" s="1090">
        <v>16.399999999999999</v>
      </c>
      <c r="J449" s="1090">
        <v>-24.9</v>
      </c>
      <c r="K449" s="1090">
        <v>-10</v>
      </c>
      <c r="L449" s="1090">
        <v>105.5</v>
      </c>
      <c r="M449" s="174">
        <v>-7.2</v>
      </c>
      <c r="N449" s="1090">
        <v>12.2</v>
      </c>
      <c r="O449" s="1090">
        <v>-15.3</v>
      </c>
      <c r="P449" s="1090">
        <v>-51.6</v>
      </c>
    </row>
    <row r="450" spans="3:27" s="235" customFormat="1" ht="11.25" hidden="1">
      <c r="C450" s="1128"/>
      <c r="D450" s="175" t="str">
        <f>IF(Indice_index!$Z$1=1,"junho","June")</f>
        <v>June</v>
      </c>
      <c r="E450" s="1090">
        <v>-21.4</v>
      </c>
      <c r="F450" s="1090">
        <v>-1.6</v>
      </c>
      <c r="G450" s="1090">
        <v>-4.0999999999999996</v>
      </c>
      <c r="H450" s="1090">
        <v>-14.7</v>
      </c>
      <c r="I450" s="1090">
        <v>-6.5</v>
      </c>
      <c r="J450" s="1090">
        <v>-38.700000000000003</v>
      </c>
      <c r="K450" s="1090">
        <v>-27.8</v>
      </c>
      <c r="L450" s="1090">
        <v>-10.1</v>
      </c>
      <c r="M450" s="174">
        <v>-33.299999999999997</v>
      </c>
      <c r="N450" s="1090">
        <v>-6.8</v>
      </c>
      <c r="O450" s="1090">
        <v>-22.7</v>
      </c>
      <c r="P450" s="1090">
        <v>-6.3</v>
      </c>
    </row>
    <row r="451" spans="3:27" s="235" customFormat="1" ht="11.25" hidden="1">
      <c r="C451" s="1128"/>
      <c r="D451" s="175" t="str">
        <f>IF(Indice_index!$Z$1=1,"julho","July")</f>
        <v>July</v>
      </c>
      <c r="E451" s="1090">
        <v>-63</v>
      </c>
      <c r="F451" s="1090">
        <v>72.400000000000006</v>
      </c>
      <c r="G451" s="1090">
        <v>-93.9</v>
      </c>
      <c r="H451" s="1090">
        <v>-89.2</v>
      </c>
      <c r="I451" s="1090">
        <v>10.9</v>
      </c>
      <c r="J451" s="1090">
        <v>-58.5</v>
      </c>
      <c r="K451" s="1090">
        <v>89.4</v>
      </c>
      <c r="L451" s="1090">
        <v>-84.7</v>
      </c>
      <c r="M451" s="174">
        <v>-70.2</v>
      </c>
      <c r="N451" s="1090">
        <v>11.9</v>
      </c>
      <c r="O451" s="1090">
        <v>10.6</v>
      </c>
      <c r="P451" s="1090">
        <v>150.1</v>
      </c>
    </row>
    <row r="452" spans="3:27" s="235" customFormat="1" ht="11.25" hidden="1">
      <c r="C452" s="1128"/>
      <c r="D452" s="175" t="str">
        <f>IF(Indice_index!$Z$1=1,"agosto","August")</f>
        <v>August</v>
      </c>
      <c r="E452" s="1090">
        <v>-54.8</v>
      </c>
      <c r="F452" s="1090">
        <v>-36.799999999999997</v>
      </c>
      <c r="G452" s="1090">
        <v>-4.0999999999999996</v>
      </c>
      <c r="H452" s="1090">
        <v>-43.1</v>
      </c>
      <c r="I452" s="1090">
        <v>7.9</v>
      </c>
      <c r="J452" s="1090">
        <v>-59.1</v>
      </c>
      <c r="K452" s="1090">
        <v>-18.7</v>
      </c>
      <c r="L452" s="1090">
        <v>-11.1</v>
      </c>
      <c r="M452" s="174">
        <v>-46.5</v>
      </c>
      <c r="N452" s="1090">
        <v>2.2000000000000002</v>
      </c>
      <c r="O452" s="1090">
        <v>-1.2</v>
      </c>
      <c r="P452" s="1090">
        <v>-7.3</v>
      </c>
    </row>
    <row r="453" spans="3:27" s="235" customFormat="1" ht="11.25" hidden="1">
      <c r="C453" s="1128"/>
      <c r="D453" s="175" t="str">
        <f>IF(Indice_index!$Z$1=1,"setembro","September")</f>
        <v>September</v>
      </c>
      <c r="E453" s="1090">
        <v>-60.8</v>
      </c>
      <c r="F453" s="1090">
        <v>-31.9</v>
      </c>
      <c r="G453" s="1090">
        <v>32.200000000000003</v>
      </c>
      <c r="H453" s="1090">
        <v>-42.5</v>
      </c>
      <c r="I453" s="1090">
        <v>7.4</v>
      </c>
      <c r="J453" s="1090">
        <v>-40.200000000000003</v>
      </c>
      <c r="K453" s="1090">
        <v>-32.4</v>
      </c>
      <c r="L453" s="1090">
        <v>42.6</v>
      </c>
      <c r="M453" s="174">
        <v>-29.2</v>
      </c>
      <c r="N453" s="1090">
        <v>14.2</v>
      </c>
      <c r="O453" s="1090">
        <v>44.9</v>
      </c>
      <c r="P453" s="1090">
        <v>7.9</v>
      </c>
    </row>
    <row r="454" spans="3:27" s="235" customFormat="1" ht="11.25" hidden="1">
      <c r="C454" s="1128"/>
      <c r="D454" s="175" t="str">
        <f>IF(Indice_index!$Z$1=1,"outubro","October")</f>
        <v>October</v>
      </c>
      <c r="E454" s="1090">
        <v>-51.1</v>
      </c>
      <c r="F454" s="1090">
        <v>58</v>
      </c>
      <c r="G454" s="1090">
        <v>-35.6</v>
      </c>
      <c r="H454" s="1090">
        <v>-41.7</v>
      </c>
      <c r="I454" s="1090">
        <v>1.1000000000000001</v>
      </c>
      <c r="J454" s="1090">
        <v>-60</v>
      </c>
      <c r="K454" s="1090">
        <v>81.400000000000006</v>
      </c>
      <c r="L454" s="1090">
        <v>-33.799999999999997</v>
      </c>
      <c r="M454" s="174">
        <v>-48.8</v>
      </c>
      <c r="N454" s="1090">
        <v>-2.4</v>
      </c>
      <c r="O454" s="1090">
        <v>-13.1</v>
      </c>
      <c r="P454" s="1090">
        <v>2.8</v>
      </c>
    </row>
    <row r="455" spans="3:27" s="235" customFormat="1" ht="11.25" hidden="1">
      <c r="C455" s="1128"/>
      <c r="D455" s="175" t="str">
        <f>IF(Indice_index!$Z$1=1,"novembro","November")</f>
        <v>November</v>
      </c>
      <c r="E455" s="1090">
        <v>-64</v>
      </c>
      <c r="F455" s="1090">
        <v>-42.3</v>
      </c>
      <c r="G455" s="1090">
        <v>-8</v>
      </c>
      <c r="H455" s="1090">
        <v>-46.1</v>
      </c>
      <c r="I455" s="1090">
        <v>-3.9</v>
      </c>
      <c r="J455" s="1090">
        <v>-70.3</v>
      </c>
      <c r="K455" s="1090">
        <v>-42.6</v>
      </c>
      <c r="L455" s="1090">
        <v>-0.4</v>
      </c>
      <c r="M455" s="174">
        <v>-58.8</v>
      </c>
      <c r="N455" s="1090">
        <v>-3</v>
      </c>
      <c r="O455" s="1090">
        <v>-16.7</v>
      </c>
      <c r="P455" s="1090">
        <v>8.3000000000000007</v>
      </c>
    </row>
    <row r="456" spans="3:27" s="235" customFormat="1" ht="11.25" hidden="1">
      <c r="C456" s="1128"/>
      <c r="D456" s="175" t="str">
        <f>IF(Indice_index!$Z$1=1,"dezembro","December")</f>
        <v>December</v>
      </c>
      <c r="E456" s="1090">
        <v>-57.5</v>
      </c>
      <c r="F456" s="1090">
        <v>60.9</v>
      </c>
      <c r="G456" s="1090">
        <v>6.2</v>
      </c>
      <c r="H456" s="1090">
        <v>-33</v>
      </c>
      <c r="I456" s="1090">
        <v>-0.1</v>
      </c>
      <c r="J456" s="1090">
        <v>-64.900000000000006</v>
      </c>
      <c r="K456" s="1090">
        <v>118.7</v>
      </c>
      <c r="L456" s="1090">
        <v>1.7</v>
      </c>
      <c r="M456" s="174">
        <v>-47</v>
      </c>
      <c r="N456" s="1090">
        <v>-1.7</v>
      </c>
      <c r="O456" s="1090">
        <v>-12.2</v>
      </c>
      <c r="P456" s="1090">
        <v>-4.2</v>
      </c>
    </row>
    <row r="457" spans="3:27" s="235" customFormat="1" hidden="1">
      <c r="C457" s="1187">
        <v>2016</v>
      </c>
      <c r="D457" s="174"/>
      <c r="E457" s="1090"/>
      <c r="F457" s="1090"/>
      <c r="G457" s="1090"/>
      <c r="H457" s="1090"/>
      <c r="I457" s="1090"/>
      <c r="J457" s="1090"/>
      <c r="K457" s="1090"/>
      <c r="L457" s="1090"/>
      <c r="M457" s="174"/>
      <c r="N457" s="1090"/>
      <c r="O457" s="1090"/>
      <c r="P457" s="1090"/>
      <c r="X457" s="52"/>
      <c r="Y457" s="52"/>
      <c r="Z457" s="52"/>
      <c r="AA457" s="173"/>
    </row>
    <row r="458" spans="3:27" s="235" customFormat="1" hidden="1">
      <c r="C458" s="1128"/>
      <c r="D458" s="175" t="str">
        <f>IF(Indice_index!$Z$1=1,"janeiro","January")</f>
        <v>January</v>
      </c>
      <c r="E458" s="1090">
        <v>-67.2</v>
      </c>
      <c r="F458" s="1090">
        <v>-16.2</v>
      </c>
      <c r="G458" s="1090">
        <v>-9.1</v>
      </c>
      <c r="H458" s="1090">
        <v>-50.4</v>
      </c>
      <c r="I458" s="1090">
        <v>-2.5</v>
      </c>
      <c r="J458" s="1090">
        <v>-76.900000000000006</v>
      </c>
      <c r="K458" s="1090">
        <v>10.4</v>
      </c>
      <c r="L458" s="1090">
        <v>-4.4000000000000004</v>
      </c>
      <c r="M458" s="174">
        <v>-65.8</v>
      </c>
      <c r="N458" s="1090">
        <v>-1.1000000000000001</v>
      </c>
      <c r="O458" s="1090">
        <v>-26.2</v>
      </c>
      <c r="P458" s="1090">
        <v>5.0999999999999996</v>
      </c>
      <c r="X458" s="52"/>
      <c r="Y458" s="52"/>
      <c r="Z458" s="52"/>
      <c r="AA458" s="173"/>
    </row>
    <row r="459" spans="3:27" s="235" customFormat="1" hidden="1">
      <c r="C459" s="1128"/>
      <c r="D459" s="175" t="str">
        <f>IF(Indice_index!$Z$1=1,"fevereiro","February")</f>
        <v>February</v>
      </c>
      <c r="E459" s="1090">
        <v>-64.5</v>
      </c>
      <c r="F459" s="1090">
        <v>-13.8</v>
      </c>
      <c r="G459" s="1090">
        <v>14.3</v>
      </c>
      <c r="H459" s="1090">
        <v>-44.5</v>
      </c>
      <c r="I459" s="1090">
        <v>-8.9</v>
      </c>
      <c r="J459" s="1090">
        <v>-72.900000000000006</v>
      </c>
      <c r="K459" s="1090">
        <v>-2.9</v>
      </c>
      <c r="L459" s="1090">
        <v>-2.7</v>
      </c>
      <c r="M459" s="174">
        <v>-61.7</v>
      </c>
      <c r="N459" s="1090">
        <v>-8.4</v>
      </c>
      <c r="O459" s="1090">
        <v>-21.1</v>
      </c>
      <c r="P459" s="1090">
        <v>-14.9</v>
      </c>
      <c r="X459" s="52"/>
      <c r="Y459" s="52"/>
      <c r="Z459" s="52"/>
      <c r="AA459" s="173"/>
    </row>
    <row r="460" spans="3:27" s="235" customFormat="1" hidden="1">
      <c r="C460" s="1128"/>
      <c r="D460" s="175" t="str">
        <f>IF(Indice_index!$Z$1=1,"março","March")</f>
        <v>March</v>
      </c>
      <c r="E460" s="1090">
        <v>-60.1</v>
      </c>
      <c r="F460" s="1090">
        <v>20.3</v>
      </c>
      <c r="G460" s="1090">
        <v>-6.6</v>
      </c>
      <c r="H460" s="1090">
        <v>-42.5</v>
      </c>
      <c r="I460" s="1090">
        <v>-18.5</v>
      </c>
      <c r="J460" s="1090">
        <v>-69.599999999999994</v>
      </c>
      <c r="K460" s="1090">
        <v>32.799999999999997</v>
      </c>
      <c r="L460" s="1090">
        <v>-7.7</v>
      </c>
      <c r="M460" s="174">
        <v>-57.6</v>
      </c>
      <c r="N460" s="1090">
        <v>-18.3</v>
      </c>
      <c r="O460" s="1090">
        <v>-21.1</v>
      </c>
      <c r="P460" s="1090">
        <v>-1.2</v>
      </c>
      <c r="X460" s="52"/>
      <c r="Y460" s="52"/>
      <c r="Z460" s="52"/>
      <c r="AA460" s="173"/>
    </row>
    <row r="461" spans="3:27" s="235" customFormat="1" hidden="1">
      <c r="C461" s="1128"/>
      <c r="D461" s="175" t="str">
        <f>IF(Indice_index!$Z$1=1,"abril","April")</f>
        <v>April</v>
      </c>
      <c r="E461" s="1090">
        <v>-44.8</v>
      </c>
      <c r="F461" s="1090">
        <v>-33.5</v>
      </c>
      <c r="G461" s="1090">
        <v>-14.9</v>
      </c>
      <c r="H461" s="1090">
        <v>-33</v>
      </c>
      <c r="I461" s="1090">
        <v>-12.2</v>
      </c>
      <c r="J461" s="1090">
        <v>-62</v>
      </c>
      <c r="K461" s="1090">
        <v>-30.1</v>
      </c>
      <c r="L461" s="1090">
        <v>-14.2</v>
      </c>
      <c r="M461" s="174">
        <v>-50.3</v>
      </c>
      <c r="N461" s="1090">
        <v>-3.7</v>
      </c>
      <c r="O461" s="1090">
        <v>-27.4</v>
      </c>
      <c r="P461" s="1090">
        <v>0.9</v>
      </c>
      <c r="X461" s="52"/>
      <c r="Y461" s="52"/>
      <c r="Z461" s="52"/>
      <c r="AA461" s="173"/>
    </row>
    <row r="462" spans="3:27" s="235" customFormat="1" hidden="1">
      <c r="C462" s="1128"/>
      <c r="D462" s="175" t="str">
        <f>IF(Indice_index!$Z$1=1,"maio","May")</f>
        <v>May</v>
      </c>
      <c r="E462" s="1090">
        <v>-61.1</v>
      </c>
      <c r="F462" s="1090">
        <v>-5.9</v>
      </c>
      <c r="G462" s="1090">
        <v>-74.2</v>
      </c>
      <c r="H462" s="1090">
        <v>-67.8</v>
      </c>
      <c r="I462" s="1090">
        <v>6.6</v>
      </c>
      <c r="J462" s="1090">
        <v>-70</v>
      </c>
      <c r="K462" s="1090">
        <v>1.9</v>
      </c>
      <c r="L462" s="1090">
        <v>-46.2</v>
      </c>
      <c r="M462" s="174">
        <v>-59.1</v>
      </c>
      <c r="N462" s="1090">
        <v>10.199999999999999</v>
      </c>
      <c r="O462" s="1090">
        <v>-18.399999999999999</v>
      </c>
      <c r="P462" s="1090">
        <v>108.4</v>
      </c>
      <c r="X462" s="52"/>
      <c r="Y462" s="52"/>
      <c r="Z462" s="52"/>
      <c r="AA462" s="173"/>
    </row>
    <row r="463" spans="3:27" s="235" customFormat="1" hidden="1">
      <c r="C463" s="1128"/>
      <c r="D463" s="175" t="str">
        <f>IF(Indice_index!$Z$1=1,"junho","June")</f>
        <v>June</v>
      </c>
      <c r="E463" s="1090">
        <v>-50.7</v>
      </c>
      <c r="F463" s="1090">
        <v>-17.5</v>
      </c>
      <c r="G463" s="1090">
        <v>24.5</v>
      </c>
      <c r="H463" s="1090">
        <v>-22.1</v>
      </c>
      <c r="I463" s="1090">
        <v>14.6</v>
      </c>
      <c r="J463" s="1090">
        <v>-58.7</v>
      </c>
      <c r="K463" s="1090">
        <v>-11.1</v>
      </c>
      <c r="L463" s="1090">
        <v>34.6</v>
      </c>
      <c r="M463" s="1090">
        <v>-34.5</v>
      </c>
      <c r="N463" s="1090">
        <v>14.9</v>
      </c>
      <c r="O463" s="1090">
        <v>-12.3</v>
      </c>
      <c r="P463" s="1090">
        <v>8.1999999999999993</v>
      </c>
      <c r="X463" s="52"/>
      <c r="Y463" s="52"/>
      <c r="Z463" s="52"/>
      <c r="AA463" s="173"/>
    </row>
    <row r="464" spans="3:27" s="235" customFormat="1" hidden="1">
      <c r="C464" s="1128"/>
      <c r="D464" s="175" t="str">
        <f>IF(Indice_index!$Z$1=1,"julho","July")</f>
        <v>July</v>
      </c>
      <c r="E464" s="1090">
        <v>-26.5</v>
      </c>
      <c r="F464" s="1090">
        <v>14.7</v>
      </c>
      <c r="G464" s="1090">
        <v>-21.1</v>
      </c>
      <c r="H464" s="1090">
        <v>-20</v>
      </c>
      <c r="I464" s="1090">
        <v>1.2</v>
      </c>
      <c r="J464" s="1090">
        <v>-47.9</v>
      </c>
      <c r="K464" s="1090">
        <v>-2.4</v>
      </c>
      <c r="L464" s="1090">
        <v>-16.899999999999999</v>
      </c>
      <c r="M464" s="1090">
        <v>-33.6</v>
      </c>
      <c r="N464" s="1090">
        <v>3.8</v>
      </c>
      <c r="O464" s="1090">
        <v>-26.2</v>
      </c>
      <c r="P464" s="1090">
        <v>5.3</v>
      </c>
      <c r="X464" s="52"/>
      <c r="Y464" s="52"/>
      <c r="Z464" s="52"/>
      <c r="AA464" s="173"/>
    </row>
    <row r="465" spans="3:29" s="235" customFormat="1" hidden="1">
      <c r="C465" s="1128"/>
      <c r="D465" s="175" t="str">
        <f>IF(Indice_index!$Z$1=1,"agosto","August")</f>
        <v>August</v>
      </c>
      <c r="E465" s="1090">
        <v>-60.3</v>
      </c>
      <c r="F465" s="1090">
        <v>-7.2</v>
      </c>
      <c r="G465" s="1090">
        <v>-26.7</v>
      </c>
      <c r="H465" s="1090">
        <v>-44.4</v>
      </c>
      <c r="I465" s="1090">
        <v>-7.3</v>
      </c>
      <c r="J465" s="1090">
        <v>-39.4</v>
      </c>
      <c r="K465" s="1090">
        <v>-25.8</v>
      </c>
      <c r="L465" s="1090">
        <v>-26.8</v>
      </c>
      <c r="M465" s="1090">
        <v>-33.6</v>
      </c>
      <c r="N465" s="1090">
        <v>-0.3</v>
      </c>
      <c r="O465" s="1090">
        <v>37.9</v>
      </c>
      <c r="P465" s="1090">
        <v>0</v>
      </c>
      <c r="X465" s="52"/>
      <c r="Y465" s="52"/>
      <c r="Z465" s="52"/>
      <c r="AA465" s="173"/>
    </row>
    <row r="466" spans="3:29" s="235" customFormat="1" hidden="1">
      <c r="C466" s="1128"/>
      <c r="D466" s="175" t="str">
        <f>IF(Indice_index!$Z$1=1,"setembro","September")</f>
        <v>September</v>
      </c>
      <c r="E466" s="1090">
        <v>-42</v>
      </c>
      <c r="F466" s="1090">
        <v>7.1</v>
      </c>
      <c r="G466" s="1090">
        <v>-13.5</v>
      </c>
      <c r="H466" s="1090">
        <v>-26</v>
      </c>
      <c r="I466" s="1090">
        <v>1.4</v>
      </c>
      <c r="J466" s="1090">
        <v>-43.6</v>
      </c>
      <c r="K466" s="1090">
        <v>2.7</v>
      </c>
      <c r="L466" s="1090">
        <v>-14.1</v>
      </c>
      <c r="M466" s="1090">
        <v>-31.2</v>
      </c>
      <c r="N466" s="1090">
        <v>-1.1000000000000001</v>
      </c>
      <c r="O466" s="1090">
        <v>-4</v>
      </c>
      <c r="P466" s="1090">
        <v>-0.7</v>
      </c>
      <c r="X466" s="52"/>
      <c r="Y466" s="52"/>
      <c r="Z466" s="52"/>
      <c r="AA466" s="173"/>
    </row>
    <row r="467" spans="3:29" s="235" customFormat="1" hidden="1">
      <c r="C467" s="1128"/>
      <c r="D467" s="175" t="str">
        <f>IF(Indice_index!$Z$1=1,"outubro","October")</f>
        <v>October</v>
      </c>
      <c r="E467" s="1090">
        <v>-33.6</v>
      </c>
      <c r="F467" s="1090">
        <v>-7.6</v>
      </c>
      <c r="G467" s="1090">
        <v>-10.199999999999999</v>
      </c>
      <c r="H467" s="1090">
        <v>-22.3</v>
      </c>
      <c r="I467" s="1090">
        <v>10.5</v>
      </c>
      <c r="J467" s="1090">
        <v>-33</v>
      </c>
      <c r="K467" s="1090">
        <v>-28.7</v>
      </c>
      <c r="L467" s="1090">
        <v>-10.6</v>
      </c>
      <c r="M467" s="1090">
        <v>-27.1</v>
      </c>
      <c r="N467" s="1090">
        <v>14.1</v>
      </c>
      <c r="O467" s="1090">
        <v>-3.9</v>
      </c>
      <c r="P467" s="1090">
        <v>-0.4</v>
      </c>
      <c r="X467" s="52"/>
      <c r="Y467" s="52"/>
      <c r="Z467" s="52"/>
      <c r="AA467" s="173"/>
    </row>
    <row r="468" spans="3:29" s="174" customFormat="1" hidden="1">
      <c r="C468" s="1128"/>
      <c r="D468" s="175" t="str">
        <f>IF(Indice_index!$Z$1=1,"novembro","November")</f>
        <v>November</v>
      </c>
      <c r="E468" s="1090">
        <v>-30.3</v>
      </c>
      <c r="F468" s="1090">
        <v>-2.4</v>
      </c>
      <c r="G468" s="1090">
        <v>0.9</v>
      </c>
      <c r="H468" s="1090">
        <v>-12.8</v>
      </c>
      <c r="I468" s="1090">
        <v>-2.9</v>
      </c>
      <c r="J468" s="1090">
        <v>-39.700000000000003</v>
      </c>
      <c r="K468" s="1090">
        <v>-7.3</v>
      </c>
      <c r="L468" s="1090">
        <v>-4.3</v>
      </c>
      <c r="M468" s="1090">
        <v>-25.1</v>
      </c>
      <c r="N468" s="1090">
        <v>-3.8</v>
      </c>
      <c r="O468" s="1090">
        <v>-12.6</v>
      </c>
      <c r="P468" s="1090">
        <v>-5.2</v>
      </c>
      <c r="X468" s="164"/>
      <c r="Y468" s="164"/>
      <c r="Z468" s="164"/>
      <c r="AA468" s="175"/>
    </row>
    <row r="469" spans="3:29" s="174" customFormat="1" hidden="1">
      <c r="C469" s="1128"/>
      <c r="D469" s="175" t="str">
        <f>IF(Indice_index!$Z$1=1,"dezembro","December")</f>
        <v>December</v>
      </c>
      <c r="E469" s="1090">
        <v>-2</v>
      </c>
      <c r="F469" s="1090">
        <v>-5.4</v>
      </c>
      <c r="G469" s="1090">
        <v>-9.6</v>
      </c>
      <c r="H469" s="1090">
        <v>-5.9</v>
      </c>
      <c r="I469" s="1090">
        <v>8.3000000000000007</v>
      </c>
      <c r="J469" s="1090">
        <v>-1.3</v>
      </c>
      <c r="K469" s="1090">
        <v>-28.8</v>
      </c>
      <c r="L469" s="1090">
        <v>-5.6</v>
      </c>
      <c r="M469" s="1090">
        <v>-7.5</v>
      </c>
      <c r="N469" s="1090">
        <v>10.5</v>
      </c>
      <c r="O469" s="1090">
        <v>-5.7</v>
      </c>
      <c r="P469" s="1090">
        <v>4.5</v>
      </c>
      <c r="X469" s="164"/>
      <c r="Y469" s="164"/>
      <c r="Z469" s="164"/>
      <c r="AA469" s="175"/>
    </row>
    <row r="470" spans="3:29" s="235" customFormat="1" hidden="1">
      <c r="C470" s="1187">
        <v>2017</v>
      </c>
      <c r="D470" s="174"/>
      <c r="E470" s="1090"/>
      <c r="F470" s="1090"/>
      <c r="G470" s="1090"/>
      <c r="H470" s="1090"/>
      <c r="I470" s="1090"/>
      <c r="J470" s="1090"/>
      <c r="K470" s="1090"/>
      <c r="L470" s="1090"/>
      <c r="M470" s="174"/>
      <c r="N470" s="1090"/>
      <c r="O470" s="1090"/>
      <c r="P470" s="1090"/>
      <c r="X470" s="52"/>
      <c r="Y470" s="52"/>
      <c r="Z470" s="52"/>
      <c r="AA470" s="173"/>
    </row>
    <row r="471" spans="3:29" s="174" customFormat="1" ht="11.25" hidden="1">
      <c r="C471" s="1128"/>
      <c r="D471" s="175" t="str">
        <f>IF(Indice_index!$Z$1=1,"janeiro","January")</f>
        <v>January</v>
      </c>
      <c r="E471" s="1090">
        <v>35.299999999999997</v>
      </c>
      <c r="F471" s="1090">
        <v>22.8</v>
      </c>
      <c r="G471" s="1090">
        <v>7.6</v>
      </c>
      <c r="H471" s="1090">
        <v>21.9</v>
      </c>
      <c r="I471" s="1090">
        <v>8.8000000000000007</v>
      </c>
      <c r="J471" s="1090">
        <v>4</v>
      </c>
      <c r="K471" s="1090">
        <v>14.1</v>
      </c>
      <c r="L471" s="1090">
        <v>3.5</v>
      </c>
      <c r="M471" s="1090">
        <v>5.0999999999999996</v>
      </c>
      <c r="N471" s="1090">
        <v>4.8</v>
      </c>
      <c r="O471" s="1090">
        <v>-20.6</v>
      </c>
      <c r="P471" s="1090">
        <v>-3.9</v>
      </c>
      <c r="R471" s="235"/>
      <c r="S471" s="235"/>
      <c r="T471" s="235"/>
      <c r="U471" s="235"/>
      <c r="V471" s="235"/>
      <c r="W471" s="235"/>
      <c r="X471" s="235"/>
      <c r="Y471" s="235"/>
      <c r="Z471" s="235"/>
      <c r="AA471" s="235"/>
      <c r="AB471" s="235"/>
      <c r="AC471" s="235"/>
    </row>
    <row r="472" spans="3:29" s="174" customFormat="1" ht="11.25" hidden="1">
      <c r="C472" s="1128"/>
      <c r="D472" s="175" t="str">
        <f>IF(Indice_index!$Z$1=1,"fevereiro","February")</f>
        <v>February</v>
      </c>
      <c r="E472" s="1090">
        <v>-5.8</v>
      </c>
      <c r="F472" s="1090">
        <v>56.8</v>
      </c>
      <c r="G472" s="1090">
        <v>24.3</v>
      </c>
      <c r="H472" s="1090">
        <v>12.3</v>
      </c>
      <c r="I472" s="1090">
        <v>36.1</v>
      </c>
      <c r="J472" s="1090">
        <v>0.9</v>
      </c>
      <c r="K472" s="1090">
        <v>37.299999999999997</v>
      </c>
      <c r="L472" s="1090">
        <v>32.200000000000003</v>
      </c>
      <c r="M472" s="1090">
        <v>14.1</v>
      </c>
      <c r="N472" s="1090">
        <v>38</v>
      </c>
      <c r="O472" s="1090">
        <v>4.4000000000000004</v>
      </c>
      <c r="P472" s="1090">
        <v>6.3</v>
      </c>
      <c r="R472" s="235"/>
      <c r="S472" s="235"/>
      <c r="T472" s="235"/>
      <c r="U472" s="235"/>
      <c r="V472" s="235"/>
      <c r="W472" s="235"/>
      <c r="X472" s="235"/>
      <c r="Y472" s="235"/>
      <c r="Z472" s="235"/>
      <c r="AA472" s="235"/>
      <c r="AB472" s="235"/>
      <c r="AC472" s="235"/>
    </row>
    <row r="473" spans="3:29" s="174" customFormat="1" ht="11.25" hidden="1">
      <c r="C473" s="1128"/>
      <c r="D473" s="175" t="str">
        <f>IF(Indice_index!$Z$1=1,"março","March")</f>
        <v>March</v>
      </c>
      <c r="E473" s="1090">
        <v>-49.7</v>
      </c>
      <c r="F473" s="1090">
        <v>4.2</v>
      </c>
      <c r="G473" s="1090">
        <v>35.6</v>
      </c>
      <c r="H473" s="1090">
        <v>-8.1999999999999993</v>
      </c>
      <c r="I473" s="1090">
        <v>17.5</v>
      </c>
      <c r="J473" s="1090">
        <v>-48</v>
      </c>
      <c r="K473" s="1090">
        <v>-2</v>
      </c>
      <c r="L473" s="1090">
        <v>32.299999999999997</v>
      </c>
      <c r="M473" s="1090">
        <v>-20</v>
      </c>
      <c r="N473" s="1090">
        <v>16.3</v>
      </c>
      <c r="O473" s="1090">
        <v>2.1</v>
      </c>
      <c r="P473" s="1090">
        <v>-2.4</v>
      </c>
      <c r="R473" s="235"/>
      <c r="S473" s="235"/>
      <c r="T473" s="235"/>
      <c r="U473" s="235"/>
      <c r="V473" s="235"/>
      <c r="W473" s="235"/>
      <c r="X473" s="235"/>
      <c r="Y473" s="235"/>
      <c r="Z473" s="235"/>
      <c r="AA473" s="235"/>
      <c r="AB473" s="235"/>
      <c r="AC473" s="235"/>
    </row>
    <row r="474" spans="3:29" s="235" customFormat="1" ht="11.25" hidden="1">
      <c r="C474" s="1128"/>
      <c r="D474" s="175" t="str">
        <f>IF(Indice_index!$Z$1=1,"abril","April")</f>
        <v>April</v>
      </c>
      <c r="E474" s="1090">
        <v>-32</v>
      </c>
      <c r="F474" s="1090">
        <v>8.3000000000000007</v>
      </c>
      <c r="G474" s="1090">
        <v>1.2</v>
      </c>
      <c r="H474" s="1090">
        <v>-13.3</v>
      </c>
      <c r="I474" s="1090">
        <v>5.5</v>
      </c>
      <c r="J474" s="1090">
        <v>-8.5</v>
      </c>
      <c r="K474" s="1090">
        <v>-1.7</v>
      </c>
      <c r="L474" s="1090">
        <v>3</v>
      </c>
      <c r="M474" s="1090">
        <v>-3.9</v>
      </c>
      <c r="N474" s="1090">
        <v>2.1</v>
      </c>
      <c r="O474" s="1090">
        <v>24.9</v>
      </c>
      <c r="P474" s="1090">
        <v>1.7</v>
      </c>
    </row>
    <row r="475" spans="3:29" s="235" customFormat="1" ht="11.25" hidden="1">
      <c r="C475" s="1128"/>
      <c r="D475" s="175" t="str">
        <f>IF(Indice_index!$Z$1=1,"maio","May")</f>
        <v>May</v>
      </c>
      <c r="E475" s="1090">
        <v>45.7</v>
      </c>
      <c r="F475" s="1090">
        <v>7.9</v>
      </c>
      <c r="G475" s="1090">
        <v>-5.7</v>
      </c>
      <c r="H475" s="1090">
        <v>15.8</v>
      </c>
      <c r="I475" s="1090">
        <v>-15.6</v>
      </c>
      <c r="J475" s="1090">
        <v>151.80000000000001</v>
      </c>
      <c r="K475" s="1090">
        <v>8.6</v>
      </c>
      <c r="L475" s="1090">
        <v>-1</v>
      </c>
      <c r="M475" s="1090">
        <v>74.2</v>
      </c>
      <c r="N475" s="1090">
        <v>-17.3</v>
      </c>
      <c r="O475" s="1090">
        <v>58.4</v>
      </c>
      <c r="P475" s="1090">
        <v>4.9000000000000004</v>
      </c>
    </row>
    <row r="476" spans="3:29" s="235" customFormat="1" ht="11.25" hidden="1">
      <c r="C476" s="1128"/>
      <c r="D476" s="175" t="str">
        <f>IF(Indice_index!$Z$1=1,"junho","June")</f>
        <v>June</v>
      </c>
      <c r="E476" s="1090">
        <v>73.900000000000006</v>
      </c>
      <c r="F476" s="1090">
        <v>-6</v>
      </c>
      <c r="G476" s="1090">
        <v>-8.6</v>
      </c>
      <c r="H476" s="1090">
        <v>21.6</v>
      </c>
      <c r="I476" s="1090">
        <v>-3.2</v>
      </c>
      <c r="J476" s="1090">
        <v>153.9</v>
      </c>
      <c r="K476" s="1090">
        <v>19</v>
      </c>
      <c r="L476" s="1090">
        <v>-6.8</v>
      </c>
      <c r="M476" s="1090">
        <v>66.900000000000006</v>
      </c>
      <c r="N476" s="1090">
        <v>-0.3</v>
      </c>
      <c r="O476" s="1090">
        <v>41.3</v>
      </c>
      <c r="P476" s="1090">
        <v>2</v>
      </c>
    </row>
    <row r="477" spans="3:29" s="235" customFormat="1" ht="11.25" hidden="1">
      <c r="C477" s="1128"/>
      <c r="D477" s="175" t="str">
        <f>IF(Indice_index!$Z$1=1,"julho","July")</f>
        <v>July</v>
      </c>
      <c r="E477" s="1090">
        <v>183.6</v>
      </c>
      <c r="F477" s="1090">
        <v>-3.5</v>
      </c>
      <c r="G477" s="1090">
        <v>-12</v>
      </c>
      <c r="H477" s="1090">
        <v>63.1</v>
      </c>
      <c r="I477" s="1090">
        <v>3.2</v>
      </c>
      <c r="J477" s="1090">
        <v>275.2</v>
      </c>
      <c r="K477" s="1090">
        <v>-0.9</v>
      </c>
      <c r="L477" s="1090">
        <v>-4.5</v>
      </c>
      <c r="M477" s="1090">
        <v>126.4</v>
      </c>
      <c r="N477" s="1090">
        <v>0.3</v>
      </c>
      <c r="O477" s="1090">
        <v>27</v>
      </c>
      <c r="P477" s="1090">
        <v>8.5</v>
      </c>
    </row>
    <row r="478" spans="3:29" s="235" customFormat="1" ht="11.25" hidden="1">
      <c r="C478" s="1128"/>
      <c r="D478" s="175" t="str">
        <f>IF(Indice_index!$Z$1=1,"agosto","August")</f>
        <v>August</v>
      </c>
      <c r="E478" s="1090">
        <v>153.9</v>
      </c>
      <c r="F478" s="1090">
        <v>-32.299999999999997</v>
      </c>
      <c r="G478" s="1090">
        <v>1.4</v>
      </c>
      <c r="H478" s="1090">
        <v>59.2</v>
      </c>
      <c r="I478" s="1090">
        <v>9.1999999999999993</v>
      </c>
      <c r="J478" s="1090">
        <v>201.8</v>
      </c>
      <c r="K478" s="1090">
        <v>-24.7</v>
      </c>
      <c r="L478" s="1090">
        <v>9.9</v>
      </c>
      <c r="M478" s="1090">
        <v>99.5</v>
      </c>
      <c r="N478" s="1090">
        <v>-7.5</v>
      </c>
      <c r="O478" s="1090">
        <v>15.3</v>
      </c>
      <c r="P478" s="1090">
        <v>8.3000000000000007</v>
      </c>
    </row>
    <row r="479" spans="3:29" s="174" customFormat="1" ht="11.25" hidden="1">
      <c r="C479" s="1128"/>
      <c r="D479" s="175" t="str">
        <f>IF(Indice_index!$Z$1=1,"setembro","September")</f>
        <v>September</v>
      </c>
      <c r="E479" s="1090">
        <v>66.7</v>
      </c>
      <c r="F479" s="1090">
        <v>-8.6</v>
      </c>
      <c r="G479" s="1090">
        <v>0.2</v>
      </c>
      <c r="H479" s="1090">
        <v>25.5</v>
      </c>
      <c r="I479" s="1090">
        <v>-4.2</v>
      </c>
      <c r="J479" s="1090">
        <v>136.30000000000001</v>
      </c>
      <c r="K479" s="1090">
        <v>-0.9</v>
      </c>
      <c r="L479" s="1090">
        <v>-4.7</v>
      </c>
      <c r="M479" s="1090">
        <v>70.3</v>
      </c>
      <c r="N479" s="1090">
        <v>-2.6</v>
      </c>
      <c r="O479" s="1090">
        <v>38.200000000000003</v>
      </c>
      <c r="P479" s="1090">
        <v>-4.8</v>
      </c>
      <c r="R479" s="235"/>
      <c r="S479" s="235"/>
      <c r="T479" s="235"/>
      <c r="U479" s="235"/>
      <c r="V479" s="235"/>
      <c r="W479" s="235"/>
      <c r="X479" s="235"/>
      <c r="Y479" s="235"/>
      <c r="Z479" s="235"/>
      <c r="AA479" s="235"/>
      <c r="AB479" s="235"/>
      <c r="AC479" s="235"/>
    </row>
    <row r="480" spans="3:29" s="174" customFormat="1" ht="11.25" hidden="1">
      <c r="C480" s="1128"/>
      <c r="D480" s="175" t="str">
        <f>IF(Indice_index!$Z$1=1,"outubro","October")</f>
        <v>October</v>
      </c>
      <c r="E480" s="1090">
        <v>93.3</v>
      </c>
      <c r="F480" s="1090">
        <v>-54.1</v>
      </c>
      <c r="G480" s="1090">
        <v>718.7</v>
      </c>
      <c r="H480" s="1090">
        <v>339.5</v>
      </c>
      <c r="I480" s="1090">
        <v>-6.3</v>
      </c>
      <c r="J480" s="1090">
        <v>164.7</v>
      </c>
      <c r="K480" s="1090">
        <v>-41.9</v>
      </c>
      <c r="L480" s="1090">
        <v>260.2</v>
      </c>
      <c r="M480" s="1090">
        <v>158.6</v>
      </c>
      <c r="N480" s="1090">
        <v>-3.3</v>
      </c>
      <c r="O480" s="1090">
        <v>35.5</v>
      </c>
      <c r="P480" s="1090">
        <v>-56</v>
      </c>
      <c r="R480" s="235"/>
      <c r="S480" s="235"/>
      <c r="T480" s="235"/>
      <c r="U480" s="235"/>
      <c r="V480" s="235"/>
      <c r="W480" s="235"/>
      <c r="X480" s="235"/>
      <c r="Y480" s="235"/>
      <c r="Z480" s="235"/>
      <c r="AA480" s="235"/>
      <c r="AB480" s="235"/>
      <c r="AC480" s="235"/>
    </row>
    <row r="481" spans="3:29" s="174" customFormat="1" ht="11.25" hidden="1">
      <c r="C481" s="1128"/>
      <c r="D481" s="175" t="str">
        <f>IF(Indice_index!$Z$1=1,"novembro","November")</f>
        <v>November</v>
      </c>
      <c r="E481" s="1090">
        <v>157.80000000000001</v>
      </c>
      <c r="F481" s="1090">
        <v>101.3</v>
      </c>
      <c r="G481" s="1090">
        <v>-7.4</v>
      </c>
      <c r="H481" s="1090">
        <v>56.3</v>
      </c>
      <c r="I481" s="1090">
        <v>3.5</v>
      </c>
      <c r="J481" s="1090">
        <v>362.3</v>
      </c>
      <c r="K481" s="1090">
        <v>113.8</v>
      </c>
      <c r="L481" s="1090">
        <v>-7.5</v>
      </c>
      <c r="M481" s="1090">
        <v>176</v>
      </c>
      <c r="N481" s="1090">
        <v>16.5</v>
      </c>
      <c r="O481" s="1090">
        <v>70.400000000000006</v>
      </c>
      <c r="P481" s="1090">
        <v>-0.2</v>
      </c>
      <c r="R481" s="235"/>
      <c r="S481" s="235"/>
      <c r="T481" s="235"/>
      <c r="U481" s="235"/>
      <c r="V481" s="235"/>
      <c r="W481" s="235"/>
      <c r="X481" s="235"/>
      <c r="Y481" s="235"/>
      <c r="Z481" s="235"/>
      <c r="AA481" s="235"/>
      <c r="AB481" s="235"/>
      <c r="AC481" s="235"/>
    </row>
    <row r="482" spans="3:29" s="174" customFormat="1" ht="11.25" hidden="1">
      <c r="C482" s="1128"/>
      <c r="D482" s="175" t="str">
        <f>IF(Indice_index!$Z$1=1,"dezembro","December")</f>
        <v>December</v>
      </c>
      <c r="E482" s="1090">
        <v>10.1</v>
      </c>
      <c r="F482" s="1090">
        <v>5.0999999999999996</v>
      </c>
      <c r="G482" s="1090">
        <v>30.9</v>
      </c>
      <c r="H482" s="1090">
        <v>18.8</v>
      </c>
      <c r="I482" s="1090">
        <v>7</v>
      </c>
      <c r="J482" s="1090">
        <v>25.3</v>
      </c>
      <c r="K482" s="1090">
        <v>-2.6</v>
      </c>
      <c r="L482" s="1090">
        <v>39.200000000000003</v>
      </c>
      <c r="M482" s="1090">
        <v>25.4</v>
      </c>
      <c r="N482" s="1090">
        <v>4.7</v>
      </c>
      <c r="O482" s="1090">
        <v>9.9</v>
      </c>
      <c r="P482" s="1090">
        <v>6.3</v>
      </c>
      <c r="R482" s="235"/>
      <c r="S482" s="235"/>
      <c r="T482" s="235"/>
      <c r="U482" s="235"/>
      <c r="V482" s="235"/>
      <c r="W482" s="235"/>
      <c r="X482" s="235"/>
      <c r="Y482" s="235"/>
      <c r="Z482" s="235"/>
      <c r="AA482" s="235"/>
      <c r="AB482" s="235"/>
      <c r="AC482" s="235"/>
    </row>
    <row r="483" spans="3:29" s="235" customFormat="1" ht="15" customHeight="1">
      <c r="C483" s="1187">
        <v>2018</v>
      </c>
      <c r="D483" s="174"/>
      <c r="E483" s="1090"/>
      <c r="F483" s="1090"/>
      <c r="G483" s="1090"/>
      <c r="H483" s="1090"/>
      <c r="I483" s="1090"/>
      <c r="J483" s="1090"/>
      <c r="K483" s="1090"/>
      <c r="L483" s="1090"/>
      <c r="M483" s="174"/>
      <c r="N483" s="1090"/>
      <c r="O483" s="1090"/>
      <c r="P483" s="1090"/>
      <c r="X483" s="52"/>
      <c r="Y483" s="52"/>
      <c r="Z483" s="52"/>
      <c r="AA483" s="173"/>
    </row>
    <row r="484" spans="3:29" s="174" customFormat="1" ht="15" customHeight="1">
      <c r="C484" s="1128"/>
      <c r="D484" s="175" t="str">
        <f>IF(Indice_index!$Z$1=1,"janeiro","January")</f>
        <v>January</v>
      </c>
      <c r="E484" s="235">
        <v>-10.4</v>
      </c>
      <c r="F484" s="235">
        <v>-10.7</v>
      </c>
      <c r="G484" s="235">
        <v>-6.1</v>
      </c>
      <c r="H484" s="235">
        <v>-8.8000000000000007</v>
      </c>
      <c r="I484" s="235">
        <v>0.5</v>
      </c>
      <c r="J484" s="235">
        <v>12.3</v>
      </c>
      <c r="K484" s="235">
        <v>-14.2</v>
      </c>
      <c r="L484" s="235">
        <v>-2.2999999999999998</v>
      </c>
      <c r="M484" s="235">
        <v>4.4000000000000004</v>
      </c>
      <c r="N484" s="235">
        <v>0.5</v>
      </c>
      <c r="O484" s="235">
        <v>19.7</v>
      </c>
      <c r="P484" s="235">
        <v>4</v>
      </c>
      <c r="R484" s="236"/>
      <c r="S484" s="236"/>
      <c r="T484" s="236"/>
      <c r="U484" s="236"/>
      <c r="V484" s="236"/>
      <c r="W484" s="236"/>
      <c r="X484" s="236"/>
      <c r="Y484" s="236"/>
      <c r="Z484" s="236"/>
      <c r="AA484" s="236"/>
      <c r="AB484" s="236"/>
      <c r="AC484" s="236"/>
    </row>
    <row r="485" spans="3:29" s="174" customFormat="1" ht="15" customHeight="1">
      <c r="C485" s="1128"/>
      <c r="D485" s="175" t="str">
        <f>IF(Indice_index!$Z$1=1,"fevereiro","February")</f>
        <v>February</v>
      </c>
      <c r="E485" s="235">
        <v>28.4</v>
      </c>
      <c r="F485" s="235">
        <v>-35.4</v>
      </c>
      <c r="G485" s="235">
        <v>-10.4</v>
      </c>
      <c r="H485" s="235">
        <v>2.7</v>
      </c>
      <c r="I485" s="235">
        <v>-11.1</v>
      </c>
      <c r="J485" s="235">
        <v>69.099999999999994</v>
      </c>
      <c r="K485" s="235">
        <v>-29.4</v>
      </c>
      <c r="L485" s="235">
        <v>-9.6999999999999993</v>
      </c>
      <c r="M485" s="235">
        <v>29.5</v>
      </c>
      <c r="N485" s="235">
        <v>-10.199999999999999</v>
      </c>
      <c r="O485" s="235">
        <v>29.5</v>
      </c>
      <c r="P485" s="235">
        <v>0.8</v>
      </c>
      <c r="R485" s="236"/>
      <c r="S485" s="236"/>
      <c r="T485" s="236"/>
      <c r="U485" s="236"/>
      <c r="V485" s="236"/>
      <c r="W485" s="236"/>
      <c r="X485" s="236"/>
      <c r="Y485" s="236"/>
      <c r="Z485" s="236"/>
      <c r="AA485" s="236"/>
      <c r="AB485" s="236"/>
      <c r="AC485" s="236"/>
    </row>
    <row r="486" spans="3:29" s="174" customFormat="1" ht="15" customHeight="1">
      <c r="C486" s="1128"/>
      <c r="D486" s="175" t="str">
        <f>IF(Indice_index!$Z$1=1,"março","March")</f>
        <v>March</v>
      </c>
      <c r="E486" s="235">
        <v>79.400000000000006</v>
      </c>
      <c r="F486" s="235">
        <v>14.9</v>
      </c>
      <c r="G486" s="235">
        <v>-32.5</v>
      </c>
      <c r="H486" s="235">
        <v>1.9</v>
      </c>
      <c r="I486" s="235">
        <v>-4.5999999999999996</v>
      </c>
      <c r="J486" s="235">
        <v>129.9</v>
      </c>
      <c r="K486" s="235">
        <v>0.7</v>
      </c>
      <c r="L486" s="235">
        <v>-27.4</v>
      </c>
      <c r="M486" s="235">
        <v>38.1</v>
      </c>
      <c r="N486" s="235">
        <v>-1.8</v>
      </c>
      <c r="O486" s="235">
        <v>19.5</v>
      </c>
      <c r="P486" s="235">
        <v>7.6</v>
      </c>
      <c r="R486" s="236"/>
      <c r="S486" s="236"/>
      <c r="T486" s="236"/>
      <c r="U486" s="236"/>
      <c r="V486" s="236"/>
      <c r="W486" s="236"/>
      <c r="X486" s="236"/>
      <c r="Y486" s="236"/>
      <c r="Z486" s="236"/>
      <c r="AA486" s="236"/>
      <c r="AB486" s="236"/>
      <c r="AC486" s="236"/>
    </row>
    <row r="487" spans="3:29" s="235" customFormat="1" ht="15" customHeight="1">
      <c r="C487" s="1128"/>
      <c r="D487" s="175" t="str">
        <f>IF(Indice_index!$Z$1=1,"abril","April")</f>
        <v>April</v>
      </c>
      <c r="E487" s="235">
        <v>22.4</v>
      </c>
      <c r="F487" s="235">
        <v>-22.9</v>
      </c>
      <c r="G487" s="235">
        <v>-19</v>
      </c>
      <c r="H487" s="235">
        <v>-4.7</v>
      </c>
      <c r="I487" s="235">
        <v>22.1</v>
      </c>
      <c r="J487" s="235">
        <v>35.5</v>
      </c>
      <c r="K487" s="235">
        <v>-8.3000000000000007</v>
      </c>
      <c r="L487" s="235">
        <v>-23.3</v>
      </c>
      <c r="M487" s="235">
        <v>9.6</v>
      </c>
      <c r="N487" s="235">
        <v>24</v>
      </c>
      <c r="O487" s="235">
        <v>13.8</v>
      </c>
      <c r="P487" s="235">
        <v>-5.3</v>
      </c>
      <c r="R487" s="236"/>
      <c r="S487" s="236"/>
      <c r="T487" s="236"/>
      <c r="U487" s="236"/>
      <c r="V487" s="236"/>
      <c r="W487" s="236"/>
      <c r="X487" s="236"/>
      <c r="Y487" s="236"/>
      <c r="Z487" s="236"/>
      <c r="AA487" s="236"/>
      <c r="AB487" s="236"/>
      <c r="AC487" s="236"/>
    </row>
    <row r="488" spans="3:29" s="235" customFormat="1" ht="15" customHeight="1">
      <c r="C488" s="1128"/>
      <c r="D488" s="175" t="str">
        <f>IF(Indice_index!$Z$1=1,"maio","May")</f>
        <v>May</v>
      </c>
      <c r="E488" s="235">
        <v>22</v>
      </c>
      <c r="F488" s="235">
        <v>0</v>
      </c>
      <c r="G488" s="235">
        <v>-2.2000000000000002</v>
      </c>
      <c r="H488" s="235">
        <v>9.9</v>
      </c>
      <c r="I488" s="235">
        <v>3.1</v>
      </c>
      <c r="J488" s="235">
        <v>20.8</v>
      </c>
      <c r="K488" s="235">
        <v>-2.4</v>
      </c>
      <c r="L488" s="235">
        <v>5.8</v>
      </c>
      <c r="M488" s="235">
        <v>15.6</v>
      </c>
      <c r="N488" s="235">
        <v>7</v>
      </c>
      <c r="O488" s="235">
        <v>-0.4</v>
      </c>
      <c r="P488" s="235">
        <v>8.3000000000000007</v>
      </c>
      <c r="R488" s="236"/>
      <c r="S488" s="236"/>
      <c r="T488" s="236"/>
      <c r="U488" s="236"/>
      <c r="V488" s="236"/>
      <c r="W488" s="236"/>
      <c r="X488" s="236"/>
      <c r="Y488" s="236"/>
      <c r="Z488" s="236"/>
      <c r="AA488" s="236"/>
      <c r="AB488" s="236"/>
      <c r="AC488" s="236"/>
    </row>
    <row r="489" spans="3:29" s="235" customFormat="1" ht="15" customHeight="1">
      <c r="C489" s="1128"/>
      <c r="D489" s="175" t="str">
        <f>IF(Indice_index!$Z$1=1,"junho","June")</f>
        <v>June</v>
      </c>
      <c r="E489" s="235">
        <v>-31.3</v>
      </c>
      <c r="F489" s="235">
        <v>-14.1</v>
      </c>
      <c r="G489" s="235">
        <v>-26.7</v>
      </c>
      <c r="H489" s="235">
        <v>-28.2</v>
      </c>
      <c r="I489" s="235">
        <v>12.4</v>
      </c>
      <c r="J489" s="235">
        <v>-10.199999999999999</v>
      </c>
      <c r="K489" s="235">
        <v>-31.4</v>
      </c>
      <c r="L489" s="235">
        <v>-73.8</v>
      </c>
      <c r="M489" s="235">
        <v>-15.2</v>
      </c>
      <c r="N489" s="235">
        <v>17.600000000000001</v>
      </c>
      <c r="O489" s="235">
        <v>23.3</v>
      </c>
      <c r="P489" s="235">
        <v>5.0999999999999996</v>
      </c>
      <c r="R489" s="236"/>
      <c r="S489" s="236"/>
      <c r="T489" s="236"/>
      <c r="U489" s="236"/>
      <c r="V489" s="236"/>
      <c r="W489" s="236"/>
      <c r="X489" s="236"/>
      <c r="Y489" s="236"/>
      <c r="Z489" s="236"/>
      <c r="AA489" s="236"/>
      <c r="AB489" s="236"/>
      <c r="AC489" s="236"/>
    </row>
    <row r="490" spans="3:29" s="235" customFormat="1" ht="15" customHeight="1">
      <c r="C490" s="1128"/>
      <c r="D490" s="175" t="str">
        <f>IF(Indice_index!$Z$1=1,"julho","July")</f>
        <v>July</v>
      </c>
      <c r="E490" s="235">
        <v>-50</v>
      </c>
      <c r="F490" s="235">
        <v>-22.3</v>
      </c>
      <c r="G490" s="235">
        <v>25.9</v>
      </c>
      <c r="H490" s="235">
        <v>-27.8</v>
      </c>
      <c r="I490" s="235">
        <v>0</v>
      </c>
      <c r="J490" s="235">
        <v>-41.2</v>
      </c>
      <c r="K490" s="235">
        <v>-23.8</v>
      </c>
      <c r="L490" s="235">
        <v>22.5</v>
      </c>
      <c r="M490" s="235">
        <v>-30.3</v>
      </c>
      <c r="N490" s="235">
        <v>7.6</v>
      </c>
      <c r="O490" s="235">
        <v>14.2</v>
      </c>
      <c r="P490" s="235">
        <v>-2.7</v>
      </c>
      <c r="R490" s="236"/>
      <c r="S490" s="236"/>
      <c r="T490" s="236"/>
      <c r="U490" s="236"/>
      <c r="V490" s="236"/>
      <c r="W490" s="236"/>
      <c r="X490" s="236"/>
      <c r="Y490" s="236"/>
      <c r="Z490" s="236"/>
      <c r="AA490" s="236"/>
      <c r="AB490" s="236"/>
      <c r="AC490" s="236"/>
    </row>
    <row r="491" spans="3:29" s="235" customFormat="1" ht="15" customHeight="1">
      <c r="C491" s="1128"/>
      <c r="D491" s="175" t="str">
        <f>IF(Indice_index!$Z$1=1,"agosto","August")</f>
        <v>August</v>
      </c>
      <c r="E491" s="1090">
        <v>-36.700000000000003</v>
      </c>
      <c r="F491" s="1090">
        <v>-12.4</v>
      </c>
      <c r="G491" s="1090">
        <v>1.6</v>
      </c>
      <c r="H491" s="1090">
        <v>-24.2</v>
      </c>
      <c r="I491" s="1090">
        <v>-4.7</v>
      </c>
      <c r="J491" s="1090">
        <v>-15.9</v>
      </c>
      <c r="K491" s="1090">
        <v>-1.5</v>
      </c>
      <c r="L491" s="1090">
        <v>-0.1</v>
      </c>
      <c r="M491" s="1090">
        <v>-12.2</v>
      </c>
      <c r="N491" s="1090">
        <v>9</v>
      </c>
      <c r="O491" s="1090">
        <v>30.7</v>
      </c>
      <c r="P491" s="1090">
        <v>-1.6</v>
      </c>
      <c r="R491" s="236"/>
      <c r="S491" s="236"/>
      <c r="T491" s="236"/>
      <c r="U491" s="236"/>
      <c r="V491" s="236"/>
      <c r="W491" s="236"/>
      <c r="X491" s="236"/>
      <c r="Y491" s="236"/>
      <c r="Z491" s="236"/>
      <c r="AA491" s="236"/>
      <c r="AB491" s="236"/>
      <c r="AC491" s="236"/>
    </row>
    <row r="492" spans="3:29" s="174" customFormat="1" ht="15" customHeight="1">
      <c r="C492" s="1128"/>
      <c r="D492" s="175" t="str">
        <f>IF(Indice_index!$Z$1=1,"setembro","September")</f>
        <v>September</v>
      </c>
      <c r="E492" s="1090">
        <v>-4</v>
      </c>
      <c r="F492" s="1090">
        <v>-22.8</v>
      </c>
      <c r="G492" s="1090">
        <v>-2</v>
      </c>
      <c r="H492" s="1090">
        <v>-5.2</v>
      </c>
      <c r="I492" s="1090">
        <v>8.1</v>
      </c>
      <c r="J492" s="1090">
        <v>-12.1</v>
      </c>
      <c r="K492" s="1090">
        <v>-27.4</v>
      </c>
      <c r="L492" s="1090">
        <v>2.9</v>
      </c>
      <c r="M492" s="1090">
        <v>-11</v>
      </c>
      <c r="N492" s="1090">
        <v>11</v>
      </c>
      <c r="O492" s="1090">
        <v>-7.4</v>
      </c>
      <c r="P492" s="1090">
        <v>5</v>
      </c>
      <c r="R492" s="236"/>
      <c r="S492" s="236"/>
      <c r="T492" s="236"/>
      <c r="U492" s="236"/>
      <c r="V492" s="236"/>
      <c r="W492" s="236"/>
      <c r="X492" s="236"/>
      <c r="Y492" s="236"/>
      <c r="Z492" s="236"/>
      <c r="AA492" s="236"/>
      <c r="AB492" s="236"/>
      <c r="AC492" s="236"/>
    </row>
    <row r="493" spans="3:29" s="174" customFormat="1" ht="15" customHeight="1">
      <c r="C493" s="1128"/>
      <c r="D493" s="175" t="str">
        <f>IF(Indice_index!$Z$1=1,"outubro","October")</f>
        <v>October</v>
      </c>
      <c r="E493" s="1090">
        <v>-41.1</v>
      </c>
      <c r="F493" s="1090">
        <v>34.299999999999997</v>
      </c>
      <c r="G493" s="1090">
        <v>-86.3</v>
      </c>
      <c r="H493" s="1090">
        <v>-75.8</v>
      </c>
      <c r="I493" s="1090">
        <v>16.7</v>
      </c>
      <c r="J493" s="1090">
        <v>-33.1</v>
      </c>
      <c r="K493" s="1090">
        <v>35.4</v>
      </c>
      <c r="L493" s="1090">
        <v>-66.5</v>
      </c>
      <c r="M493" s="1090">
        <v>-43.8</v>
      </c>
      <c r="N493" s="1090">
        <v>20.8</v>
      </c>
      <c r="O493" s="1090">
        <v>11.8</v>
      </c>
      <c r="P493" s="1090">
        <v>145.30000000000001</v>
      </c>
      <c r="R493" s="236"/>
      <c r="S493" s="236"/>
      <c r="T493" s="236"/>
      <c r="U493" s="236"/>
      <c r="V493" s="236"/>
      <c r="W493" s="236"/>
      <c r="X493" s="236"/>
      <c r="Y493" s="236"/>
      <c r="Z493" s="236"/>
      <c r="AA493" s="236"/>
      <c r="AB493" s="236"/>
      <c r="AC493" s="236"/>
    </row>
    <row r="494" spans="3:29" s="174" customFormat="1" ht="15" customHeight="1">
      <c r="C494" s="1128"/>
      <c r="D494" s="175" t="str">
        <f>IF(Indice_index!$Z$1=1,"novembro","November")</f>
        <v>November</v>
      </c>
      <c r="E494" s="1090">
        <v>-37.799999999999997</v>
      </c>
      <c r="F494" s="1090">
        <v>-16.8</v>
      </c>
      <c r="G494" s="1090">
        <v>28.3</v>
      </c>
      <c r="H494" s="1090">
        <v>-12.9</v>
      </c>
      <c r="I494" s="1090">
        <v>0</v>
      </c>
      <c r="J494" s="1090">
        <v>-51.6</v>
      </c>
      <c r="K494" s="1090">
        <v>-1</v>
      </c>
      <c r="L494" s="1090">
        <v>46.7</v>
      </c>
      <c r="M494" s="1090">
        <v>-33.6</v>
      </c>
      <c r="N494" s="1090">
        <v>1.3</v>
      </c>
      <c r="O494" s="1090">
        <v>-19.3</v>
      </c>
      <c r="P494" s="1090">
        <v>14.3</v>
      </c>
      <c r="R494" s="236"/>
      <c r="S494" s="236"/>
      <c r="T494" s="236"/>
      <c r="U494" s="236"/>
      <c r="V494" s="236"/>
      <c r="W494" s="236"/>
      <c r="X494" s="236"/>
      <c r="Y494" s="236"/>
      <c r="Z494" s="236"/>
      <c r="AA494" s="236"/>
      <c r="AB494" s="236"/>
      <c r="AC494" s="236"/>
    </row>
    <row r="495" spans="3:29" s="174" customFormat="1" ht="15" customHeight="1">
      <c r="C495" s="1128"/>
      <c r="D495" s="175" t="str">
        <f>IF(Indice_index!$Z$1=1,"dezembro","December")</f>
        <v>December</v>
      </c>
      <c r="E495" s="1090">
        <v>25.5</v>
      </c>
      <c r="F495" s="1090">
        <v>18.5</v>
      </c>
      <c r="G495" s="1090">
        <v>-2.5</v>
      </c>
      <c r="H495" s="1090">
        <v>11</v>
      </c>
      <c r="I495" s="1090">
        <v>-6.5</v>
      </c>
      <c r="J495" s="1090">
        <v>63</v>
      </c>
      <c r="K495" s="1090">
        <v>51.5</v>
      </c>
      <c r="L495" s="1090">
        <v>5.5</v>
      </c>
      <c r="M495" s="1090">
        <v>43.3</v>
      </c>
      <c r="N495" s="1090">
        <v>-3.6</v>
      </c>
      <c r="O495" s="1090">
        <v>37.5</v>
      </c>
      <c r="P495" s="1090">
        <v>8.1</v>
      </c>
      <c r="R495" s="236"/>
      <c r="S495" s="236"/>
      <c r="T495" s="236"/>
      <c r="U495" s="236"/>
      <c r="V495" s="236"/>
      <c r="W495" s="236"/>
      <c r="X495" s="236"/>
      <c r="Y495" s="236"/>
      <c r="Z495" s="236"/>
      <c r="AA495" s="236"/>
      <c r="AB495" s="236"/>
      <c r="AC495" s="236"/>
    </row>
    <row r="496" spans="3:29" s="235" customFormat="1" ht="15" customHeight="1">
      <c r="C496" s="1187">
        <v>2019</v>
      </c>
      <c r="D496" s="174"/>
      <c r="E496" s="1090"/>
      <c r="F496" s="1090"/>
      <c r="G496" s="1090"/>
      <c r="H496" s="1090"/>
      <c r="I496" s="1090"/>
      <c r="J496" s="1090"/>
      <c r="K496" s="1090"/>
      <c r="L496" s="1090"/>
      <c r="M496" s="174"/>
      <c r="N496" s="1090"/>
      <c r="O496" s="1090"/>
      <c r="P496" s="1090"/>
      <c r="R496" s="236"/>
      <c r="S496" s="236"/>
      <c r="T496" s="236"/>
      <c r="U496" s="236"/>
      <c r="V496" s="236"/>
      <c r="W496" s="236"/>
      <c r="X496" s="236"/>
      <c r="Y496" s="236"/>
      <c r="Z496" s="236"/>
      <c r="AA496" s="236"/>
      <c r="AB496" s="236"/>
      <c r="AC496" s="236"/>
    </row>
    <row r="497" spans="3:41" s="174" customFormat="1" ht="15" customHeight="1">
      <c r="C497" s="1128"/>
      <c r="D497" s="175" t="str">
        <f>IF(Indice_index!$Z$1=1,"janeiro","January")</f>
        <v>January</v>
      </c>
      <c r="E497" s="1216">
        <v>13.6</v>
      </c>
      <c r="F497" s="1216">
        <v>40</v>
      </c>
      <c r="G497" s="1216">
        <v>36.4</v>
      </c>
      <c r="H497" s="1216">
        <v>25.2</v>
      </c>
      <c r="I497" s="1216">
        <v>3.7</v>
      </c>
      <c r="J497" s="1216">
        <v>67.8</v>
      </c>
      <c r="K497" s="1216">
        <v>44.8</v>
      </c>
      <c r="L497" s="1216">
        <v>36.6</v>
      </c>
      <c r="M497" s="1216">
        <v>56.7</v>
      </c>
      <c r="N497" s="1216">
        <v>0</v>
      </c>
      <c r="O497" s="1216">
        <v>39.700000000000003</v>
      </c>
      <c r="P497" s="1216">
        <v>0.1</v>
      </c>
      <c r="R497" s="236"/>
      <c r="S497" s="236"/>
      <c r="T497" s="236"/>
      <c r="U497" s="236"/>
      <c r="V497" s="236"/>
      <c r="W497" s="236"/>
      <c r="X497" s="236"/>
      <c r="Y497" s="236"/>
      <c r="Z497" s="236"/>
      <c r="AA497" s="236"/>
      <c r="AB497" s="236"/>
      <c r="AC497" s="236"/>
    </row>
    <row r="498" spans="3:41" s="174" customFormat="1" ht="15" customHeight="1">
      <c r="C498" s="1128"/>
      <c r="D498" s="175" t="str">
        <f>IF(Indice_index!$Z$1=1,"fevereiro","February")</f>
        <v>February</v>
      </c>
      <c r="E498" s="1216">
        <v>-7.5</v>
      </c>
      <c r="F498" s="1216">
        <v>102.4</v>
      </c>
      <c r="G498" s="1216">
        <v>32.799999999999997</v>
      </c>
      <c r="H498" s="1216">
        <v>16.8</v>
      </c>
      <c r="I498" s="1216">
        <v>-8.3000000000000007</v>
      </c>
      <c r="J498" s="1216">
        <v>-17.600000000000001</v>
      </c>
      <c r="K498" s="1216">
        <v>100.1</v>
      </c>
      <c r="L498" s="1216">
        <v>40.700000000000003</v>
      </c>
      <c r="M498" s="1216">
        <v>4.4000000000000004</v>
      </c>
      <c r="N498" s="1216">
        <v>-3.3</v>
      </c>
      <c r="O498" s="1216">
        <v>-10.8</v>
      </c>
      <c r="P498" s="1216">
        <v>6</v>
      </c>
      <c r="R498" s="236"/>
      <c r="S498" s="236"/>
      <c r="T498" s="236"/>
      <c r="U498" s="236"/>
      <c r="V498" s="236"/>
      <c r="W498" s="236"/>
      <c r="X498" s="236"/>
      <c r="Y498" s="236"/>
      <c r="Z498" s="236"/>
      <c r="AA498" s="236"/>
      <c r="AB498" s="236"/>
      <c r="AC498" s="236"/>
    </row>
    <row r="499" spans="3:41" s="174" customFormat="1" ht="15" customHeight="1">
      <c r="C499" s="1128"/>
      <c r="D499" s="175" t="str">
        <f>IF(Indice_index!$Z$1=1,"março","March")</f>
        <v>March</v>
      </c>
      <c r="E499" s="1216">
        <v>-23.2</v>
      </c>
      <c r="F499" s="1216">
        <v>50.6</v>
      </c>
      <c r="G499" s="1216">
        <v>49.4</v>
      </c>
      <c r="H499" s="1216">
        <v>15.9</v>
      </c>
      <c r="I499" s="1216">
        <v>15.2</v>
      </c>
      <c r="J499" s="1216">
        <v>-21</v>
      </c>
      <c r="K499" s="1216">
        <v>70.3</v>
      </c>
      <c r="L499" s="1216">
        <v>47.7</v>
      </c>
      <c r="M499" s="1216">
        <v>5.9</v>
      </c>
      <c r="N499" s="1216">
        <v>16.600000000000001</v>
      </c>
      <c r="O499" s="1216">
        <v>1.3</v>
      </c>
      <c r="P499" s="1216">
        <v>-1.2</v>
      </c>
      <c r="R499" s="236"/>
      <c r="S499" s="236"/>
      <c r="T499" s="236"/>
      <c r="U499" s="236"/>
      <c r="V499" s="236"/>
      <c r="W499" s="236"/>
      <c r="X499" s="236"/>
      <c r="Y499" s="236"/>
      <c r="Z499" s="236"/>
      <c r="AA499" s="236"/>
      <c r="AB499" s="236"/>
      <c r="AC499" s="236"/>
    </row>
    <row r="500" spans="3:41" s="235" customFormat="1" ht="15" customHeight="1">
      <c r="C500" s="1128"/>
      <c r="D500" s="175" t="str">
        <f>IF(Indice_index!$Z$1=1,"abril","April")</f>
        <v>April</v>
      </c>
      <c r="E500" s="1216">
        <v>60.9</v>
      </c>
      <c r="F500" s="1216">
        <v>159.5</v>
      </c>
      <c r="G500" s="1216">
        <v>10.4</v>
      </c>
      <c r="H500" s="1216">
        <v>46</v>
      </c>
      <c r="I500" s="1216">
        <v>-17.8</v>
      </c>
      <c r="J500" s="1216">
        <v>48.1</v>
      </c>
      <c r="K500" s="1216">
        <v>170.3</v>
      </c>
      <c r="L500" s="1216">
        <v>22.5</v>
      </c>
      <c r="M500" s="1216">
        <v>53.6</v>
      </c>
      <c r="N500" s="1216">
        <v>-18.2</v>
      </c>
      <c r="O500" s="1216">
        <v>-6.9</v>
      </c>
      <c r="P500" s="1216">
        <v>11</v>
      </c>
      <c r="R500" s="236"/>
      <c r="S500" s="236"/>
      <c r="T500" s="236"/>
      <c r="U500" s="236"/>
      <c r="V500" s="236"/>
      <c r="W500" s="236"/>
      <c r="X500" s="236"/>
      <c r="Y500" s="236"/>
      <c r="Z500" s="236"/>
      <c r="AA500" s="236"/>
      <c r="AB500" s="236"/>
      <c r="AC500" s="236"/>
    </row>
    <row r="501" spans="3:41" s="235" customFormat="1" ht="15" customHeight="1">
      <c r="C501" s="1128"/>
      <c r="D501" s="175" t="str">
        <f>IF(Indice_index!$Z$1=1,"maio","May")</f>
        <v>May</v>
      </c>
      <c r="E501" s="1216">
        <v>17.5</v>
      </c>
      <c r="F501" s="1216">
        <v>78.099999999999994</v>
      </c>
      <c r="G501" s="1216">
        <v>35.299999999999997</v>
      </c>
      <c r="H501" s="1216">
        <v>28.9</v>
      </c>
      <c r="I501" s="1216">
        <v>9</v>
      </c>
      <c r="J501" s="1216">
        <v>13.7</v>
      </c>
      <c r="K501" s="1216">
        <v>78.8</v>
      </c>
      <c r="L501" s="1216">
        <v>24.7</v>
      </c>
      <c r="M501" s="1216">
        <v>20.7</v>
      </c>
      <c r="N501" s="1216">
        <v>65.599999999999994</v>
      </c>
      <c r="O501" s="1216">
        <v>-4.3</v>
      </c>
      <c r="P501" s="1216">
        <v>-7.9</v>
      </c>
      <c r="R501" s="236"/>
      <c r="S501" s="236"/>
      <c r="T501" s="236"/>
      <c r="U501" s="236"/>
      <c r="V501" s="236"/>
      <c r="W501" s="236"/>
      <c r="X501" s="236"/>
      <c r="Y501" s="236"/>
      <c r="Z501" s="236"/>
      <c r="AA501" s="236"/>
      <c r="AB501" s="236"/>
      <c r="AC501" s="236"/>
    </row>
    <row r="502" spans="3:41" s="235" customFormat="1" ht="15" customHeight="1">
      <c r="C502" s="1128"/>
      <c r="D502" s="175" t="str">
        <f>IF(Indice_index!$Z$1=1,"junho","June")</f>
        <v>June</v>
      </c>
      <c r="E502" s="1216">
        <v>31.4</v>
      </c>
      <c r="F502" s="1216">
        <v>111.5</v>
      </c>
      <c r="G502" s="1216">
        <v>61.8</v>
      </c>
      <c r="H502" s="1216">
        <v>50.9</v>
      </c>
      <c r="I502" s="1216">
        <v>5.6</v>
      </c>
      <c r="J502" s="1216">
        <v>7.5</v>
      </c>
      <c r="K502" s="1216">
        <v>181.9</v>
      </c>
      <c r="L502" s="1216">
        <v>51.8</v>
      </c>
      <c r="M502" s="1216">
        <v>30.3</v>
      </c>
      <c r="N502" s="1216">
        <v>8</v>
      </c>
      <c r="O502" s="1216">
        <v>-13.2</v>
      </c>
      <c r="P502" s="1216">
        <v>-6.1</v>
      </c>
      <c r="R502" s="236"/>
      <c r="S502" s="236"/>
      <c r="T502" s="236"/>
      <c r="U502" s="236"/>
      <c r="V502" s="236"/>
      <c r="W502" s="236"/>
      <c r="X502" s="236"/>
      <c r="Y502" s="236"/>
      <c r="Z502" s="236"/>
      <c r="AA502" s="236"/>
      <c r="AB502" s="236"/>
      <c r="AC502" s="236"/>
    </row>
    <row r="503" spans="3:41" s="235" customFormat="1" ht="15" customHeight="1">
      <c r="C503" s="1128"/>
      <c r="D503" s="175" t="str">
        <f>IF(Indice_index!$Z$1=1,"julho","July")</f>
        <v>July</v>
      </c>
      <c r="E503" s="1216">
        <v>46.2</v>
      </c>
      <c r="F503" s="1216">
        <v>27.1</v>
      </c>
      <c r="G503" s="1216">
        <v>6.6</v>
      </c>
      <c r="H503" s="1216">
        <v>26.3</v>
      </c>
      <c r="I503" s="1216">
        <v>-6.9</v>
      </c>
      <c r="J503" s="1216">
        <v>46.9</v>
      </c>
      <c r="K503" s="1216">
        <v>57.7</v>
      </c>
      <c r="L503" s="1216">
        <v>11.8</v>
      </c>
      <c r="M503" s="1216">
        <v>38.6</v>
      </c>
      <c r="N503" s="1216">
        <v>-12.3</v>
      </c>
      <c r="O503" s="1216">
        <v>3.5</v>
      </c>
      <c r="P503" s="1216">
        <v>4.9000000000000004</v>
      </c>
      <c r="R503" s="236"/>
      <c r="S503" s="236"/>
      <c r="T503" s="236"/>
      <c r="U503" s="236"/>
      <c r="V503" s="236"/>
      <c r="W503" s="236"/>
      <c r="X503" s="236"/>
      <c r="Y503" s="236"/>
      <c r="Z503" s="236"/>
      <c r="AA503" s="236"/>
      <c r="AB503" s="236"/>
      <c r="AC503" s="236"/>
    </row>
    <row r="504" spans="3:41" s="235" customFormat="1" ht="15" customHeight="1">
      <c r="C504" s="1128"/>
      <c r="D504" s="175" t="str">
        <f>IF(Indice_index!$Z$1=1,"agosto","August")</f>
        <v>August</v>
      </c>
      <c r="E504" s="1216">
        <v>20.399999999999999</v>
      </c>
      <c r="F504" s="1216">
        <v>58.6</v>
      </c>
      <c r="G504" s="1216">
        <v>48.1</v>
      </c>
      <c r="H504" s="1216">
        <v>33.700000000000003</v>
      </c>
      <c r="I504" s="1216">
        <v>11.9</v>
      </c>
      <c r="J504" s="1216">
        <v>-6</v>
      </c>
      <c r="K504" s="1216">
        <v>28.9</v>
      </c>
      <c r="L504" s="1216">
        <v>41</v>
      </c>
      <c r="M504" s="1216">
        <v>5.8</v>
      </c>
      <c r="N504" s="1216">
        <v>13.3</v>
      </c>
      <c r="O504" s="1216">
        <v>-21.8</v>
      </c>
      <c r="P504" s="1216">
        <v>-4.8</v>
      </c>
    </row>
    <row r="505" spans="3:41" s="174" customFormat="1" ht="15" customHeight="1">
      <c r="C505" s="1128"/>
      <c r="D505" s="175" t="str">
        <f>IF(Indice_index!$Z$1=1,"setembro","September")</f>
        <v>September</v>
      </c>
      <c r="E505" s="1216">
        <v>13.4</v>
      </c>
      <c r="F505" s="1216">
        <v>35.299999999999997</v>
      </c>
      <c r="G505" s="1216">
        <v>45</v>
      </c>
      <c r="H505" s="1216">
        <v>27.2</v>
      </c>
      <c r="I505" s="1216">
        <v>-4.3</v>
      </c>
      <c r="J505" s="1216">
        <v>-3.8</v>
      </c>
      <c r="K505" s="1216">
        <v>57.4</v>
      </c>
      <c r="L505" s="1216">
        <v>19.2</v>
      </c>
      <c r="M505" s="1216">
        <v>5.6</v>
      </c>
      <c r="N505" s="1216">
        <v>-2.4</v>
      </c>
      <c r="O505" s="1216">
        <v>-12.1</v>
      </c>
      <c r="P505" s="1216">
        <v>-17.8</v>
      </c>
      <c r="R505" s="235"/>
      <c r="S505" s="235"/>
      <c r="T505" s="235"/>
      <c r="U505" s="235"/>
      <c r="V505" s="235"/>
      <c r="W505" s="235"/>
      <c r="X505" s="235"/>
      <c r="Y505" s="235"/>
      <c r="Z505" s="235"/>
      <c r="AA505" s="235"/>
      <c r="AB505" s="235"/>
      <c r="AC505" s="235"/>
    </row>
    <row r="506" spans="3:41" s="174" customFormat="1" ht="15" customHeight="1">
      <c r="C506" s="1128"/>
      <c r="D506" s="175" t="str">
        <f>IF(Indice_index!$Z$1=1,"outubro","October")</f>
        <v>October</v>
      </c>
      <c r="E506" s="1217">
        <v>39.5</v>
      </c>
      <c r="F506" s="1217">
        <v>-3.3</v>
      </c>
      <c r="G506" s="1217">
        <v>33.9</v>
      </c>
      <c r="H506" s="1217">
        <v>33.9</v>
      </c>
      <c r="I506" s="1217">
        <v>2.8</v>
      </c>
      <c r="J506" s="1217">
        <v>9.9</v>
      </c>
      <c r="K506" s="1217">
        <v>-12.2</v>
      </c>
      <c r="L506" s="1217">
        <v>10.1</v>
      </c>
      <c r="M506" s="1217">
        <v>8</v>
      </c>
      <c r="N506" s="1217">
        <v>4.4000000000000004</v>
      </c>
      <c r="O506" s="1217">
        <v>-19.8</v>
      </c>
      <c r="P506" s="1217">
        <v>-17.7</v>
      </c>
      <c r="R506" s="235"/>
      <c r="S506" s="235"/>
      <c r="T506" s="235"/>
      <c r="U506" s="235"/>
      <c r="V506" s="235"/>
      <c r="W506" s="235"/>
      <c r="X506" s="235"/>
      <c r="Y506" s="235"/>
      <c r="Z506" s="235"/>
      <c r="AA506" s="235"/>
      <c r="AB506" s="235"/>
      <c r="AC506" s="235"/>
    </row>
    <row r="507" spans="3:41" s="174" customFormat="1" ht="15" customHeight="1">
      <c r="C507" s="1128"/>
      <c r="D507" s="175" t="str">
        <f>IF(Indice_index!$Z$1=1,"novembro","November")</f>
        <v>November</v>
      </c>
      <c r="E507" s="1218">
        <v>185.2981969486824</v>
      </c>
      <c r="F507" s="1218">
        <v>31.343283582089555</v>
      </c>
      <c r="G507" s="1218">
        <v>12.391304347826088</v>
      </c>
      <c r="H507" s="1218">
        <v>84.056338028169009</v>
      </c>
      <c r="I507" s="1218">
        <v>7.4565883554647607</v>
      </c>
      <c r="J507" s="1218">
        <v>65.649273887206007</v>
      </c>
      <c r="K507" s="1218">
        <v>26.013789365437628</v>
      </c>
      <c r="L507" s="1218">
        <v>-8.8076257153516018</v>
      </c>
      <c r="M507" s="1218">
        <v>37.145471165911317</v>
      </c>
      <c r="N507" s="1218">
        <v>10.189489535454682</v>
      </c>
      <c r="O507" s="1218">
        <v>-38.769625120153805</v>
      </c>
      <c r="P507" s="1218">
        <v>-18.863004172461761</v>
      </c>
      <c r="R507" s="235"/>
      <c r="S507" s="235"/>
      <c r="T507" s="235"/>
      <c r="U507" s="235"/>
      <c r="V507" s="235"/>
      <c r="W507" s="235"/>
      <c r="X507" s="235"/>
      <c r="Y507" s="235"/>
      <c r="Z507" s="235"/>
      <c r="AA507" s="235"/>
      <c r="AB507" s="235"/>
      <c r="AC507" s="235"/>
    </row>
    <row r="508" spans="3:41" s="174" customFormat="1" ht="15" customHeight="1">
      <c r="C508" s="1128"/>
      <c r="D508" s="175" t="str">
        <f>IF(Indice_index!$Z$1=1,"dezembro","December")</f>
        <v>December</v>
      </c>
      <c r="E508" s="1090">
        <v>135.73059360730593</v>
      </c>
      <c r="F508" s="1090">
        <v>-24.311926605504588</v>
      </c>
      <c r="G508" s="1090">
        <v>-22.53012048192771</v>
      </c>
      <c r="H508" s="1090">
        <v>49.324324324324323</v>
      </c>
      <c r="I508" s="1090">
        <v>8.0947680157946689</v>
      </c>
      <c r="J508" s="1090">
        <v>35.636954147504483</v>
      </c>
      <c r="K508" s="1090">
        <v>-30.219616809056653</v>
      </c>
      <c r="L508" s="1090">
        <v>-35.29300310023357</v>
      </c>
      <c r="M508" s="1090">
        <v>11.346467840992702</v>
      </c>
      <c r="N508" s="1090">
        <v>13.0917041557187</v>
      </c>
      <c r="O508" s="1090">
        <v>-38.321428571428569</v>
      </c>
      <c r="P508" s="1090">
        <v>-16.476173729558649</v>
      </c>
      <c r="R508" s="235"/>
      <c r="S508" s="235"/>
      <c r="T508" s="235"/>
      <c r="U508" s="235"/>
      <c r="V508" s="235"/>
      <c r="W508" s="235"/>
      <c r="X508" s="235"/>
      <c r="Y508" s="235"/>
      <c r="Z508" s="235"/>
      <c r="AA508" s="235"/>
      <c r="AB508" s="235"/>
      <c r="AC508" s="235"/>
    </row>
    <row r="509" spans="3:41" s="235" customFormat="1" ht="15" customHeight="1">
      <c r="C509" s="1187">
        <v>2020</v>
      </c>
      <c r="D509" s="174"/>
      <c r="E509" s="1090"/>
      <c r="F509" s="1090"/>
      <c r="G509" s="1090"/>
      <c r="H509" s="1090"/>
      <c r="I509" s="1090"/>
      <c r="J509" s="1090"/>
      <c r="K509" s="1090"/>
      <c r="L509" s="1090"/>
      <c r="M509" s="174"/>
      <c r="N509" s="1090"/>
      <c r="O509" s="1090"/>
      <c r="P509" s="1090"/>
      <c r="R509" s="236"/>
      <c r="S509" s="236"/>
      <c r="T509" s="236"/>
      <c r="U509" s="236"/>
      <c r="V509" s="236"/>
      <c r="W509" s="236"/>
      <c r="X509" s="236"/>
      <c r="Y509" s="236"/>
      <c r="Z509" s="236"/>
      <c r="AA509" s="236"/>
      <c r="AB509" s="236"/>
      <c r="AC509" s="236"/>
    </row>
    <row r="510" spans="3:41" s="174" customFormat="1" ht="15" customHeight="1">
      <c r="C510" s="1128"/>
      <c r="D510" s="175" t="str">
        <f>IF(Indice_index!$Z$1=1,"janeiro","January")</f>
        <v>January</v>
      </c>
      <c r="E510" s="1216">
        <v>62.625</v>
      </c>
      <c r="F510" s="1216">
        <v>-42.285714285714285</v>
      </c>
      <c r="G510" s="1216">
        <v>111.31578947368422</v>
      </c>
      <c r="H510" s="1216">
        <v>73.371757925072046</v>
      </c>
      <c r="I510" s="1216">
        <v>23.18271119842829</v>
      </c>
      <c r="J510" s="1216">
        <v>29.061286504775534</v>
      </c>
      <c r="K510" s="1216">
        <v>-29.759636700044805</v>
      </c>
      <c r="L510" s="1216">
        <v>183.73480079569762</v>
      </c>
      <c r="M510" s="1216">
        <v>59.865318660577472</v>
      </c>
      <c r="N510" s="1216">
        <v>9.3987115660011096</v>
      </c>
      <c r="O510" s="1216">
        <v>-15.821610759004487</v>
      </c>
      <c r="P510" s="1216">
        <v>34.281868871370882</v>
      </c>
      <c r="R510" s="236"/>
      <c r="S510" s="236"/>
      <c r="T510" s="236"/>
      <c r="U510" s="236"/>
      <c r="V510" s="236"/>
      <c r="W510" s="236"/>
      <c r="X510" s="236"/>
      <c r="Y510" s="236"/>
      <c r="Z510" s="236"/>
      <c r="AA510" s="236"/>
      <c r="AB510" s="236"/>
      <c r="AC510" s="236"/>
      <c r="AD510" s="441"/>
      <c r="AE510" s="441"/>
      <c r="AF510" s="441"/>
      <c r="AG510" s="441"/>
      <c r="AH510" s="441"/>
      <c r="AI510" s="441"/>
      <c r="AJ510" s="441"/>
      <c r="AK510" s="441"/>
      <c r="AL510" s="441"/>
      <c r="AM510" s="441"/>
      <c r="AN510" s="441"/>
      <c r="AO510" s="441"/>
    </row>
    <row r="511" spans="3:41" s="174" customFormat="1" ht="15" customHeight="1">
      <c r="C511" s="1128"/>
      <c r="D511" s="175" t="str">
        <f>IF(Indice_index!$Z$1=1,"fevereiro","February")</f>
        <v>February</v>
      </c>
      <c r="E511" s="1216">
        <v>69.750367107195302</v>
      </c>
      <c r="F511" s="1216">
        <v>-48.192771084337352</v>
      </c>
      <c r="G511" s="1216">
        <v>-12.791991101223582</v>
      </c>
      <c r="H511" s="1216">
        <v>16.036655211912944</v>
      </c>
      <c r="I511" s="1216">
        <v>15.657788539144471</v>
      </c>
      <c r="J511" s="1216">
        <v>54.8245143838042</v>
      </c>
      <c r="K511" s="1216">
        <v>-48.433576556043484</v>
      </c>
      <c r="L511" s="1216">
        <v>-32.144047137106718</v>
      </c>
      <c r="M511" s="1216">
        <v>13.080041952313362</v>
      </c>
      <c r="N511" s="1216">
        <v>5.0751254229762619</v>
      </c>
      <c r="O511" s="1216">
        <v>-7.3224789020543746</v>
      </c>
      <c r="P511" s="1216">
        <v>-22.188340807174885</v>
      </c>
      <c r="R511" s="236"/>
      <c r="S511" s="236"/>
      <c r="T511" s="236"/>
      <c r="U511" s="236"/>
      <c r="V511" s="236"/>
      <c r="W511" s="236"/>
      <c r="X511" s="236"/>
      <c r="Y511" s="236"/>
      <c r="Z511" s="236"/>
      <c r="AA511" s="236"/>
      <c r="AB511" s="236"/>
      <c r="AC511" s="236"/>
      <c r="AD511" s="441"/>
      <c r="AE511" s="441"/>
      <c r="AF511" s="441"/>
      <c r="AG511" s="441"/>
      <c r="AH511" s="441"/>
      <c r="AI511" s="441"/>
      <c r="AJ511" s="441"/>
      <c r="AK511" s="441"/>
      <c r="AL511" s="441"/>
      <c r="AM511" s="441"/>
      <c r="AN511" s="441"/>
      <c r="AO511" s="441"/>
    </row>
    <row r="512" spans="3:41" s="174" customFormat="1" ht="15" customHeight="1">
      <c r="C512" s="1128"/>
      <c r="D512" s="175" t="str">
        <f>IF(Indice_index!$Z$1=1,"março","March")</f>
        <v>March</v>
      </c>
      <c r="E512" s="1216">
        <v>118.25242718446603</v>
      </c>
      <c r="F512" s="1216">
        <v>15.625</v>
      </c>
      <c r="G512" s="1216">
        <v>-2.4255788313120177</v>
      </c>
      <c r="H512" s="1216">
        <v>37.365911799761619</v>
      </c>
      <c r="I512" s="1216">
        <v>-7.1994715984147959</v>
      </c>
      <c r="J512" s="1216">
        <v>103.24281880757151</v>
      </c>
      <c r="K512" s="1216">
        <v>3.273425399518167</v>
      </c>
      <c r="L512" s="1216">
        <v>-7.2461062960342506</v>
      </c>
      <c r="M512" s="1216">
        <v>47.943227140003522</v>
      </c>
      <c r="N512" s="1216">
        <v>-9.3230300511125037</v>
      </c>
      <c r="O512" s="1216">
        <v>-4.7326701896176457</v>
      </c>
      <c r="P512" s="1216">
        <v>-4.9330643682376634</v>
      </c>
      <c r="R512" s="236"/>
      <c r="S512" s="236"/>
      <c r="T512" s="236"/>
      <c r="U512" s="236"/>
      <c r="V512" s="236"/>
      <c r="W512" s="236"/>
      <c r="X512" s="236"/>
      <c r="Y512" s="236"/>
      <c r="Z512" s="236"/>
      <c r="AA512" s="236"/>
      <c r="AB512" s="236"/>
      <c r="AC512" s="236"/>
      <c r="AD512" s="441"/>
      <c r="AE512" s="441"/>
      <c r="AF512" s="441"/>
      <c r="AG512" s="441"/>
      <c r="AH512" s="441"/>
      <c r="AI512" s="441"/>
      <c r="AJ512" s="441"/>
      <c r="AK512" s="441"/>
      <c r="AL512" s="441"/>
      <c r="AM512" s="441"/>
      <c r="AN512" s="441"/>
      <c r="AO512" s="441"/>
    </row>
    <row r="513" spans="3:42" s="235" customFormat="1" ht="15" customHeight="1">
      <c r="C513" s="1128"/>
      <c r="D513" s="175" t="str">
        <f>IF(Indice_index!$Z$1=1,"abril","April")</f>
        <v>April</v>
      </c>
      <c r="E513" s="1216">
        <v>28.544600938967136</v>
      </c>
      <c r="F513" s="1216">
        <v>-64.968152866242036</v>
      </c>
      <c r="G513" s="1216">
        <v>30.695770804911319</v>
      </c>
      <c r="H513" s="1216">
        <v>15.388257575757574</v>
      </c>
      <c r="I513" s="1216">
        <v>7.9545454545454541</v>
      </c>
      <c r="J513" s="1216">
        <v>33.013179052279298</v>
      </c>
      <c r="K513" s="1216">
        <v>-61.352029525055663</v>
      </c>
      <c r="L513" s="1216">
        <v>14.532856191004734</v>
      </c>
      <c r="M513" s="1216">
        <v>13.208872926954406</v>
      </c>
      <c r="N513" s="1216">
        <v>4.7948691931676848</v>
      </c>
      <c r="O513" s="1216">
        <v>5.2434456928838955</v>
      </c>
      <c r="P513" s="1216">
        <v>-12.365783822476731</v>
      </c>
      <c r="R513" s="236"/>
      <c r="S513" s="236"/>
      <c r="T513" s="236"/>
      <c r="U513" s="236"/>
      <c r="V513" s="236"/>
      <c r="W513" s="236"/>
      <c r="X513" s="236"/>
      <c r="Y513" s="236"/>
      <c r="Z513" s="236"/>
      <c r="AA513" s="236"/>
      <c r="AB513" s="236"/>
      <c r="AC513" s="236"/>
      <c r="AD513" s="441"/>
      <c r="AE513" s="441"/>
      <c r="AF513" s="441"/>
      <c r="AG513" s="441"/>
      <c r="AH513" s="441"/>
      <c r="AI513" s="441"/>
      <c r="AJ513" s="441"/>
      <c r="AK513" s="441"/>
      <c r="AL513" s="441"/>
      <c r="AM513" s="441"/>
      <c r="AN513" s="441"/>
      <c r="AO513" s="441"/>
      <c r="AP513" s="174"/>
    </row>
    <row r="514" spans="3:42" s="235" customFormat="1" ht="15" customHeight="1">
      <c r="C514" s="1128"/>
      <c r="D514" s="175" t="str">
        <f>IF(Indice_index!$Z$1=1,"maio","May")</f>
        <v>May</v>
      </c>
      <c r="E514" s="1219">
        <v>35.726950354609926</v>
      </c>
      <c r="F514" s="1219">
        <v>-68.032786885245898</v>
      </c>
      <c r="G514" s="1219">
        <v>11.224489795918368</v>
      </c>
      <c r="H514" s="1219">
        <v>14.906832298136646</v>
      </c>
      <c r="I514" s="1219">
        <v>26.359447004608295</v>
      </c>
      <c r="J514" s="1219">
        <v>28.281477037151841</v>
      </c>
      <c r="K514" s="1219">
        <v>-62.701923332296637</v>
      </c>
      <c r="L514" s="1219">
        <v>11.389292670056442</v>
      </c>
      <c r="M514" s="1219">
        <v>14.832487390487422</v>
      </c>
      <c r="N514" s="1219">
        <v>-14.691124358028137</v>
      </c>
      <c r="O514" s="1219">
        <v>-1.3377159455740713</v>
      </c>
      <c r="P514" s="1219">
        <v>0.15533980582523388</v>
      </c>
      <c r="R514" s="236"/>
      <c r="S514" s="236"/>
      <c r="T514" s="236"/>
      <c r="U514" s="236"/>
      <c r="V514" s="236"/>
      <c r="W514" s="236"/>
      <c r="X514" s="236"/>
      <c r="Y514" s="236"/>
      <c r="Z514" s="236"/>
      <c r="AA514" s="236"/>
      <c r="AB514" s="236"/>
      <c r="AC514" s="236"/>
      <c r="AD514" s="441"/>
      <c r="AE514" s="441"/>
      <c r="AF514" s="441"/>
      <c r="AG514" s="441"/>
      <c r="AH514" s="441"/>
      <c r="AI514" s="441"/>
      <c r="AJ514" s="441"/>
      <c r="AK514" s="441"/>
      <c r="AL514" s="441"/>
      <c r="AM514" s="441"/>
      <c r="AN514" s="441"/>
      <c r="AO514" s="441"/>
      <c r="AP514" s="174"/>
    </row>
    <row r="515" spans="3:42" s="235" customFormat="1" ht="15" customHeight="1">
      <c r="C515" s="1128"/>
      <c r="D515" s="175" t="str">
        <f>IF(Indice_index!$Z$1=1,"junho","June")</f>
        <v>June</v>
      </c>
      <c r="E515" s="1216">
        <v>58.6</v>
      </c>
      <c r="F515" s="1216">
        <v>-65.5</v>
      </c>
      <c r="G515" s="1216">
        <v>-11.9</v>
      </c>
      <c r="H515" s="1216">
        <v>12.3</v>
      </c>
      <c r="I515" s="1216">
        <v>7.5</v>
      </c>
      <c r="J515" s="1216">
        <v>63.2</v>
      </c>
      <c r="K515" s="1216">
        <v>-66.2</v>
      </c>
      <c r="L515" s="1216">
        <v>-7.2</v>
      </c>
      <c r="M515" s="1216">
        <v>24.3</v>
      </c>
      <c r="N515" s="1216">
        <v>8.1999999999999993</v>
      </c>
      <c r="O515" s="1216">
        <v>2.4</v>
      </c>
      <c r="P515" s="1216">
        <v>5.4</v>
      </c>
      <c r="R515" s="236"/>
      <c r="S515" s="236"/>
      <c r="T515" s="236"/>
      <c r="U515" s="236"/>
      <c r="V515" s="236"/>
      <c r="W515" s="236"/>
      <c r="X515" s="236"/>
      <c r="Y515" s="236"/>
      <c r="Z515" s="236"/>
      <c r="AA515" s="236"/>
      <c r="AB515" s="236"/>
      <c r="AC515" s="236"/>
    </row>
    <row r="516" spans="3:42" s="235" customFormat="1" ht="15" customHeight="1">
      <c r="C516" s="1128"/>
      <c r="D516" s="175" t="str">
        <f>IF(Indice_index!$Z$1=1,"julho","July")</f>
        <v>July</v>
      </c>
      <c r="E516" s="1216">
        <v>43.3</v>
      </c>
      <c r="F516" s="1216">
        <v>-64.599999999999994</v>
      </c>
      <c r="G516" s="1216">
        <v>24.4</v>
      </c>
      <c r="H516" s="1216">
        <v>26.8</v>
      </c>
      <c r="I516" s="1216">
        <v>20.100000000000001</v>
      </c>
      <c r="J516" s="1216">
        <v>44</v>
      </c>
      <c r="K516" s="1216">
        <v>-64.5</v>
      </c>
      <c r="L516" s="1216">
        <v>30.8</v>
      </c>
      <c r="M516" s="1216">
        <v>30.6</v>
      </c>
      <c r="N516" s="1216">
        <v>28.5</v>
      </c>
      <c r="O516" s="1216">
        <v>1.7</v>
      </c>
      <c r="P516" s="1216">
        <v>5.2</v>
      </c>
      <c r="R516" s="236"/>
      <c r="S516" s="236"/>
      <c r="T516" s="236"/>
      <c r="U516" s="236"/>
      <c r="V516" s="236"/>
      <c r="W516" s="236"/>
      <c r="X516" s="236"/>
      <c r="Y516" s="236"/>
      <c r="Z516" s="236"/>
      <c r="AA516" s="236"/>
      <c r="AB516" s="236"/>
      <c r="AC516" s="236"/>
    </row>
    <row r="517" spans="3:42" s="235" customFormat="1" ht="15" customHeight="1">
      <c r="C517" s="1128"/>
      <c r="D517" s="175" t="str">
        <f>IF(Indice_index!$Z$1=1,"agosto","August")</f>
        <v>August</v>
      </c>
      <c r="E517" s="1216">
        <v>51.079136690647488</v>
      </c>
      <c r="F517" s="1216">
        <v>-77.070063694267517</v>
      </c>
      <c r="G517" s="1216">
        <v>17.23329425556858</v>
      </c>
      <c r="H517" s="1216">
        <v>26.374180534543623</v>
      </c>
      <c r="I517" s="1216">
        <v>10.084825636192271</v>
      </c>
      <c r="J517" s="1216">
        <v>78.072897743494167</v>
      </c>
      <c r="K517" s="1216">
        <v>-77.063042667441266</v>
      </c>
      <c r="L517" s="1216">
        <v>32.584157565991759</v>
      </c>
      <c r="M517" s="1216">
        <v>51.100963168788326</v>
      </c>
      <c r="N517" s="1216">
        <v>13.459985911226461</v>
      </c>
      <c r="O517" s="1216">
        <v>18.17082247860067</v>
      </c>
      <c r="P517" s="1216">
        <v>13.086017121891548</v>
      </c>
    </row>
    <row r="518" spans="3:42" s="174" customFormat="1" ht="15" customHeight="1">
      <c r="C518" s="1128"/>
      <c r="D518" s="175" t="str">
        <f>IF(Indice_index!$Z$1=1,"setembro","September")</f>
        <v>September</v>
      </c>
      <c r="E518" s="1216">
        <v>29.469548133595286</v>
      </c>
      <c r="F518" s="1216">
        <v>-84.574468085106375</v>
      </c>
      <c r="G518" s="1216">
        <v>-16.069489685124864</v>
      </c>
      <c r="H518" s="1216">
        <v>-0.32910202162670427</v>
      </c>
      <c r="I518" s="1216">
        <v>32.183908045977013</v>
      </c>
      <c r="J518" s="1216">
        <v>73.446873621707283</v>
      </c>
      <c r="K518" s="1216">
        <v>-81.573720194209571</v>
      </c>
      <c r="L518" s="1216">
        <v>7.8137034258189546</v>
      </c>
      <c r="M518" s="1216">
        <v>40.448908404512032</v>
      </c>
      <c r="N518" s="1216">
        <v>28.034566716222109</v>
      </c>
      <c r="O518" s="1216">
        <v>34.141694093192456</v>
      </c>
      <c r="P518" s="1216">
        <v>28.4661446338093</v>
      </c>
      <c r="R518" s="235"/>
      <c r="S518" s="235"/>
      <c r="T518" s="235"/>
      <c r="U518" s="235"/>
      <c r="V518" s="235"/>
      <c r="W518" s="235"/>
      <c r="X518" s="235"/>
      <c r="Y518" s="235"/>
      <c r="Z518" s="235"/>
      <c r="AA518" s="235"/>
      <c r="AB518" s="235"/>
      <c r="AC518" s="235"/>
    </row>
    <row r="519" spans="3:42" s="174" customFormat="1" ht="15" customHeight="1">
      <c r="C519" s="1128"/>
      <c r="D519" s="175" t="str">
        <f>IF(Indice_index!$Z$1=1,"outubro","October")</f>
        <v>October</v>
      </c>
      <c r="E519" s="1220">
        <v>45.3</v>
      </c>
      <c r="F519" s="1220">
        <v>-69</v>
      </c>
      <c r="G519" s="1220">
        <v>5.2</v>
      </c>
      <c r="H519" s="1220">
        <v>21.4</v>
      </c>
      <c r="I519" s="1220">
        <v>1.9</v>
      </c>
      <c r="J519" s="1220">
        <v>89.3</v>
      </c>
      <c r="K519" s="1220">
        <v>-56.6</v>
      </c>
      <c r="L519" s="1220">
        <v>29.8</v>
      </c>
      <c r="M519" s="1220">
        <v>64.7</v>
      </c>
      <c r="N519" s="1220">
        <v>3.5</v>
      </c>
      <c r="O519" s="1220">
        <v>30.7</v>
      </c>
      <c r="P519" s="1220">
        <v>23.4</v>
      </c>
      <c r="R519" s="235"/>
      <c r="S519" s="235"/>
      <c r="T519" s="235"/>
      <c r="U519" s="235"/>
      <c r="V519" s="235"/>
      <c r="W519" s="235"/>
      <c r="X519" s="235"/>
      <c r="Y519" s="235"/>
      <c r="Z519" s="235"/>
      <c r="AA519" s="235"/>
      <c r="AB519" s="235"/>
      <c r="AC519" s="235"/>
    </row>
    <row r="520" spans="3:42" s="174" customFormat="1" ht="15" customHeight="1">
      <c r="C520" s="1128"/>
      <c r="D520" s="175" t="str">
        <f>IF(Indice_index!$Z$1=1,"novembro","November")</f>
        <v>November</v>
      </c>
      <c r="E520" s="1221">
        <v>-46</v>
      </c>
      <c r="F520" s="1221">
        <v>-51.1</v>
      </c>
      <c r="G520" s="1221">
        <v>-15.8</v>
      </c>
      <c r="H520" s="1221">
        <v>-36.700000000000003</v>
      </c>
      <c r="I520" s="1221">
        <v>10.5</v>
      </c>
      <c r="J520" s="1221">
        <v>17</v>
      </c>
      <c r="K520" s="1221">
        <v>-47.6</v>
      </c>
      <c r="L520" s="1221">
        <v>-7.3</v>
      </c>
      <c r="M520" s="1221">
        <v>5.9</v>
      </c>
      <c r="N520" s="1221">
        <v>10.7</v>
      </c>
      <c r="O520" s="1221">
        <v>104.6</v>
      </c>
      <c r="P520" s="1221">
        <v>10.1</v>
      </c>
      <c r="R520" s="235"/>
      <c r="S520" s="235"/>
      <c r="T520" s="235"/>
      <c r="U520" s="235"/>
      <c r="V520" s="235"/>
      <c r="W520" s="235"/>
      <c r="X520" s="235"/>
      <c r="Y520" s="235"/>
      <c r="Z520" s="235"/>
      <c r="AA520" s="235"/>
      <c r="AB520" s="235"/>
      <c r="AC520" s="235"/>
    </row>
    <row r="521" spans="3:42" s="174" customFormat="1" ht="15" customHeight="1">
      <c r="C521" s="1128"/>
      <c r="D521" s="175" t="str">
        <f>IF(Indice_index!$Z$1=1,"dezembro","December")</f>
        <v>December</v>
      </c>
      <c r="E521" s="1222">
        <v>-48.8</v>
      </c>
      <c r="F521" s="1222">
        <v>-35.799999999999997</v>
      </c>
      <c r="G521" s="1222">
        <v>38.299999999999997</v>
      </c>
      <c r="H521" s="1222">
        <v>-28.6</v>
      </c>
      <c r="I521" s="1222">
        <v>17.600000000000001</v>
      </c>
      <c r="J521" s="1222">
        <v>3.4</v>
      </c>
      <c r="K521" s="1222">
        <v>-24.4</v>
      </c>
      <c r="L521" s="1222">
        <v>53.1</v>
      </c>
      <c r="M521" s="1222">
        <v>8.1999999999999993</v>
      </c>
      <c r="N521" s="1222">
        <v>19.8</v>
      </c>
      <c r="O521" s="1222">
        <v>93.7</v>
      </c>
      <c r="P521" s="1222">
        <v>10.7</v>
      </c>
      <c r="R521" s="235"/>
      <c r="S521" s="235"/>
      <c r="T521" s="235"/>
      <c r="U521" s="235"/>
      <c r="V521" s="235"/>
      <c r="W521" s="235"/>
      <c r="X521" s="235"/>
      <c r="Y521" s="235"/>
      <c r="Z521" s="235"/>
      <c r="AA521" s="235"/>
      <c r="AB521" s="235"/>
      <c r="AC521" s="235"/>
    </row>
    <row r="522" spans="3:42" s="235" customFormat="1" ht="15" customHeight="1">
      <c r="C522" s="1223" t="s">
        <v>83</v>
      </c>
      <c r="D522" s="174"/>
      <c r="E522" s="1090"/>
      <c r="F522" s="1090"/>
      <c r="G522" s="1090"/>
      <c r="H522" s="1090"/>
      <c r="I522" s="1090"/>
      <c r="J522" s="1090"/>
      <c r="K522" s="1090"/>
      <c r="L522" s="1090"/>
      <c r="M522" s="174"/>
      <c r="N522" s="1090"/>
      <c r="O522" s="1090"/>
      <c r="P522" s="1090"/>
      <c r="R522" s="236"/>
      <c r="S522" s="236"/>
      <c r="T522" s="236"/>
      <c r="U522" s="236"/>
      <c r="V522" s="236"/>
      <c r="W522" s="236"/>
      <c r="X522" s="236"/>
      <c r="Y522" s="236"/>
      <c r="Z522" s="236"/>
      <c r="AA522" s="236"/>
      <c r="AB522" s="236"/>
      <c r="AC522" s="236"/>
    </row>
    <row r="523" spans="3:42" s="174" customFormat="1" ht="15" customHeight="1">
      <c r="C523" s="1128"/>
      <c r="D523" s="175" t="str">
        <f>IF(Indice_index!$Z$1=1,"janeiro","January")</f>
        <v>January</v>
      </c>
      <c r="E523" s="1216">
        <v>-21.3</v>
      </c>
      <c r="F523" s="1216">
        <v>-13.9</v>
      </c>
      <c r="G523" s="1216">
        <v>-57.8</v>
      </c>
      <c r="H523" s="1216">
        <v>-40.5</v>
      </c>
      <c r="I523" s="1216">
        <v>5.2</v>
      </c>
      <c r="J523" s="1216">
        <v>16.600000000000001</v>
      </c>
      <c r="K523" s="1216">
        <v>-13.6</v>
      </c>
      <c r="L523" s="1216">
        <v>-66.8</v>
      </c>
      <c r="M523" s="1216">
        <v>-20.100000000000001</v>
      </c>
      <c r="N523" s="1216">
        <v>22.9</v>
      </c>
      <c r="O523" s="1216">
        <v>44.1</v>
      </c>
      <c r="P523" s="1216">
        <v>-21.3</v>
      </c>
      <c r="R523" s="236"/>
      <c r="S523" s="236"/>
      <c r="T523" s="236"/>
      <c r="U523" s="236"/>
      <c r="V523" s="236"/>
      <c r="W523" s="236"/>
      <c r="X523" s="236"/>
      <c r="Y523" s="236"/>
      <c r="Z523" s="236"/>
      <c r="AA523" s="236"/>
      <c r="AB523" s="236"/>
      <c r="AC523" s="236"/>
      <c r="AD523" s="441"/>
      <c r="AE523" s="441"/>
      <c r="AF523" s="441"/>
      <c r="AG523" s="441"/>
      <c r="AH523" s="441"/>
      <c r="AI523" s="441"/>
      <c r="AJ523" s="441"/>
      <c r="AK523" s="441"/>
      <c r="AL523" s="441"/>
      <c r="AM523" s="441"/>
      <c r="AN523" s="441"/>
      <c r="AO523" s="441"/>
    </row>
    <row r="524" spans="3:42" s="174" customFormat="1" ht="15" customHeight="1">
      <c r="C524" s="1128"/>
      <c r="D524" s="175" t="str">
        <f>IF(Indice_index!$Z$1=1,"fevereiro","February")</f>
        <v>February</v>
      </c>
      <c r="E524" s="1216">
        <v>-23.6</v>
      </c>
      <c r="F524" s="1216">
        <v>17.399999999999999</v>
      </c>
      <c r="G524" s="1216">
        <v>6.6</v>
      </c>
      <c r="H524" s="1216">
        <v>-10.199999999999999</v>
      </c>
      <c r="I524" s="1216">
        <v>17.100000000000001</v>
      </c>
      <c r="J524" s="1216">
        <v>4</v>
      </c>
      <c r="K524" s="1216">
        <v>6.8</v>
      </c>
      <c r="L524" s="1216">
        <v>34.9</v>
      </c>
      <c r="M524" s="1216">
        <v>10.3</v>
      </c>
      <c r="N524" s="1216">
        <v>31.2</v>
      </c>
      <c r="O524" s="1216">
        <v>31.5</v>
      </c>
      <c r="P524" s="1216">
        <v>26.5</v>
      </c>
      <c r="R524" s="236"/>
      <c r="S524" s="236"/>
      <c r="T524" s="236"/>
      <c r="U524" s="236"/>
      <c r="V524" s="236"/>
      <c r="W524" s="236"/>
      <c r="X524" s="236"/>
      <c r="Y524" s="236"/>
      <c r="Z524" s="236"/>
      <c r="AA524" s="236"/>
      <c r="AB524" s="236"/>
      <c r="AC524" s="236"/>
      <c r="AD524" s="441"/>
      <c r="AE524" s="441"/>
      <c r="AF524" s="441"/>
      <c r="AG524" s="441"/>
      <c r="AH524" s="441"/>
      <c r="AI524" s="441"/>
      <c r="AJ524" s="441"/>
      <c r="AK524" s="441"/>
      <c r="AL524" s="441"/>
      <c r="AM524" s="441"/>
      <c r="AN524" s="441"/>
      <c r="AO524" s="441"/>
    </row>
    <row r="525" spans="3:42" s="174" customFormat="1" ht="15" customHeight="1">
      <c r="C525" s="1128"/>
      <c r="D525" s="175" t="str">
        <f>IF(Indice_index!$Z$1=1,"março","March")</f>
        <v>March</v>
      </c>
      <c r="E525" s="1224">
        <v>-7.8291814946619214</v>
      </c>
      <c r="F525" s="1224">
        <v>-25</v>
      </c>
      <c r="G525" s="1224">
        <v>21.807909604519775</v>
      </c>
      <c r="H525" s="1224">
        <v>1.3449023861171365</v>
      </c>
      <c r="I525" s="1224">
        <v>71.17437722419929</v>
      </c>
      <c r="J525" s="1224">
        <v>10.839271844964628</v>
      </c>
      <c r="K525" s="1224">
        <v>-53.224774859240931</v>
      </c>
      <c r="L525" s="1224">
        <v>33.704238057488389</v>
      </c>
      <c r="M525" s="1224">
        <v>7.3137086631989163</v>
      </c>
      <c r="N525" s="1224">
        <v>82.598302873765732</v>
      </c>
      <c r="O525" s="1224">
        <v>13.280039154906595</v>
      </c>
      <c r="P525" s="1224">
        <v>9.7608024691358075</v>
      </c>
      <c r="R525" s="236"/>
      <c r="S525" s="236"/>
      <c r="T525" s="236"/>
      <c r="U525" s="236"/>
      <c r="V525" s="236"/>
      <c r="W525" s="236"/>
      <c r="X525" s="236"/>
      <c r="Y525" s="236"/>
      <c r="Z525" s="236"/>
      <c r="AA525" s="236"/>
      <c r="AB525" s="236"/>
      <c r="AC525" s="236"/>
      <c r="AD525" s="441"/>
      <c r="AE525" s="441"/>
      <c r="AF525" s="441"/>
      <c r="AG525" s="441"/>
      <c r="AH525" s="441"/>
      <c r="AI525" s="441"/>
      <c r="AJ525" s="441"/>
      <c r="AK525" s="441"/>
      <c r="AL525" s="441"/>
      <c r="AM525" s="441"/>
      <c r="AN525" s="441"/>
      <c r="AO525" s="441"/>
    </row>
    <row r="526" spans="3:42" s="235" customFormat="1" ht="15" customHeight="1">
      <c r="C526" s="1128"/>
      <c r="D526" s="175" t="str">
        <f>IF(Indice_index!$Z$1=1,"abril","April")</f>
        <v>April</v>
      </c>
      <c r="E526" s="1216">
        <v>-6.281957633308985</v>
      </c>
      <c r="F526" s="1216">
        <v>-34.545454545454547</v>
      </c>
      <c r="G526" s="1216">
        <v>29.018789144050107</v>
      </c>
      <c r="H526" s="1216">
        <v>6.3192449733278613</v>
      </c>
      <c r="I526" s="1216">
        <v>47.969924812030072</v>
      </c>
      <c r="J526" s="1216">
        <v>4.0676343472848737</v>
      </c>
      <c r="K526" s="1216">
        <v>-48.029008441945891</v>
      </c>
      <c r="L526" s="1216">
        <v>51.514067622768657</v>
      </c>
      <c r="M526" s="1216">
        <v>10.539632890099218</v>
      </c>
      <c r="N526" s="1216">
        <v>60.052185415998402</v>
      </c>
      <c r="O526" s="1216">
        <v>9.4424673784104467</v>
      </c>
      <c r="P526" s="1216">
        <v>17.418827853788034</v>
      </c>
      <c r="R526" s="236"/>
      <c r="S526" s="236"/>
      <c r="T526" s="236"/>
      <c r="U526" s="236"/>
      <c r="V526" s="236"/>
      <c r="W526" s="236"/>
      <c r="X526" s="236"/>
      <c r="Y526" s="236"/>
      <c r="Z526" s="236"/>
      <c r="AA526" s="236"/>
      <c r="AB526" s="236"/>
      <c r="AC526" s="236"/>
      <c r="AD526" s="441"/>
      <c r="AE526" s="441"/>
      <c r="AF526" s="441"/>
      <c r="AG526" s="441"/>
      <c r="AH526" s="441"/>
      <c r="AI526" s="441"/>
      <c r="AJ526" s="441"/>
      <c r="AK526" s="441"/>
      <c r="AL526" s="441"/>
      <c r="AM526" s="441"/>
      <c r="AN526" s="441"/>
      <c r="AO526" s="441"/>
      <c r="AP526" s="174"/>
    </row>
    <row r="527" spans="3:42" s="235" customFormat="1" ht="15" customHeight="1">
      <c r="C527" s="1128"/>
      <c r="D527" s="175" t="str">
        <f>IF(Indice_index!$Z$1=1,"maio","May")</f>
        <v>May</v>
      </c>
      <c r="E527" s="1225">
        <v>-14.565643370346178</v>
      </c>
      <c r="F527" s="1225">
        <v>41.025641025641022</v>
      </c>
      <c r="G527" s="1225">
        <v>4.281345565749235</v>
      </c>
      <c r="H527" s="1225">
        <v>-5.7528957528957525</v>
      </c>
      <c r="I527" s="1225">
        <v>-8.2421590080233411</v>
      </c>
      <c r="J527" s="1225">
        <v>-8.4815652405224604</v>
      </c>
      <c r="K527" s="1225">
        <v>44.040690654105155</v>
      </c>
      <c r="L527" s="1225">
        <v>9.7212951494644315</v>
      </c>
      <c r="M527" s="1225">
        <v>-3.0334569693196789</v>
      </c>
      <c r="N527" s="1225">
        <v>-8.1790431814499112</v>
      </c>
      <c r="O527" s="1225">
        <v>6.5003486480204433</v>
      </c>
      <c r="P527" s="1225">
        <v>5.215199689802267</v>
      </c>
      <c r="R527" s="236"/>
      <c r="S527" s="236"/>
      <c r="T527" s="236"/>
      <c r="U527" s="236"/>
      <c r="V527" s="236"/>
      <c r="W527" s="236"/>
      <c r="X527" s="236"/>
      <c r="Y527" s="236"/>
      <c r="Z527" s="236"/>
      <c r="AA527" s="236"/>
      <c r="AB527" s="236"/>
      <c r="AC527" s="236"/>
      <c r="AD527" s="441"/>
      <c r="AE527" s="441"/>
      <c r="AF527" s="441"/>
      <c r="AG527" s="441"/>
      <c r="AH527" s="441"/>
      <c r="AI527" s="441"/>
      <c r="AJ527" s="441"/>
      <c r="AK527" s="441"/>
      <c r="AL527" s="441"/>
      <c r="AM527" s="441"/>
      <c r="AN527" s="441"/>
      <c r="AO527" s="441"/>
      <c r="AP527" s="174"/>
    </row>
    <row r="528" spans="3:42" s="235" customFormat="1" ht="15" customHeight="1">
      <c r="C528" s="1128"/>
      <c r="D528" s="175" t="str">
        <f>IF(Indice_index!$Z$1=1,"junho","June")</f>
        <v>June</v>
      </c>
      <c r="E528" s="1226">
        <v>-13.609072715143428</v>
      </c>
      <c r="F528" s="1226">
        <v>24.719101123595504</v>
      </c>
      <c r="G528" s="1226">
        <v>7.9768786127167628</v>
      </c>
      <c r="H528" s="1226">
        <v>-4.6066041581736643</v>
      </c>
      <c r="I528" s="1226">
        <v>-17.197924388435879</v>
      </c>
      <c r="J528" s="1226">
        <v>-8.0579048029668616</v>
      </c>
      <c r="K528" s="1226">
        <v>25.44285058084273</v>
      </c>
      <c r="L528" s="1226">
        <v>9.7923334781002129</v>
      </c>
      <c r="M528" s="1226">
        <v>-3.169834198033282</v>
      </c>
      <c r="N528" s="1226">
        <v>-19.66870692142265</v>
      </c>
      <c r="O528" s="1226">
        <v>5.8999676270637824</v>
      </c>
      <c r="P528" s="1226">
        <v>1.6955468604434336</v>
      </c>
      <c r="R528" s="236"/>
      <c r="S528" s="236"/>
      <c r="T528" s="236"/>
      <c r="U528" s="236"/>
      <c r="V528" s="236"/>
      <c r="W528" s="236"/>
      <c r="X528" s="236"/>
      <c r="Y528" s="236"/>
      <c r="Z528" s="236"/>
      <c r="AA528" s="236"/>
      <c r="AB528" s="236"/>
      <c r="AC528" s="236"/>
    </row>
    <row r="529" spans="3:29" s="235" customFormat="1" ht="15" customHeight="1">
      <c r="C529" s="1128"/>
      <c r="D529" s="175" t="str">
        <f>IF(Indice_index!$Z$1=1,"julho","July")</f>
        <v>July</v>
      </c>
      <c r="E529" s="1227">
        <v>6.6115702479338845</v>
      </c>
      <c r="F529" s="1227">
        <v>84.482758620689651</v>
      </c>
      <c r="G529" s="1227">
        <v>-17.222820236813778</v>
      </c>
      <c r="H529" s="1227">
        <v>-0.61500615006150061</v>
      </c>
      <c r="I529" s="1227">
        <v>0</v>
      </c>
      <c r="J529" s="1227">
        <v>5.0085718424355763</v>
      </c>
      <c r="K529" s="1227">
        <v>87.175888936439208</v>
      </c>
      <c r="L529" s="1227">
        <v>-27.947730603627512</v>
      </c>
      <c r="M529" s="1227">
        <v>0.20488227365179362</v>
      </c>
      <c r="N529" s="1227">
        <v>5.1803294521605645</v>
      </c>
      <c r="O529" s="1227">
        <v>-1.6581632653061156</v>
      </c>
      <c r="P529" s="1227">
        <v>-12.962962962962965</v>
      </c>
      <c r="R529" s="236"/>
      <c r="S529" s="236"/>
      <c r="T529" s="236"/>
      <c r="U529" s="236"/>
      <c r="V529" s="236"/>
      <c r="W529" s="236"/>
      <c r="X529" s="236"/>
      <c r="Y529" s="236"/>
      <c r="Z529" s="236"/>
      <c r="AA529" s="236"/>
      <c r="AB529" s="236"/>
      <c r="AC529" s="236"/>
    </row>
    <row r="530" spans="3:29" s="235" customFormat="1" ht="15" customHeight="1">
      <c r="C530" s="1128"/>
      <c r="D530" s="175" t="str">
        <f>IF(Indice_index!$Z$1=1,"agosto","August")</f>
        <v>August</v>
      </c>
      <c r="E530" s="1228">
        <v>1.0884353741496597</v>
      </c>
      <c r="F530" s="1228">
        <v>250</v>
      </c>
      <c r="G530" s="1228">
        <v>-13.700000000000001</v>
      </c>
      <c r="H530" s="1228">
        <v>-1.2370311252992818</v>
      </c>
      <c r="I530" s="1228">
        <v>-9.4178082191780828</v>
      </c>
      <c r="J530" s="1228">
        <v>1.1528777438475686</v>
      </c>
      <c r="K530" s="1228">
        <v>284.5793446017957</v>
      </c>
      <c r="L530" s="1228">
        <v>-15.542383367587629</v>
      </c>
      <c r="M530" s="1228">
        <v>1.6462628904625347</v>
      </c>
      <c r="N530" s="1228">
        <v>-9.4192375120917387</v>
      </c>
      <c r="O530" s="1228">
        <v>-0.38579639398471494</v>
      </c>
      <c r="P530" s="1228">
        <v>-2.1268925739004967</v>
      </c>
    </row>
    <row r="531" spans="3:29" s="174" customFormat="1" ht="15" customHeight="1">
      <c r="C531" s="1128"/>
      <c r="D531" s="175" t="str">
        <f>IF(Indice_index!$Z$1=1,"setembro","September")</f>
        <v>September</v>
      </c>
      <c r="E531" s="1229">
        <v>-9.3323216995447638</v>
      </c>
      <c r="F531" s="1229">
        <v>203.44827586206895</v>
      </c>
      <c r="G531" s="1229">
        <v>-5.8214747736093138</v>
      </c>
      <c r="H531" s="1229">
        <v>-5.1415094339622645</v>
      </c>
      <c r="I531" s="1229">
        <v>-11.067193675889328</v>
      </c>
      <c r="J531" s="1229">
        <v>-12.809356610489218</v>
      </c>
      <c r="K531" s="1229">
        <v>140.93232406620285</v>
      </c>
      <c r="L531" s="1229">
        <v>-9.7409309505205357</v>
      </c>
      <c r="M531" s="1229">
        <v>-9.895767217684762</v>
      </c>
      <c r="N531" s="1229">
        <v>-3.3772702929630589</v>
      </c>
      <c r="O531" s="1229">
        <v>-5.4364669421487637</v>
      </c>
      <c r="P531" s="1229">
        <v>-4.1591968447472096</v>
      </c>
      <c r="R531" s="235"/>
      <c r="S531" s="235"/>
      <c r="T531" s="235"/>
      <c r="U531" s="235"/>
      <c r="V531" s="235"/>
      <c r="W531" s="235"/>
      <c r="X531" s="235"/>
      <c r="Y531" s="235"/>
      <c r="Z531" s="235"/>
      <c r="AA531" s="235"/>
      <c r="AB531" s="235"/>
      <c r="AC531" s="235"/>
    </row>
    <row r="532" spans="3:29" s="174" customFormat="1" ht="15" customHeight="1">
      <c r="C532" s="1128"/>
      <c r="D532" s="175" t="str">
        <f>IF(Indice_index!$Z$1=1,"outubro","October")</f>
        <v>October</v>
      </c>
      <c r="E532" s="1220">
        <v>4.9751243781094532</v>
      </c>
      <c r="F532" s="1220">
        <v>270.37037037037038</v>
      </c>
      <c r="G532" s="1220">
        <v>-20.181112548512289</v>
      </c>
      <c r="H532" s="1220">
        <v>-1.1465603190428715</v>
      </c>
      <c r="I532" s="1220">
        <v>5.0390964378801044</v>
      </c>
      <c r="J532" s="1220">
        <v>-6.0763421714063153</v>
      </c>
      <c r="K532" s="1220">
        <v>194.01323091652299</v>
      </c>
      <c r="L532" s="1220">
        <v>-25.297590254874684</v>
      </c>
      <c r="M532" s="1220">
        <v>-5.9955164390096174</v>
      </c>
      <c r="N532" s="1220">
        <v>0.9546927428930112</v>
      </c>
      <c r="O532" s="1220">
        <v>-11.072640868974876</v>
      </c>
      <c r="P532" s="1220">
        <v>-6.4081558346986949</v>
      </c>
      <c r="R532" s="235"/>
      <c r="S532" s="235"/>
      <c r="T532" s="235"/>
      <c r="U532" s="235"/>
      <c r="V532" s="235"/>
      <c r="W532" s="235"/>
      <c r="X532" s="235"/>
      <c r="Y532" s="235"/>
      <c r="Z532" s="235"/>
      <c r="AA532" s="235"/>
      <c r="AB532" s="235"/>
      <c r="AC532" s="235"/>
    </row>
    <row r="533" spans="3:29" s="174" customFormat="1" ht="15" customHeight="1">
      <c r="C533" s="1128"/>
      <c r="D533" s="175" t="str">
        <f>IF(Indice_index!$Z$1=1,"novembro","November")</f>
        <v>November</v>
      </c>
      <c r="E533" s="1221">
        <v>6.4806480648064806</v>
      </c>
      <c r="F533" s="1221">
        <v>19.767441860465116</v>
      </c>
      <c r="G533" s="1221">
        <v>-8.2663605051664764</v>
      </c>
      <c r="H533" s="1221">
        <v>0.82205029013539643</v>
      </c>
      <c r="I533" s="1221">
        <v>0.34423407917383825</v>
      </c>
      <c r="J533" s="1221">
        <v>-9.690802327995101</v>
      </c>
      <c r="K533" s="1221">
        <v>27.931887816267697</v>
      </c>
      <c r="L533" s="1221">
        <v>2.9603281138616149</v>
      </c>
      <c r="M533" s="1221">
        <v>-5.600200726058632</v>
      </c>
      <c r="N533" s="1221">
        <v>0.9995907799451953</v>
      </c>
      <c r="O533" s="1221">
        <v>-14.036321780278808</v>
      </c>
      <c r="P533" s="1221">
        <v>12.225034066575812</v>
      </c>
      <c r="R533" s="235"/>
      <c r="S533" s="235"/>
      <c r="T533" s="235"/>
      <c r="U533" s="235"/>
      <c r="V533" s="235"/>
      <c r="W533" s="235"/>
      <c r="X533" s="235"/>
      <c r="Y533" s="235"/>
      <c r="Z533" s="235"/>
      <c r="AA533" s="235"/>
      <c r="AB533" s="235"/>
      <c r="AC533" s="235"/>
    </row>
    <row r="534" spans="3:29" s="174" customFormat="1" ht="15" customHeight="1">
      <c r="C534" s="1128"/>
      <c r="D534" s="175" t="str">
        <f>IF(Indice_index!$Z$1=1,"dezembro","December")</f>
        <v>December</v>
      </c>
      <c r="E534" s="1260">
        <v>19.01608325449385</v>
      </c>
      <c r="F534" s="1260">
        <v>-18.867924528301888</v>
      </c>
      <c r="G534" s="1260">
        <v>-10.123734533183352</v>
      </c>
      <c r="H534" s="1260">
        <v>4.4346978557504872</v>
      </c>
      <c r="I534" s="1260">
        <v>-10.170807453416149</v>
      </c>
      <c r="J534" s="1260">
        <v>-7.0280443294290809</v>
      </c>
      <c r="K534" s="1260">
        <v>-18.226872590732171</v>
      </c>
      <c r="L534" s="1260">
        <v>-9.4014733085164384</v>
      </c>
      <c r="M534" s="1260">
        <v>-8.052363887392282</v>
      </c>
      <c r="N534" s="1260">
        <v>-6.4650862252319223</v>
      </c>
      <c r="O534" s="1260">
        <v>-20.150636619044779</v>
      </c>
      <c r="P534" s="1260">
        <v>0.81780144541652111</v>
      </c>
      <c r="R534" s="235"/>
      <c r="S534" s="235"/>
      <c r="T534" s="235"/>
      <c r="U534" s="235"/>
      <c r="V534" s="235"/>
      <c r="W534" s="235"/>
      <c r="X534" s="235"/>
      <c r="Y534" s="235"/>
      <c r="Z534" s="235"/>
      <c r="AA534" s="235"/>
      <c r="AB534" s="235"/>
      <c r="AC534" s="235"/>
    </row>
    <row r="535" spans="3:29" s="235" customFormat="1" ht="3" customHeight="1">
      <c r="C535" s="1122"/>
      <c r="D535" s="1123"/>
      <c r="E535" s="1123"/>
      <c r="F535" s="1123"/>
      <c r="G535" s="1123"/>
      <c r="H535" s="1123"/>
      <c r="I535" s="1123"/>
      <c r="J535" s="1123"/>
      <c r="K535" s="1123"/>
      <c r="L535" s="1123"/>
      <c r="M535" s="1123"/>
      <c r="N535" s="1123"/>
      <c r="O535" s="1123"/>
      <c r="P535" s="1123"/>
    </row>
    <row r="536" spans="3:29" s="235" customFormat="1" ht="4.5" customHeight="1">
      <c r="C536" s="1230"/>
      <c r="D536" s="174"/>
      <c r="E536" s="1090"/>
      <c r="F536" s="1090"/>
      <c r="G536" s="1090"/>
      <c r="H536" s="1090"/>
      <c r="I536" s="1090"/>
      <c r="J536" s="1090"/>
      <c r="K536" s="1090"/>
      <c r="L536" s="1090"/>
      <c r="M536" s="1090"/>
      <c r="N536" s="1090"/>
      <c r="O536" s="1090"/>
      <c r="P536" s="1090"/>
      <c r="X536" s="52"/>
      <c r="Y536" s="52"/>
      <c r="Z536" s="52"/>
      <c r="AA536" s="173"/>
    </row>
    <row r="537" spans="3:29" s="235" customFormat="1" ht="5.0999999999999996" customHeight="1">
      <c r="C537" s="1230"/>
      <c r="L537" s="174"/>
      <c r="M537" s="174"/>
      <c r="N537" s="174"/>
      <c r="O537" s="174"/>
      <c r="P537" s="174"/>
      <c r="X537" s="52"/>
      <c r="Y537" s="52"/>
      <c r="Z537" s="52"/>
      <c r="AA537" s="173"/>
    </row>
    <row r="538" spans="3:29" s="235" customFormat="1" ht="15" customHeight="1">
      <c r="C538" s="1231" t="str">
        <f>IF(Indice_index!$Z$1=1,"Notas:","Notes:")</f>
        <v>Notes:</v>
      </c>
      <c r="X538" s="52"/>
      <c r="Y538" s="52"/>
      <c r="Z538" s="52"/>
      <c r="AA538" s="173"/>
    </row>
    <row r="539" spans="3:29" s="235" customFormat="1" ht="31.5" customHeight="1">
      <c r="C539" s="1669" t="str">
        <f>IF(Indice_index!$Z$1=1,C542,C543)</f>
        <v>From the 1st July 2014, the responsibility on pension supplements, previously paid by the Military Forces Pension Fund, was transferred to the CGA. This is reflected in the "Survival and Other" component.</v>
      </c>
      <c r="D539" s="1669"/>
      <c r="E539" s="1669"/>
      <c r="F539" s="1669"/>
      <c r="G539" s="1669"/>
      <c r="H539" s="1669"/>
      <c r="I539" s="1669"/>
      <c r="J539" s="1669"/>
      <c r="K539" s="1669"/>
      <c r="L539" s="1669"/>
      <c r="M539" s="1669"/>
      <c r="N539" s="1669"/>
      <c r="O539" s="1669"/>
      <c r="P539" s="1669"/>
      <c r="X539" s="52"/>
      <c r="Y539" s="52"/>
      <c r="Z539" s="52"/>
      <c r="AA539" s="173"/>
    </row>
    <row r="540" spans="3:29" s="235" customFormat="1" ht="34.5" customHeight="1">
      <c r="C540" s="1669" t="str">
        <f>IF(Indice_index!$Z$1=1,C544,C545)</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40" s="1669"/>
      <c r="E540" s="1669"/>
      <c r="F540" s="1669"/>
      <c r="G540" s="1669"/>
      <c r="H540" s="1669"/>
      <c r="I540" s="1669"/>
      <c r="J540" s="1669"/>
      <c r="K540" s="1669"/>
      <c r="L540" s="1669"/>
      <c r="M540" s="1669"/>
      <c r="N540" s="1669"/>
      <c r="O540" s="1669"/>
      <c r="P540" s="1669"/>
      <c r="X540" s="52"/>
      <c r="Y540" s="52"/>
      <c r="Z540" s="52"/>
      <c r="AA540" s="173"/>
    </row>
    <row r="541" spans="3:29" s="235" customFormat="1" ht="5.0999999999999996" customHeight="1">
      <c r="C541" s="1230"/>
      <c r="L541" s="174"/>
      <c r="M541" s="174"/>
      <c r="N541" s="174"/>
      <c r="O541" s="174"/>
      <c r="P541" s="174"/>
      <c r="X541" s="52"/>
      <c r="Y541" s="52"/>
      <c r="Z541" s="52"/>
      <c r="AA541" s="173"/>
    </row>
    <row r="542" spans="3:29" s="176" customFormat="1" ht="26.25" hidden="1" customHeight="1">
      <c r="C542" s="1670" t="s">
        <v>63</v>
      </c>
      <c r="D542" s="1670"/>
      <c r="E542" s="1670"/>
      <c r="F542" s="1670"/>
      <c r="G542" s="1670"/>
      <c r="H542" s="1670"/>
      <c r="I542" s="1670"/>
      <c r="J542" s="1670"/>
      <c r="K542" s="1670"/>
      <c r="L542" s="1670"/>
      <c r="M542" s="1670"/>
      <c r="N542" s="1670"/>
      <c r="O542" s="1670"/>
      <c r="P542" s="1670"/>
      <c r="X542" s="106"/>
      <c r="Y542" s="106"/>
      <c r="Z542" s="106"/>
      <c r="AA542" s="177"/>
    </row>
    <row r="543" spans="3:29" s="176" customFormat="1" ht="15" hidden="1" customHeight="1">
      <c r="C543" s="1232" t="s">
        <v>19</v>
      </c>
      <c r="X543" s="106"/>
      <c r="Y543" s="106"/>
      <c r="Z543" s="106"/>
      <c r="AA543" s="177"/>
    </row>
    <row r="544" spans="3:29" s="176" customFormat="1" ht="36.75" hidden="1" customHeight="1">
      <c r="C544" s="1670" t="s">
        <v>61</v>
      </c>
      <c r="D544" s="1670"/>
      <c r="E544" s="1670"/>
      <c r="F544" s="1670"/>
      <c r="G544" s="1670"/>
      <c r="H544" s="1670"/>
      <c r="I544" s="1670"/>
      <c r="J544" s="1670"/>
      <c r="K544" s="1670"/>
      <c r="L544" s="1670"/>
      <c r="M544" s="1670"/>
      <c r="N544" s="1670"/>
      <c r="O544" s="1670"/>
      <c r="P544" s="1670"/>
      <c r="X544" s="106"/>
      <c r="Y544" s="106"/>
      <c r="Z544" s="106"/>
      <c r="AA544" s="177"/>
    </row>
    <row r="545" spans="1:27" s="176" customFormat="1" ht="36.75" hidden="1" customHeight="1">
      <c r="C545" s="1670" t="s">
        <v>62</v>
      </c>
      <c r="D545" s="1670"/>
      <c r="E545" s="1670"/>
      <c r="F545" s="1670"/>
      <c r="G545" s="1670"/>
      <c r="H545" s="1670"/>
      <c r="I545" s="1670"/>
      <c r="J545" s="1670"/>
      <c r="K545" s="1670"/>
      <c r="L545" s="1670"/>
      <c r="M545" s="1670"/>
      <c r="N545" s="1670"/>
      <c r="O545" s="1670"/>
      <c r="P545" s="1670"/>
      <c r="X545" s="106"/>
      <c r="Y545" s="106"/>
      <c r="Z545" s="106"/>
      <c r="AA545" s="177"/>
    </row>
    <row r="546" spans="1:27" s="235" customFormat="1" ht="15" customHeight="1">
      <c r="C546" s="235" t="str">
        <f>IF(Indice_index!$Z$1=1,"Fonte: Caixa Geral de Aposentações, I.P.","Source: CGA - Public Servants Social Scheme")</f>
        <v>Source: CGA - Public Servants Social Scheme</v>
      </c>
      <c r="L546" s="174"/>
      <c r="M546" s="174"/>
      <c r="N546" s="174"/>
      <c r="O546" s="174"/>
      <c r="P546" s="174"/>
      <c r="X546" s="52"/>
      <c r="Y546" s="52"/>
      <c r="Z546" s="52"/>
      <c r="AA546" s="173"/>
    </row>
    <row r="547" spans="1:27" s="235" customFormat="1">
      <c r="L547" s="174"/>
      <c r="M547" s="174"/>
      <c r="N547" s="174"/>
      <c r="O547" s="174"/>
      <c r="P547" s="174"/>
      <c r="X547" s="52"/>
      <c r="Y547" s="52"/>
      <c r="Z547" s="52"/>
      <c r="AA547" s="173"/>
    </row>
    <row r="548" spans="1:27">
      <c r="A548" s="235"/>
      <c r="B548" s="235"/>
      <c r="C548" s="235"/>
      <c r="D548" s="235"/>
      <c r="E548" s="235"/>
      <c r="F548" s="235"/>
      <c r="G548" s="235"/>
      <c r="H548" s="235"/>
      <c r="I548" s="235"/>
      <c r="J548" s="235"/>
      <c r="K548" s="235"/>
      <c r="Q548" s="235"/>
    </row>
    <row r="549" spans="1:27">
      <c r="A549" s="235"/>
      <c r="B549" s="235"/>
      <c r="C549" s="235"/>
      <c r="D549" s="235"/>
      <c r="E549" s="235"/>
      <c r="F549" s="235"/>
      <c r="G549" s="235"/>
      <c r="H549" s="235"/>
      <c r="I549" s="235"/>
      <c r="J549" s="235"/>
      <c r="K549" s="235"/>
      <c r="Q549" s="235"/>
    </row>
  </sheetData>
  <mergeCells count="27">
    <mergeCell ref="C539:P539"/>
    <mergeCell ref="C540:P540"/>
    <mergeCell ref="C542:P542"/>
    <mergeCell ref="C544:P544"/>
    <mergeCell ref="C545:P545"/>
    <mergeCell ref="E415:I415"/>
    <mergeCell ref="J415:N415"/>
    <mergeCell ref="O415:O417"/>
    <mergeCell ref="P415:P417"/>
    <mergeCell ref="E416:H416"/>
    <mergeCell ref="I416:I417"/>
    <mergeCell ref="J416:M416"/>
    <mergeCell ref="N416:N417"/>
    <mergeCell ref="E278:I278"/>
    <mergeCell ref="J278:N278"/>
    <mergeCell ref="O278:O280"/>
    <mergeCell ref="P278:P280"/>
    <mergeCell ref="E279:H279"/>
    <mergeCell ref="I279:I280"/>
    <mergeCell ref="J279:M279"/>
    <mergeCell ref="N279:N280"/>
    <mergeCell ref="E6:H6"/>
    <mergeCell ref="I6:I7"/>
    <mergeCell ref="K6:K7"/>
    <mergeCell ref="E142:H142"/>
    <mergeCell ref="I142:I143"/>
    <mergeCell ref="K142:K143"/>
  </mergeCells>
  <printOptions horizontalCentered="1"/>
  <pageMargins left="0.70866141732283472" right="0.70866141732283472" top="0.74803149606299213" bottom="0.74803149606299213" header="0.74803149606299213" footer="0.35433070866141736"/>
  <pageSetup paperSize="9" scale="62" fitToHeight="4" orientation="portrait" r:id="rId1"/>
  <headerFooter differentOddEven="1">
    <oddFooter>&amp;R&amp;G</oddFooter>
    <evenFooter>&amp;L&amp;G</evenFooter>
  </headerFooter>
  <rowBreaks count="3" manualBreakCount="3">
    <brk id="139" min="1" max="15" man="1"/>
    <brk id="275" min="1" max="15" man="1"/>
    <brk id="412" min="1" max="15" man="1"/>
  </rowBreaks>
  <ignoredErrors>
    <ignoredError sqref="C8:C34 C47 C144:C183 C281:C320 C418:C444 C522 C398 C261 C125" numberStoredAsText="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dimension ref="B1:BL258"/>
  <sheetViews>
    <sheetView showGridLines="0" zoomScaleNormal="100" zoomScaleSheetLayoutView="100" workbookViewId="0">
      <selection activeCell="B2" sqref="B2"/>
    </sheetView>
  </sheetViews>
  <sheetFormatPr defaultColWidth="10" defaultRowHeight="15"/>
  <cols>
    <col min="1" max="1" width="1.85546875" style="178" customWidth="1"/>
    <col min="2" max="2" width="4.42578125" style="178" customWidth="1"/>
    <col min="3" max="3" width="77.42578125" style="178" customWidth="1"/>
    <col min="4" max="4" width="8.5703125" style="178" customWidth="1"/>
    <col min="5" max="5" width="21.7109375" style="179" hidden="1" customWidth="1"/>
    <col min="6" max="6" width="2.5703125" style="99" hidden="1" customWidth="1"/>
    <col min="7" max="15" width="8.5703125" style="178" hidden="1" customWidth="1"/>
    <col min="16" max="18" width="8.5703125" style="178" customWidth="1"/>
    <col min="19" max="19" width="8.85546875" style="178" customWidth="1"/>
    <col min="20" max="20" width="10.42578125" style="178" customWidth="1"/>
    <col min="21" max="21" width="2.5703125" style="99" customWidth="1"/>
    <col min="22" max="30" width="8.5703125" style="178" hidden="1" customWidth="1"/>
    <col min="31" max="33" width="8.5703125" style="178" customWidth="1"/>
    <col min="34" max="34" width="10.42578125" style="178" customWidth="1"/>
    <col min="35" max="35" width="10" style="178"/>
    <col min="36" max="36" width="18.85546875" style="239" bestFit="1" customWidth="1"/>
    <col min="37" max="42" width="10" style="239"/>
    <col min="43" max="43" width="10" style="240"/>
    <col min="44" max="63" width="10" style="239"/>
    <col min="64" max="64" width="10" style="435"/>
    <col min="65" max="16384" width="10" style="178"/>
  </cols>
  <sheetData>
    <row r="1" spans="2:64" ht="15" customHeight="1">
      <c r="G1" s="181"/>
      <c r="V1" s="181"/>
    </row>
    <row r="2" spans="2:64" ht="24" customHeight="1">
      <c r="B2" s="8"/>
      <c r="C2" s="53" t="str">
        <f>IF(Indice_index!$Z$1=1,"19 - Efeitos temporários/especiais na conta da Administração Central e Segurança Social","19 - Temporary/special effects on the Central Government and Social Security Account")</f>
        <v>19 - Temporary/special effects on the Central Government and Social Security Account</v>
      </c>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row>
    <row r="3" spans="2:64" ht="30" customHeight="1">
      <c r="B3" s="52"/>
      <c r="C3" s="54"/>
      <c r="D3" s="54"/>
      <c r="E3" s="54"/>
    </row>
    <row r="4" spans="2:64" ht="15" customHeight="1">
      <c r="C4" s="1358"/>
      <c r="D4" s="182"/>
      <c r="E4" s="1359"/>
      <c r="G4" s="1360"/>
      <c r="H4" s="1360"/>
      <c r="I4" s="1360"/>
      <c r="J4" s="1360"/>
      <c r="K4" s="1360"/>
      <c r="L4" s="182"/>
      <c r="M4" s="182"/>
      <c r="N4" s="182"/>
      <c r="O4" s="182"/>
      <c r="P4" s="182"/>
      <c r="Q4" s="182"/>
      <c r="R4" s="182"/>
      <c r="S4" s="182"/>
      <c r="T4" s="1360"/>
      <c r="V4" s="1360"/>
      <c r="W4" s="1360"/>
      <c r="X4" s="1360"/>
      <c r="Y4" s="1360"/>
      <c r="Z4" s="1360"/>
      <c r="AA4" s="182"/>
      <c r="AB4" s="182"/>
      <c r="AC4" s="182"/>
      <c r="AD4" s="182"/>
      <c r="AE4" s="182"/>
      <c r="AF4" s="182"/>
      <c r="AG4" s="182"/>
      <c r="AH4" s="1360" t="str">
        <f>IF(Indice_index!$Z$1=1,"€ Milhões","€ Millions")</f>
        <v>€ Millions</v>
      </c>
    </row>
    <row r="5" spans="2:64" ht="27" customHeight="1">
      <c r="C5" s="1361"/>
      <c r="D5" s="1361"/>
      <c r="E5" s="1362" t="str">
        <f>IF(Indice_index!$Z$1=1,"Classificação económica","Economic classification")</f>
        <v>Economic classification</v>
      </c>
      <c r="F5" s="1363"/>
      <c r="G5" s="1672" t="str">
        <f>IF(Indice_index!$Z$1=1,"2020 - mensal e acumulado","2020 - monthly and cumulative")</f>
        <v>2020 - monthly and cumulative</v>
      </c>
      <c r="H5" s="1672" t="s">
        <v>20</v>
      </c>
      <c r="I5" s="1672" t="s">
        <v>20</v>
      </c>
      <c r="J5" s="1672" t="s">
        <v>20</v>
      </c>
      <c r="K5" s="1672" t="s">
        <v>20</v>
      </c>
      <c r="L5" s="1672" t="s">
        <v>20</v>
      </c>
      <c r="M5" s="1672" t="s">
        <v>20</v>
      </c>
      <c r="N5" s="1672" t="s">
        <v>20</v>
      </c>
      <c r="O5" s="1672" t="s">
        <v>20</v>
      </c>
      <c r="P5" s="1672" t="s">
        <v>20</v>
      </c>
      <c r="Q5" s="1672" t="s">
        <v>20</v>
      </c>
      <c r="R5" s="1672" t="s">
        <v>20</v>
      </c>
      <c r="S5" s="1672"/>
      <c r="T5" s="1672" t="s">
        <v>20</v>
      </c>
      <c r="U5" s="1363"/>
      <c r="V5" s="1672" t="str">
        <f>IF(Indice_index!$Z$1=1,"2021 - mensal e acumulado","2021 - monthly and cumulative")</f>
        <v>2021 - monthly and cumulative</v>
      </c>
      <c r="W5" s="1672" t="s">
        <v>20</v>
      </c>
      <c r="X5" s="1672" t="s">
        <v>20</v>
      </c>
      <c r="Y5" s="1672" t="s">
        <v>20</v>
      </c>
      <c r="Z5" s="1672" t="s">
        <v>20</v>
      </c>
      <c r="AA5" s="1672" t="s">
        <v>20</v>
      </c>
      <c r="AB5" s="1672" t="s">
        <v>20</v>
      </c>
      <c r="AC5" s="1672" t="s">
        <v>20</v>
      </c>
      <c r="AD5" s="1672" t="s">
        <v>20</v>
      </c>
      <c r="AE5" s="1672" t="s">
        <v>20</v>
      </c>
      <c r="AF5" s="1672" t="s">
        <v>20</v>
      </c>
      <c r="AG5" s="1672" t="s">
        <v>20</v>
      </c>
      <c r="AH5" s="1672" t="s">
        <v>20</v>
      </c>
    </row>
    <row r="6" spans="2:64" ht="22.35" customHeight="1">
      <c r="C6" s="1361"/>
      <c r="D6" s="1362"/>
      <c r="E6" s="1362"/>
      <c r="G6" s="1362" t="str">
        <f>IF(Indice_index!$Z$1=1,"jan","Jan")</f>
        <v>Jan</v>
      </c>
      <c r="H6" s="1362" t="str">
        <f>IF(Indice_index!$Z$1=1,"fev","Feb")</f>
        <v>Feb</v>
      </c>
      <c r="I6" s="1362" t="str">
        <f>IF(Indice_index!$Z$1=1,"mar","Mar")</f>
        <v>Mar</v>
      </c>
      <c r="J6" s="1362" t="str">
        <f>IF(Indice_index!$Z$1=1,"abr","Apr")</f>
        <v>Apr</v>
      </c>
      <c r="K6" s="1362" t="str">
        <f>IF(Indice_index!$Z$1=1,"mai","May")</f>
        <v>May</v>
      </c>
      <c r="L6" s="1362" t="str">
        <f>IF(Indice_index!$Z$1=1,"jun","Jun")</f>
        <v>Jun</v>
      </c>
      <c r="M6" s="1362" t="str">
        <f>IF(Indice_index!$Z$1=1,"jul","Jul")</f>
        <v>Jul</v>
      </c>
      <c r="N6" s="1362" t="str">
        <f>IF(Indice_index!$Z$1=1,"ago","Aug")</f>
        <v>Aug</v>
      </c>
      <c r="O6" s="1362" t="str">
        <f>IF(Indice_index!$Z$1=1,"set","Sep")</f>
        <v>Sep</v>
      </c>
      <c r="P6" s="1362" t="str">
        <f>IF(Indice_index!$Z$1=1,"out","Oct")</f>
        <v>Oct</v>
      </c>
      <c r="Q6" s="1362" t="str">
        <f>IF(Indice_index!$Z$1=1,"nov","Nov")</f>
        <v>Nov</v>
      </c>
      <c r="R6" s="1362" t="str">
        <f>IF(Indice_index!$Z$1=1,"dez","Dec")</f>
        <v>Dec</v>
      </c>
      <c r="S6" s="1362" t="str">
        <f>IF(Indice_index!$Z$1=1,"Ano até à data","Year to date")</f>
        <v>Year to date</v>
      </c>
      <c r="T6" s="1362" t="str">
        <f>IF(Indice_index!$Z$1=1,"Acumulado","Cumulative")</f>
        <v>Cumulative</v>
      </c>
      <c r="V6" s="1362" t="str">
        <f>IF(Indice_index!$Z$1=1,"jan","Jan")</f>
        <v>Jan</v>
      </c>
      <c r="W6" s="1362" t="str">
        <f>IF(Indice_index!$Z$1=1,"fev","Feb")</f>
        <v>Feb</v>
      </c>
      <c r="X6" s="1362" t="str">
        <f>IF(Indice_index!$Z$1=1,"mar","Mar")</f>
        <v>Mar</v>
      </c>
      <c r="Y6" s="1362" t="str">
        <f>IF(Indice_index!$Z$1=1,"abr","Apr")</f>
        <v>Apr</v>
      </c>
      <c r="Z6" s="1362" t="str">
        <f>IF(Indice_index!$Z$1=1,"mai","May")</f>
        <v>May</v>
      </c>
      <c r="AA6" s="1362" t="str">
        <f>IF(Indice_index!$Z$1=1,"jun","Jun")</f>
        <v>Jun</v>
      </c>
      <c r="AB6" s="1362" t="str">
        <f>IF(Indice_index!$Z$1=1,"jul","Jul")</f>
        <v>Jul</v>
      </c>
      <c r="AC6" s="1362" t="str">
        <f>IF(Indice_index!$Z$1=1,"ago","Aug")</f>
        <v>Aug</v>
      </c>
      <c r="AD6" s="1362" t="str">
        <f>IF(Indice_index!$Z$1=1,"set","Sep")</f>
        <v>Sep</v>
      </c>
      <c r="AE6" s="1362" t="str">
        <f>IF(Indice_index!$Z$1=1,"out","Oct")</f>
        <v>Oct</v>
      </c>
      <c r="AF6" s="1362" t="str">
        <f>IF(Indice_index!$Z$1=1,"nov","Nov")</f>
        <v>Nov</v>
      </c>
      <c r="AG6" s="1362" t="str">
        <f>IF(Indice_index!$Z$1=1,"dez","Dec")</f>
        <v>Dec</v>
      </c>
      <c r="AH6" s="1362" t="str">
        <f>IF(Indice_index!$Z$1=1,"Acumulado","Cumulative")</f>
        <v>Cumulative</v>
      </c>
    </row>
    <row r="7" spans="2:64" ht="4.5" customHeight="1">
      <c r="D7" s="1344"/>
      <c r="E7" s="753"/>
      <c r="G7" s="753"/>
      <c r="H7" s="753"/>
      <c r="I7" s="753"/>
      <c r="J7" s="753"/>
      <c r="K7" s="753"/>
      <c r="L7" s="753"/>
      <c r="M7" s="753"/>
      <c r="N7" s="753"/>
      <c r="O7" s="753"/>
      <c r="P7" s="753"/>
      <c r="Q7" s="753"/>
      <c r="R7" s="753"/>
      <c r="S7" s="753"/>
      <c r="T7" s="753"/>
      <c r="V7" s="753"/>
      <c r="W7" s="753"/>
      <c r="X7" s="753"/>
      <c r="Y7" s="753"/>
      <c r="Z7" s="753"/>
      <c r="AA7" s="753"/>
      <c r="AB7" s="753"/>
      <c r="AC7" s="753"/>
      <c r="AD7" s="753"/>
      <c r="AE7" s="753"/>
      <c r="AF7" s="753"/>
      <c r="AG7" s="753"/>
      <c r="AH7" s="753"/>
    </row>
    <row r="8" spans="2:64" s="326" customFormat="1" ht="15" customHeight="1">
      <c r="C8" s="327" t="str">
        <f>IF(Indice_index!$Z$1=1,"Receita corrente","Current revenue")</f>
        <v>Current revenue</v>
      </c>
      <c r="D8" s="754"/>
      <c r="E8" s="754"/>
      <c r="F8" s="258"/>
      <c r="G8" s="754">
        <f>+G9+G10+G12+G15+G11</f>
        <v>366.27762945000001</v>
      </c>
      <c r="H8" s="754">
        <f>+H9+H10+H12+H15+H11</f>
        <v>-67.279157589999997</v>
      </c>
      <c r="I8" s="754">
        <f t="shared" ref="I8:J8" si="0">+I9+I10+I12+I15+I11</f>
        <v>-57.35238196000001</v>
      </c>
      <c r="J8" s="754">
        <f t="shared" si="0"/>
        <v>757.32543156999986</v>
      </c>
      <c r="K8" s="754">
        <f>+K9+K10+K12+K15+K11</f>
        <v>30.745067289999998</v>
      </c>
      <c r="L8" s="754">
        <f t="shared" ref="L8:N8" si="1">+L9+L10+L12+L15+L11</f>
        <v>56.449485049999993</v>
      </c>
      <c r="M8" s="754">
        <f t="shared" si="1"/>
        <v>18.135025420000002</v>
      </c>
      <c r="N8" s="754">
        <f t="shared" si="1"/>
        <v>17.462027980000002</v>
      </c>
      <c r="O8" s="754">
        <f>+O9+O10+O12+O15+O11</f>
        <v>15.74617993</v>
      </c>
      <c r="P8" s="754">
        <f t="shared" ref="P8:R8" si="2">+P9+P10+P12+P15+P11</f>
        <v>258.71528037000002</v>
      </c>
      <c r="Q8" s="754">
        <f t="shared" si="2"/>
        <v>77.396772549999994</v>
      </c>
      <c r="R8" s="754">
        <f t="shared" si="2"/>
        <v>22.185681969999997</v>
      </c>
      <c r="S8" s="754">
        <f>+S9+S10+S12+S15+S11</f>
        <v>1495.80704203</v>
      </c>
      <c r="T8" s="754">
        <f t="shared" ref="T8" si="3">SUM(G8:R8)</f>
        <v>1495.8070420299996</v>
      </c>
      <c r="U8" s="258"/>
      <c r="V8" s="754">
        <f>+V9+V10+V12+V15+V11</f>
        <v>58.729722030000005</v>
      </c>
      <c r="W8" s="754">
        <f t="shared" ref="W8:Y8" si="4">+W9+W10+W12+W15+W11</f>
        <v>49.319399959999998</v>
      </c>
      <c r="X8" s="754">
        <f t="shared" si="4"/>
        <v>41.386340049999994</v>
      </c>
      <c r="Y8" s="754">
        <f t="shared" si="4"/>
        <v>69.781900579999984</v>
      </c>
      <c r="Z8" s="754">
        <f>+Z9+Z10+Z12+Z15+Z11</f>
        <v>361.20837393000005</v>
      </c>
      <c r="AA8" s="754">
        <f t="shared" ref="AA8:AC8" si="5">+AA9+AA10+AA12+AA15+AA11</f>
        <v>89.642378980000004</v>
      </c>
      <c r="AB8" s="754">
        <f t="shared" si="5"/>
        <v>22.438876359999998</v>
      </c>
      <c r="AC8" s="754">
        <f t="shared" si="5"/>
        <v>16.159748709999999</v>
      </c>
      <c r="AD8" s="754">
        <f>+AD9+AD10+AD12+AD15+AD11</f>
        <v>22.437207060000002</v>
      </c>
      <c r="AE8" s="754">
        <f t="shared" ref="AE8:AG8" si="6">+AE9+AE10+AE12+AE15+AE11</f>
        <v>75.197079590000001</v>
      </c>
      <c r="AF8" s="754">
        <f t="shared" si="6"/>
        <v>651.30829457000004</v>
      </c>
      <c r="AG8" s="754">
        <f t="shared" si="6"/>
        <v>436.61990999</v>
      </c>
      <c r="AH8" s="754">
        <f>SUM(V8:AG8)</f>
        <v>1894.2292318100001</v>
      </c>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436"/>
    </row>
    <row r="9" spans="2:64" s="182" customFormat="1" ht="15" customHeight="1">
      <c r="C9" s="755" t="str">
        <f>IF(Indice_index!$Z$1=1,"Impostos diretos ","Direct taxes")</f>
        <v>Direct taxes</v>
      </c>
      <c r="D9" s="138"/>
      <c r="E9" s="138" t="s">
        <v>21</v>
      </c>
      <c r="F9" s="99"/>
      <c r="G9" s="138">
        <f t="shared" ref="G9:T11" si="7">+SUMIF($E$56:$E$91,$E9,G$56:G$91)</f>
        <v>61.911468650000003</v>
      </c>
      <c r="H9" s="138">
        <f t="shared" si="7"/>
        <v>4.2607125899999998</v>
      </c>
      <c r="I9" s="138">
        <f t="shared" si="7"/>
        <v>0.75296879000000005</v>
      </c>
      <c r="J9" s="138">
        <f t="shared" si="7"/>
        <v>0</v>
      </c>
      <c r="K9" s="138">
        <f t="shared" si="7"/>
        <v>2.9667101800000002</v>
      </c>
      <c r="L9" s="138">
        <f t="shared" si="7"/>
        <v>1.3527320000000001E-2</v>
      </c>
      <c r="M9" s="138">
        <f t="shared" si="7"/>
        <v>3.6100000000000002E-6</v>
      </c>
      <c r="N9" s="138">
        <f t="shared" si="7"/>
        <v>1.7903720000000001E-2</v>
      </c>
      <c r="O9" s="138">
        <f t="shared" si="7"/>
        <v>0.23147068000000001</v>
      </c>
      <c r="P9" s="138">
        <f t="shared" si="7"/>
        <v>238.87504013</v>
      </c>
      <c r="Q9" s="138">
        <f t="shared" si="7"/>
        <v>59.708014509999998</v>
      </c>
      <c r="R9" s="138">
        <f t="shared" si="7"/>
        <v>7.8682066099999997</v>
      </c>
      <c r="S9" s="138">
        <f t="shared" si="7"/>
        <v>376.60602678999999</v>
      </c>
      <c r="T9" s="138">
        <f t="shared" si="7"/>
        <v>376.60602678999999</v>
      </c>
      <c r="U9" s="99"/>
      <c r="V9" s="138">
        <f t="shared" ref="V9:AH11" si="8">+SUMIF($E$56:$E$91,$E9,V$56:V$91)</f>
        <v>3.7343899899999999</v>
      </c>
      <c r="W9" s="138">
        <f t="shared" si="8"/>
        <v>-0.11633714000000001</v>
      </c>
      <c r="X9" s="138">
        <f t="shared" si="8"/>
        <v>-0.24181496999999999</v>
      </c>
      <c r="Y9" s="138">
        <f t="shared" si="8"/>
        <v>-6.5510680000000002E-2</v>
      </c>
      <c r="Z9" s="138">
        <f t="shared" si="8"/>
        <v>3.1850899999999998E-3</v>
      </c>
      <c r="AA9" s="138">
        <f t="shared" si="8"/>
        <v>-0.2503862</v>
      </c>
      <c r="AB9" s="138">
        <f t="shared" si="8"/>
        <v>0.28461910000000001</v>
      </c>
      <c r="AC9" s="138">
        <f t="shared" si="8"/>
        <v>5.8610000000000003E-5</v>
      </c>
      <c r="AD9" s="138">
        <f t="shared" si="8"/>
        <v>6.5700255299999997</v>
      </c>
      <c r="AE9" s="138">
        <f t="shared" si="8"/>
        <v>50.91310713</v>
      </c>
      <c r="AF9" s="138">
        <f t="shared" si="8"/>
        <v>50.634189110000001</v>
      </c>
      <c r="AG9" s="138">
        <f t="shared" si="8"/>
        <v>356.34298188000002</v>
      </c>
      <c r="AH9" s="138">
        <f t="shared" si="8"/>
        <v>467.80850744999998</v>
      </c>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435"/>
    </row>
    <row r="10" spans="2:64" s="182" customFormat="1" ht="15" customHeight="1">
      <c r="C10" s="755" t="str">
        <f>IF(Indice_index!$Z$1=1,"Impostos indiretos","Indirect taxes")</f>
        <v>Indirect taxes</v>
      </c>
      <c r="D10" s="138"/>
      <c r="E10" s="138" t="s">
        <v>22</v>
      </c>
      <c r="F10" s="99"/>
      <c r="G10" s="138">
        <f t="shared" si="7"/>
        <v>215.68432634999999</v>
      </c>
      <c r="H10" s="138">
        <f t="shared" si="7"/>
        <v>-72.342793589999999</v>
      </c>
      <c r="I10" s="138">
        <f t="shared" si="7"/>
        <v>-61.605833480000008</v>
      </c>
      <c r="J10" s="138">
        <f t="shared" si="7"/>
        <v>280.51380166999996</v>
      </c>
      <c r="K10" s="138">
        <f t="shared" si="7"/>
        <v>25.940734489999997</v>
      </c>
      <c r="L10" s="138">
        <f t="shared" si="7"/>
        <v>15.93842078</v>
      </c>
      <c r="M10" s="138">
        <f t="shared" si="7"/>
        <v>17.278601800000001</v>
      </c>
      <c r="N10" s="138">
        <f t="shared" si="7"/>
        <v>16.586713280000001</v>
      </c>
      <c r="O10" s="138">
        <f t="shared" si="7"/>
        <v>14.80271688</v>
      </c>
      <c r="P10" s="138">
        <f t="shared" si="7"/>
        <v>18.508094379999999</v>
      </c>
      <c r="Q10" s="138">
        <f t="shared" si="7"/>
        <v>15.87491318</v>
      </c>
      <c r="R10" s="138">
        <f t="shared" si="7"/>
        <v>14.18833459</v>
      </c>
      <c r="S10" s="138">
        <f t="shared" si="7"/>
        <v>501.36803033000001</v>
      </c>
      <c r="T10" s="138">
        <f t="shared" si="7"/>
        <v>501.36803033000001</v>
      </c>
      <c r="U10" s="99"/>
      <c r="V10" s="138">
        <f t="shared" si="8"/>
        <v>54.282757560000007</v>
      </c>
      <c r="W10" s="138">
        <f t="shared" si="8"/>
        <v>48.575820739999997</v>
      </c>
      <c r="X10" s="138">
        <f t="shared" si="8"/>
        <v>41.067772329999997</v>
      </c>
      <c r="Y10" s="138">
        <f t="shared" si="8"/>
        <v>69.096578859999994</v>
      </c>
      <c r="Z10" s="138">
        <f t="shared" si="8"/>
        <v>24.17361519</v>
      </c>
      <c r="AA10" s="138">
        <f t="shared" si="8"/>
        <v>14.987979920000001</v>
      </c>
      <c r="AB10" s="138">
        <f t="shared" si="8"/>
        <v>21.421607989999998</v>
      </c>
      <c r="AC10" s="138">
        <f t="shared" si="8"/>
        <v>15.495488809999999</v>
      </c>
      <c r="AD10" s="138">
        <f t="shared" si="8"/>
        <v>15.215828910000001</v>
      </c>
      <c r="AE10" s="138">
        <f t="shared" si="8"/>
        <v>22.83669562</v>
      </c>
      <c r="AF10" s="138">
        <f t="shared" si="8"/>
        <v>15.374769649999999</v>
      </c>
      <c r="AG10" s="138">
        <f t="shared" si="8"/>
        <v>16.644486520000001</v>
      </c>
      <c r="AH10" s="138">
        <f t="shared" si="8"/>
        <v>359.17340210000003</v>
      </c>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435"/>
    </row>
    <row r="11" spans="2:64" s="182" customFormat="1" ht="15" customHeight="1">
      <c r="C11" s="756" t="str">
        <f>IF(Indice_index!$Z$1=1,"Contribuições para Segurança Social, CGA e ADSE","Social security, CGA and ADSE contributions")</f>
        <v>Social security, CGA and ADSE contributions</v>
      </c>
      <c r="D11" s="138"/>
      <c r="E11" s="138" t="s">
        <v>23</v>
      </c>
      <c r="F11" s="99"/>
      <c r="G11" s="138">
        <f t="shared" si="7"/>
        <v>0</v>
      </c>
      <c r="H11" s="138">
        <f t="shared" si="7"/>
        <v>0</v>
      </c>
      <c r="I11" s="138">
        <f t="shared" si="7"/>
        <v>0</v>
      </c>
      <c r="J11" s="138">
        <f t="shared" si="7"/>
        <v>0</v>
      </c>
      <c r="K11" s="138">
        <f t="shared" si="7"/>
        <v>0</v>
      </c>
      <c r="L11" s="138">
        <f t="shared" si="7"/>
        <v>0</v>
      </c>
      <c r="M11" s="138">
        <f t="shared" si="7"/>
        <v>0</v>
      </c>
      <c r="N11" s="138">
        <f t="shared" si="7"/>
        <v>0</v>
      </c>
      <c r="O11" s="138">
        <f t="shared" si="7"/>
        <v>0</v>
      </c>
      <c r="P11" s="138">
        <f t="shared" si="7"/>
        <v>0</v>
      </c>
      <c r="Q11" s="138">
        <f t="shared" si="7"/>
        <v>0</v>
      </c>
      <c r="R11" s="138">
        <f t="shared" si="7"/>
        <v>0</v>
      </c>
      <c r="S11" s="138">
        <f t="shared" si="7"/>
        <v>0</v>
      </c>
      <c r="T11" s="138">
        <f t="shared" si="7"/>
        <v>0</v>
      </c>
      <c r="U11" s="99"/>
      <c r="V11" s="138">
        <f t="shared" si="8"/>
        <v>0</v>
      </c>
      <c r="W11" s="138">
        <f t="shared" si="8"/>
        <v>0</v>
      </c>
      <c r="X11" s="138">
        <f t="shared" si="8"/>
        <v>0</v>
      </c>
      <c r="Y11" s="138">
        <f t="shared" si="8"/>
        <v>0</v>
      </c>
      <c r="Z11" s="138">
        <f t="shared" si="8"/>
        <v>0</v>
      </c>
      <c r="AA11" s="138">
        <f t="shared" si="8"/>
        <v>0</v>
      </c>
      <c r="AB11" s="138">
        <f t="shared" si="8"/>
        <v>0</v>
      </c>
      <c r="AC11" s="138">
        <f t="shared" si="8"/>
        <v>0</v>
      </c>
      <c r="AD11" s="138">
        <f t="shared" si="8"/>
        <v>0</v>
      </c>
      <c r="AE11" s="138">
        <f t="shared" si="8"/>
        <v>0</v>
      </c>
      <c r="AF11" s="138">
        <f t="shared" si="8"/>
        <v>0</v>
      </c>
      <c r="AG11" s="138">
        <f t="shared" si="8"/>
        <v>0</v>
      </c>
      <c r="AH11" s="138">
        <f t="shared" si="8"/>
        <v>0</v>
      </c>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435"/>
    </row>
    <row r="12" spans="2:64" s="182" customFormat="1" ht="15" customHeight="1">
      <c r="C12" s="755" t="str">
        <f>IF(Indice_index!$Z$1=1,"Transferências Correntes","Current transfers")</f>
        <v>Current transfers</v>
      </c>
      <c r="D12" s="138"/>
      <c r="E12" s="138" t="s">
        <v>24</v>
      </c>
      <c r="F12" s="99"/>
      <c r="G12" s="138">
        <f t="shared" ref="G12:T12" si="9">+G13+G14</f>
        <v>0</v>
      </c>
      <c r="H12" s="138">
        <f t="shared" si="9"/>
        <v>0</v>
      </c>
      <c r="I12" s="138">
        <f t="shared" si="9"/>
        <v>0</v>
      </c>
      <c r="J12" s="138">
        <f t="shared" si="9"/>
        <v>0</v>
      </c>
      <c r="K12" s="138">
        <f t="shared" si="9"/>
        <v>0</v>
      </c>
      <c r="L12" s="138">
        <f t="shared" si="9"/>
        <v>0</v>
      </c>
      <c r="M12" s="138">
        <f t="shared" si="9"/>
        <v>0</v>
      </c>
      <c r="N12" s="138">
        <f t="shared" si="9"/>
        <v>0</v>
      </c>
      <c r="O12" s="138">
        <f t="shared" si="9"/>
        <v>0</v>
      </c>
      <c r="P12" s="138">
        <f t="shared" si="9"/>
        <v>0</v>
      </c>
      <c r="Q12" s="138">
        <f t="shared" si="9"/>
        <v>0</v>
      </c>
      <c r="R12" s="138">
        <f t="shared" si="9"/>
        <v>0</v>
      </c>
      <c r="S12" s="138">
        <f t="shared" si="9"/>
        <v>0</v>
      </c>
      <c r="T12" s="138">
        <f t="shared" si="9"/>
        <v>0</v>
      </c>
      <c r="U12" s="99"/>
      <c r="V12" s="138">
        <f t="shared" ref="V12:AH12" si="10">+V13+V14</f>
        <v>0</v>
      </c>
      <c r="W12" s="138">
        <f t="shared" si="10"/>
        <v>0</v>
      </c>
      <c r="X12" s="138">
        <f t="shared" si="10"/>
        <v>0</v>
      </c>
      <c r="Y12" s="138">
        <f t="shared" si="10"/>
        <v>0</v>
      </c>
      <c r="Z12" s="138">
        <f t="shared" si="10"/>
        <v>0</v>
      </c>
      <c r="AA12" s="138">
        <f t="shared" si="10"/>
        <v>0</v>
      </c>
      <c r="AB12" s="138">
        <f t="shared" si="10"/>
        <v>0</v>
      </c>
      <c r="AC12" s="138">
        <f t="shared" si="10"/>
        <v>0</v>
      </c>
      <c r="AD12" s="138">
        <f t="shared" si="10"/>
        <v>0</v>
      </c>
      <c r="AE12" s="138">
        <f t="shared" si="10"/>
        <v>0</v>
      </c>
      <c r="AF12" s="138">
        <f t="shared" si="10"/>
        <v>0</v>
      </c>
      <c r="AG12" s="138">
        <f t="shared" si="10"/>
        <v>0</v>
      </c>
      <c r="AH12" s="138">
        <f t="shared" si="10"/>
        <v>0</v>
      </c>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435"/>
    </row>
    <row r="13" spans="2:64" s="182" customFormat="1" ht="15" customHeight="1">
      <c r="C13" s="757" t="str">
        <f>IF(Indice_index!$Z$1=1,"Administrações Públicas","General Government subsectors")</f>
        <v>General Government subsectors</v>
      </c>
      <c r="D13" s="138"/>
      <c r="E13" s="138" t="s">
        <v>25</v>
      </c>
      <c r="F13" s="99"/>
      <c r="G13" s="138">
        <f t="shared" ref="G13:T15" si="11">+SUMIF($E$56:$E$91,$E13,G$56:G$91)</f>
        <v>0</v>
      </c>
      <c r="H13" s="138">
        <f t="shared" si="11"/>
        <v>0</v>
      </c>
      <c r="I13" s="138">
        <f t="shared" si="11"/>
        <v>0</v>
      </c>
      <c r="J13" s="138">
        <f t="shared" si="11"/>
        <v>0</v>
      </c>
      <c r="K13" s="138">
        <f t="shared" si="11"/>
        <v>0</v>
      </c>
      <c r="L13" s="138">
        <f t="shared" si="11"/>
        <v>0</v>
      </c>
      <c r="M13" s="138">
        <f t="shared" si="11"/>
        <v>0</v>
      </c>
      <c r="N13" s="138">
        <f t="shared" si="11"/>
        <v>0</v>
      </c>
      <c r="O13" s="138">
        <f t="shared" si="11"/>
        <v>0</v>
      </c>
      <c r="P13" s="138">
        <f t="shared" si="11"/>
        <v>0</v>
      </c>
      <c r="Q13" s="138">
        <f t="shared" si="11"/>
        <v>0</v>
      </c>
      <c r="R13" s="138">
        <f t="shared" si="11"/>
        <v>0</v>
      </c>
      <c r="S13" s="138">
        <f t="shared" si="11"/>
        <v>0</v>
      </c>
      <c r="T13" s="138">
        <f t="shared" si="11"/>
        <v>0</v>
      </c>
      <c r="U13" s="99"/>
      <c r="V13" s="138">
        <f t="shared" ref="V13:AH15" si="12">+SUMIF($E$56:$E$91,$E13,V$56:V$91)</f>
        <v>0</v>
      </c>
      <c r="W13" s="138">
        <f t="shared" si="12"/>
        <v>0</v>
      </c>
      <c r="X13" s="138">
        <f t="shared" si="12"/>
        <v>0</v>
      </c>
      <c r="Y13" s="138">
        <f t="shared" si="12"/>
        <v>0</v>
      </c>
      <c r="Z13" s="138">
        <f t="shared" si="12"/>
        <v>0</v>
      </c>
      <c r="AA13" s="138">
        <f t="shared" si="12"/>
        <v>0</v>
      </c>
      <c r="AB13" s="138">
        <f t="shared" si="12"/>
        <v>0</v>
      </c>
      <c r="AC13" s="138">
        <f t="shared" si="12"/>
        <v>0</v>
      </c>
      <c r="AD13" s="138">
        <f t="shared" si="12"/>
        <v>0</v>
      </c>
      <c r="AE13" s="138">
        <f t="shared" si="12"/>
        <v>0</v>
      </c>
      <c r="AF13" s="138">
        <f t="shared" si="12"/>
        <v>0</v>
      </c>
      <c r="AG13" s="138">
        <f t="shared" si="12"/>
        <v>0</v>
      </c>
      <c r="AH13" s="138">
        <f t="shared" si="12"/>
        <v>0</v>
      </c>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435"/>
    </row>
    <row r="14" spans="2:64" s="182" customFormat="1" ht="15" customHeight="1">
      <c r="C14" s="757" t="str">
        <f>IF(Indice_index!$Z$1=1,"Outras","Others")</f>
        <v>Others</v>
      </c>
      <c r="D14" s="138"/>
      <c r="E14" s="138" t="s">
        <v>26</v>
      </c>
      <c r="F14" s="99"/>
      <c r="G14" s="138">
        <f t="shared" si="11"/>
        <v>0</v>
      </c>
      <c r="H14" s="138">
        <f t="shared" si="11"/>
        <v>0</v>
      </c>
      <c r="I14" s="138">
        <f t="shared" si="11"/>
        <v>0</v>
      </c>
      <c r="J14" s="138">
        <f t="shared" si="11"/>
        <v>0</v>
      </c>
      <c r="K14" s="138">
        <f t="shared" si="11"/>
        <v>0</v>
      </c>
      <c r="L14" s="138">
        <f t="shared" si="11"/>
        <v>0</v>
      </c>
      <c r="M14" s="138">
        <f t="shared" si="11"/>
        <v>0</v>
      </c>
      <c r="N14" s="138">
        <f t="shared" si="11"/>
        <v>0</v>
      </c>
      <c r="O14" s="138">
        <f t="shared" si="11"/>
        <v>0</v>
      </c>
      <c r="P14" s="138">
        <f t="shared" si="11"/>
        <v>0</v>
      </c>
      <c r="Q14" s="138">
        <f t="shared" si="11"/>
        <v>0</v>
      </c>
      <c r="R14" s="138">
        <f t="shared" si="11"/>
        <v>0</v>
      </c>
      <c r="S14" s="138">
        <f t="shared" si="11"/>
        <v>0</v>
      </c>
      <c r="T14" s="138">
        <f t="shared" si="11"/>
        <v>0</v>
      </c>
      <c r="U14" s="99"/>
      <c r="V14" s="138">
        <f t="shared" si="12"/>
        <v>0</v>
      </c>
      <c r="W14" s="138">
        <f t="shared" si="12"/>
        <v>0</v>
      </c>
      <c r="X14" s="138">
        <f t="shared" si="12"/>
        <v>0</v>
      </c>
      <c r="Y14" s="138">
        <f t="shared" si="12"/>
        <v>0</v>
      </c>
      <c r="Z14" s="138">
        <f t="shared" si="12"/>
        <v>0</v>
      </c>
      <c r="AA14" s="138">
        <f t="shared" si="12"/>
        <v>0</v>
      </c>
      <c r="AB14" s="138">
        <f t="shared" si="12"/>
        <v>0</v>
      </c>
      <c r="AC14" s="138">
        <f t="shared" si="12"/>
        <v>0</v>
      </c>
      <c r="AD14" s="138">
        <f t="shared" si="12"/>
        <v>0</v>
      </c>
      <c r="AE14" s="138">
        <f t="shared" si="12"/>
        <v>0</v>
      </c>
      <c r="AF14" s="138">
        <f t="shared" si="12"/>
        <v>0</v>
      </c>
      <c r="AG14" s="138">
        <f t="shared" si="12"/>
        <v>0</v>
      </c>
      <c r="AH14" s="138">
        <f t="shared" si="12"/>
        <v>0</v>
      </c>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435"/>
    </row>
    <row r="15" spans="2:64" s="182" customFormat="1" ht="15" customHeight="1">
      <c r="C15" s="755" t="str">
        <f>IF(Indice_index!$Z$1=1,"Outras receitas correntes","Other current revenue")</f>
        <v>Other current revenue</v>
      </c>
      <c r="D15" s="138"/>
      <c r="E15" s="138" t="s">
        <v>64</v>
      </c>
      <c r="F15" s="99"/>
      <c r="G15" s="138">
        <f t="shared" si="11"/>
        <v>88.681834450000011</v>
      </c>
      <c r="H15" s="138">
        <f t="shared" si="11"/>
        <v>0.80292341</v>
      </c>
      <c r="I15" s="138">
        <f t="shared" si="11"/>
        <v>3.5004827299999999</v>
      </c>
      <c r="J15" s="138">
        <f t="shared" si="11"/>
        <v>476.81162989999996</v>
      </c>
      <c r="K15" s="138">
        <f t="shared" si="11"/>
        <v>1.8376226200000001</v>
      </c>
      <c r="L15" s="138">
        <f t="shared" si="11"/>
        <v>40.497536949999997</v>
      </c>
      <c r="M15" s="138">
        <f t="shared" si="11"/>
        <v>0.85642001000000001</v>
      </c>
      <c r="N15" s="138">
        <f t="shared" si="11"/>
        <v>0.85741098000000004</v>
      </c>
      <c r="O15" s="138">
        <f t="shared" si="11"/>
        <v>0.71199237000000004</v>
      </c>
      <c r="P15" s="138">
        <f t="shared" si="11"/>
        <v>1.33214586</v>
      </c>
      <c r="Q15" s="138">
        <f t="shared" si="11"/>
        <v>1.8138448599999999</v>
      </c>
      <c r="R15" s="138">
        <f t="shared" si="11"/>
        <v>0.12914077000000002</v>
      </c>
      <c r="S15" s="138">
        <f t="shared" si="11"/>
        <v>617.83298491000005</v>
      </c>
      <c r="T15" s="138">
        <f t="shared" si="11"/>
        <v>617.83298491000005</v>
      </c>
      <c r="U15" s="99"/>
      <c r="V15" s="138">
        <f t="shared" si="12"/>
        <v>0.71257448000000001</v>
      </c>
      <c r="W15" s="138">
        <f t="shared" si="12"/>
        <v>0.85991636000000005</v>
      </c>
      <c r="X15" s="138">
        <f t="shared" si="12"/>
        <v>0.56038268999999996</v>
      </c>
      <c r="Y15" s="138">
        <f t="shared" si="12"/>
        <v>0.75083239999999973</v>
      </c>
      <c r="Z15" s="138">
        <f t="shared" si="12"/>
        <v>337.03157365000004</v>
      </c>
      <c r="AA15" s="138">
        <f t="shared" si="12"/>
        <v>74.904785259999997</v>
      </c>
      <c r="AB15" s="138">
        <f t="shared" si="12"/>
        <v>0.73264927000000002</v>
      </c>
      <c r="AC15" s="138">
        <f t="shared" si="12"/>
        <v>0.66420129000000006</v>
      </c>
      <c r="AD15" s="138">
        <f t="shared" si="12"/>
        <v>0.65135262000000005</v>
      </c>
      <c r="AE15" s="138">
        <f t="shared" si="12"/>
        <v>1.44727684</v>
      </c>
      <c r="AF15" s="138">
        <f t="shared" si="12"/>
        <v>585.29933581</v>
      </c>
      <c r="AG15" s="138">
        <f t="shared" si="12"/>
        <v>63.632441590000006</v>
      </c>
      <c r="AH15" s="138">
        <f t="shared" si="12"/>
        <v>1067.2473222600001</v>
      </c>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435"/>
    </row>
    <row r="16" spans="2:64" s="326" customFormat="1" ht="15" customHeight="1">
      <c r="C16" s="327" t="str">
        <f>IF(Indice_index!$Z$1=1,"Receita de capital","Capital revenue")</f>
        <v>Capital revenue</v>
      </c>
      <c r="D16" s="754"/>
      <c r="E16" s="754"/>
      <c r="F16" s="258"/>
      <c r="G16" s="754">
        <f t="shared" ref="G16:T16" si="13">+G17+G18+G21</f>
        <v>20</v>
      </c>
      <c r="H16" s="754">
        <f t="shared" si="13"/>
        <v>40.366095999999999</v>
      </c>
      <c r="I16" s="754">
        <f t="shared" si="13"/>
        <v>0</v>
      </c>
      <c r="J16" s="754">
        <f t="shared" si="13"/>
        <v>0</v>
      </c>
      <c r="K16" s="754">
        <f t="shared" si="13"/>
        <v>0</v>
      </c>
      <c r="L16" s="754">
        <f t="shared" si="13"/>
        <v>0</v>
      </c>
      <c r="M16" s="754">
        <f t="shared" si="13"/>
        <v>0</v>
      </c>
      <c r="N16" s="754">
        <f t="shared" si="13"/>
        <v>0</v>
      </c>
      <c r="O16" s="754">
        <f t="shared" si="13"/>
        <v>7.7978269999999998</v>
      </c>
      <c r="P16" s="754">
        <f t="shared" si="13"/>
        <v>0</v>
      </c>
      <c r="Q16" s="754">
        <f t="shared" si="13"/>
        <v>0</v>
      </c>
      <c r="R16" s="754">
        <f t="shared" si="13"/>
        <v>0</v>
      </c>
      <c r="S16" s="754">
        <f t="shared" si="13"/>
        <v>68.163922999999997</v>
      </c>
      <c r="T16" s="754">
        <f t="shared" si="13"/>
        <v>68.163922999999997</v>
      </c>
      <c r="U16" s="258"/>
      <c r="V16" s="754">
        <f t="shared" ref="V16:AH16" si="14">+V17+V18+V21</f>
        <v>0</v>
      </c>
      <c r="W16" s="754">
        <f t="shared" si="14"/>
        <v>26.836077</v>
      </c>
      <c r="X16" s="754">
        <f t="shared" si="14"/>
        <v>0</v>
      </c>
      <c r="Y16" s="754">
        <f t="shared" si="14"/>
        <v>0</v>
      </c>
      <c r="Z16" s="754">
        <f t="shared" si="14"/>
        <v>0</v>
      </c>
      <c r="AA16" s="754">
        <f t="shared" si="14"/>
        <v>0</v>
      </c>
      <c r="AB16" s="754">
        <f t="shared" si="14"/>
        <v>0</v>
      </c>
      <c r="AC16" s="754">
        <f t="shared" si="14"/>
        <v>0</v>
      </c>
      <c r="AD16" s="754">
        <f t="shared" si="14"/>
        <v>0</v>
      </c>
      <c r="AE16" s="754">
        <f t="shared" si="14"/>
        <v>0</v>
      </c>
      <c r="AF16" s="754">
        <f t="shared" si="14"/>
        <v>0</v>
      </c>
      <c r="AG16" s="754">
        <f t="shared" si="14"/>
        <v>0</v>
      </c>
      <c r="AH16" s="754">
        <f t="shared" si="14"/>
        <v>26.836077</v>
      </c>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436"/>
    </row>
    <row r="17" spans="3:64" s="182" customFormat="1" ht="15" customHeight="1">
      <c r="C17" s="755" t="str">
        <f>IF(Indice_index!$Z$1=1,"Venda de bens de investimento","Sale of investment good")</f>
        <v>Sale of investment good</v>
      </c>
      <c r="D17" s="138"/>
      <c r="E17" s="138" t="s">
        <v>27</v>
      </c>
      <c r="F17" s="99"/>
      <c r="G17" s="138">
        <f t="shared" ref="G17:T17" si="15">+SUMIF($E$56:$E$91,$E17,G$56:G$91)</f>
        <v>20</v>
      </c>
      <c r="H17" s="138">
        <f t="shared" si="15"/>
        <v>40.366095999999999</v>
      </c>
      <c r="I17" s="138">
        <f t="shared" si="15"/>
        <v>0</v>
      </c>
      <c r="J17" s="138">
        <f t="shared" si="15"/>
        <v>0</v>
      </c>
      <c r="K17" s="138">
        <f t="shared" si="15"/>
        <v>0</v>
      </c>
      <c r="L17" s="138">
        <f t="shared" si="15"/>
        <v>0</v>
      </c>
      <c r="M17" s="138">
        <f t="shared" si="15"/>
        <v>0</v>
      </c>
      <c r="N17" s="138">
        <f t="shared" si="15"/>
        <v>0</v>
      </c>
      <c r="O17" s="138">
        <f t="shared" si="15"/>
        <v>7.7978269999999998</v>
      </c>
      <c r="P17" s="138">
        <f t="shared" si="15"/>
        <v>0</v>
      </c>
      <c r="Q17" s="138">
        <f t="shared" si="15"/>
        <v>0</v>
      </c>
      <c r="R17" s="138">
        <f t="shared" si="15"/>
        <v>0</v>
      </c>
      <c r="S17" s="138">
        <f t="shared" si="15"/>
        <v>68.163922999999997</v>
      </c>
      <c r="T17" s="138">
        <f t="shared" si="15"/>
        <v>68.163922999999997</v>
      </c>
      <c r="U17" s="99"/>
      <c r="V17" s="138">
        <f t="shared" ref="V17:AH17" si="16">+SUMIF($E$56:$E$91,$E17,V$56:V$91)</f>
        <v>0</v>
      </c>
      <c r="W17" s="138">
        <f t="shared" si="16"/>
        <v>26.836077</v>
      </c>
      <c r="X17" s="138">
        <f t="shared" si="16"/>
        <v>0</v>
      </c>
      <c r="Y17" s="138">
        <f t="shared" si="16"/>
        <v>0</v>
      </c>
      <c r="Z17" s="138">
        <f t="shared" si="16"/>
        <v>0</v>
      </c>
      <c r="AA17" s="138">
        <f t="shared" si="16"/>
        <v>0</v>
      </c>
      <c r="AB17" s="138">
        <f t="shared" si="16"/>
        <v>0</v>
      </c>
      <c r="AC17" s="138">
        <f t="shared" si="16"/>
        <v>0</v>
      </c>
      <c r="AD17" s="138">
        <f t="shared" si="16"/>
        <v>0</v>
      </c>
      <c r="AE17" s="138">
        <f t="shared" si="16"/>
        <v>0</v>
      </c>
      <c r="AF17" s="138">
        <f t="shared" si="16"/>
        <v>0</v>
      </c>
      <c r="AG17" s="138">
        <f t="shared" si="16"/>
        <v>0</v>
      </c>
      <c r="AH17" s="138">
        <f t="shared" si="16"/>
        <v>26.836077</v>
      </c>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435"/>
    </row>
    <row r="18" spans="3:64" s="182" customFormat="1" ht="15" customHeight="1">
      <c r="C18" s="755" t="str">
        <f>IF(Indice_index!$Z$1=1,"Transferências de Capital","Capital transfers")</f>
        <v>Capital transfers</v>
      </c>
      <c r="D18" s="138"/>
      <c r="E18" s="138" t="s">
        <v>28</v>
      </c>
      <c r="F18" s="99"/>
      <c r="G18" s="138">
        <f t="shared" ref="G18:T18" si="17">+G19+G20</f>
        <v>0</v>
      </c>
      <c r="H18" s="138">
        <f t="shared" si="17"/>
        <v>0</v>
      </c>
      <c r="I18" s="138">
        <f t="shared" si="17"/>
        <v>0</v>
      </c>
      <c r="J18" s="138">
        <f t="shared" si="17"/>
        <v>0</v>
      </c>
      <c r="K18" s="138">
        <f t="shared" si="17"/>
        <v>0</v>
      </c>
      <c r="L18" s="138">
        <f t="shared" si="17"/>
        <v>0</v>
      </c>
      <c r="M18" s="138">
        <f t="shared" si="17"/>
        <v>0</v>
      </c>
      <c r="N18" s="138">
        <f t="shared" si="17"/>
        <v>0</v>
      </c>
      <c r="O18" s="138">
        <f t="shared" si="17"/>
        <v>0</v>
      </c>
      <c r="P18" s="138">
        <f t="shared" si="17"/>
        <v>0</v>
      </c>
      <c r="Q18" s="138">
        <f t="shared" si="17"/>
        <v>0</v>
      </c>
      <c r="R18" s="138">
        <f t="shared" si="17"/>
        <v>0</v>
      </c>
      <c r="S18" s="138">
        <f t="shared" si="17"/>
        <v>0</v>
      </c>
      <c r="T18" s="138">
        <f t="shared" si="17"/>
        <v>0</v>
      </c>
      <c r="U18" s="99"/>
      <c r="V18" s="138">
        <f t="shared" ref="V18:AH18" si="18">+V19+V20</f>
        <v>0</v>
      </c>
      <c r="W18" s="138">
        <f t="shared" si="18"/>
        <v>0</v>
      </c>
      <c r="X18" s="138">
        <f t="shared" si="18"/>
        <v>0</v>
      </c>
      <c r="Y18" s="138">
        <f t="shared" si="18"/>
        <v>0</v>
      </c>
      <c r="Z18" s="138">
        <f t="shared" si="18"/>
        <v>0</v>
      </c>
      <c r="AA18" s="138">
        <f t="shared" si="18"/>
        <v>0</v>
      </c>
      <c r="AB18" s="138">
        <f t="shared" si="18"/>
        <v>0</v>
      </c>
      <c r="AC18" s="138">
        <f t="shared" si="18"/>
        <v>0</v>
      </c>
      <c r="AD18" s="138">
        <f t="shared" si="18"/>
        <v>0</v>
      </c>
      <c r="AE18" s="138">
        <f t="shared" si="18"/>
        <v>0</v>
      </c>
      <c r="AF18" s="138">
        <f t="shared" si="18"/>
        <v>0</v>
      </c>
      <c r="AG18" s="138">
        <f t="shared" si="18"/>
        <v>0</v>
      </c>
      <c r="AH18" s="138">
        <f t="shared" si="18"/>
        <v>0</v>
      </c>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435"/>
    </row>
    <row r="19" spans="3:64" s="182" customFormat="1" ht="15" customHeight="1">
      <c r="C19" s="757" t="str">
        <f>IF(Indice_index!$Z$1=1,"Administrações Públicas","General Government subsectors")</f>
        <v>General Government subsectors</v>
      </c>
      <c r="D19" s="138"/>
      <c r="E19" s="138" t="s">
        <v>29</v>
      </c>
      <c r="F19" s="99"/>
      <c r="G19" s="138">
        <f t="shared" ref="G19:T21" si="19">+SUMIF($E$56:$E$91,$E19,G$56:G$91)</f>
        <v>0</v>
      </c>
      <c r="H19" s="138">
        <f t="shared" si="19"/>
        <v>0</v>
      </c>
      <c r="I19" s="138">
        <f t="shared" si="19"/>
        <v>0</v>
      </c>
      <c r="J19" s="138">
        <f t="shared" si="19"/>
        <v>0</v>
      </c>
      <c r="K19" s="138">
        <f t="shared" si="19"/>
        <v>0</v>
      </c>
      <c r="L19" s="138">
        <f t="shared" si="19"/>
        <v>0</v>
      </c>
      <c r="M19" s="138">
        <f t="shared" si="19"/>
        <v>0</v>
      </c>
      <c r="N19" s="138">
        <f t="shared" si="19"/>
        <v>0</v>
      </c>
      <c r="O19" s="138">
        <f t="shared" si="19"/>
        <v>0</v>
      </c>
      <c r="P19" s="138">
        <f t="shared" si="19"/>
        <v>0</v>
      </c>
      <c r="Q19" s="138">
        <f t="shared" si="19"/>
        <v>0</v>
      </c>
      <c r="R19" s="138">
        <f t="shared" si="19"/>
        <v>0</v>
      </c>
      <c r="S19" s="138">
        <f t="shared" si="19"/>
        <v>0</v>
      </c>
      <c r="T19" s="138">
        <f t="shared" si="19"/>
        <v>0</v>
      </c>
      <c r="U19" s="99"/>
      <c r="V19" s="138">
        <f t="shared" ref="V19:AH21" si="20">+SUMIF($E$56:$E$91,$E19,V$56:V$91)</f>
        <v>0</v>
      </c>
      <c r="W19" s="138">
        <f t="shared" si="20"/>
        <v>0</v>
      </c>
      <c r="X19" s="138">
        <f t="shared" si="20"/>
        <v>0</v>
      </c>
      <c r="Y19" s="138">
        <f t="shared" si="20"/>
        <v>0</v>
      </c>
      <c r="Z19" s="138">
        <f t="shared" si="20"/>
        <v>0</v>
      </c>
      <c r="AA19" s="138">
        <f t="shared" si="20"/>
        <v>0</v>
      </c>
      <c r="AB19" s="138">
        <f t="shared" si="20"/>
        <v>0</v>
      </c>
      <c r="AC19" s="138">
        <f t="shared" si="20"/>
        <v>0</v>
      </c>
      <c r="AD19" s="138">
        <f t="shared" si="20"/>
        <v>0</v>
      </c>
      <c r="AE19" s="138">
        <f t="shared" si="20"/>
        <v>0</v>
      </c>
      <c r="AF19" s="138">
        <f t="shared" si="20"/>
        <v>0</v>
      </c>
      <c r="AG19" s="138">
        <f t="shared" si="20"/>
        <v>0</v>
      </c>
      <c r="AH19" s="138">
        <f t="shared" si="20"/>
        <v>0</v>
      </c>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435"/>
    </row>
    <row r="20" spans="3:64" s="182" customFormat="1" ht="15" customHeight="1">
      <c r="C20" s="757" t="str">
        <f>IF(Indice_index!$Z$1=1,"Outras","Others")</f>
        <v>Others</v>
      </c>
      <c r="D20" s="138"/>
      <c r="E20" s="138" t="s">
        <v>30</v>
      </c>
      <c r="F20" s="99"/>
      <c r="G20" s="138">
        <f t="shared" si="19"/>
        <v>0</v>
      </c>
      <c r="H20" s="138">
        <f t="shared" si="19"/>
        <v>0</v>
      </c>
      <c r="I20" s="138">
        <f t="shared" si="19"/>
        <v>0</v>
      </c>
      <c r="J20" s="138">
        <f t="shared" si="19"/>
        <v>0</v>
      </c>
      <c r="K20" s="138">
        <f t="shared" si="19"/>
        <v>0</v>
      </c>
      <c r="L20" s="138">
        <f t="shared" si="19"/>
        <v>0</v>
      </c>
      <c r="M20" s="138">
        <f t="shared" si="19"/>
        <v>0</v>
      </c>
      <c r="N20" s="138">
        <f t="shared" si="19"/>
        <v>0</v>
      </c>
      <c r="O20" s="138">
        <f t="shared" si="19"/>
        <v>0</v>
      </c>
      <c r="P20" s="138">
        <f t="shared" si="19"/>
        <v>0</v>
      </c>
      <c r="Q20" s="138">
        <f t="shared" si="19"/>
        <v>0</v>
      </c>
      <c r="R20" s="138">
        <f t="shared" si="19"/>
        <v>0</v>
      </c>
      <c r="S20" s="138">
        <f t="shared" si="19"/>
        <v>0</v>
      </c>
      <c r="T20" s="138">
        <f t="shared" si="19"/>
        <v>0</v>
      </c>
      <c r="U20" s="99"/>
      <c r="V20" s="138">
        <f t="shared" si="20"/>
        <v>0</v>
      </c>
      <c r="W20" s="138">
        <f t="shared" si="20"/>
        <v>0</v>
      </c>
      <c r="X20" s="138">
        <f t="shared" si="20"/>
        <v>0</v>
      </c>
      <c r="Y20" s="138">
        <f t="shared" si="20"/>
        <v>0</v>
      </c>
      <c r="Z20" s="138">
        <f t="shared" si="20"/>
        <v>0</v>
      </c>
      <c r="AA20" s="138">
        <f t="shared" si="20"/>
        <v>0</v>
      </c>
      <c r="AB20" s="138">
        <f t="shared" si="20"/>
        <v>0</v>
      </c>
      <c r="AC20" s="138">
        <f t="shared" si="20"/>
        <v>0</v>
      </c>
      <c r="AD20" s="138">
        <f t="shared" si="20"/>
        <v>0</v>
      </c>
      <c r="AE20" s="138">
        <f t="shared" si="20"/>
        <v>0</v>
      </c>
      <c r="AF20" s="138">
        <f t="shared" si="20"/>
        <v>0</v>
      </c>
      <c r="AG20" s="138">
        <f t="shared" si="20"/>
        <v>0</v>
      </c>
      <c r="AH20" s="138">
        <f t="shared" si="20"/>
        <v>0</v>
      </c>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435"/>
    </row>
    <row r="21" spans="3:64" s="182" customFormat="1" ht="15" customHeight="1">
      <c r="C21" s="755" t="str">
        <f>IF(Indice_index!$Z$1=1,"Outras receitas de capital","Other capital revenue")</f>
        <v>Other capital revenue</v>
      </c>
      <c r="D21" s="138"/>
      <c r="E21" s="138" t="s">
        <v>31</v>
      </c>
      <c r="F21" s="99"/>
      <c r="G21" s="138">
        <f t="shared" si="19"/>
        <v>0</v>
      </c>
      <c r="H21" s="138">
        <f t="shared" si="19"/>
        <v>0</v>
      </c>
      <c r="I21" s="138">
        <f t="shared" si="19"/>
        <v>0</v>
      </c>
      <c r="J21" s="138">
        <f t="shared" si="19"/>
        <v>0</v>
      </c>
      <c r="K21" s="138">
        <f t="shared" si="19"/>
        <v>0</v>
      </c>
      <c r="L21" s="138">
        <f t="shared" si="19"/>
        <v>0</v>
      </c>
      <c r="M21" s="138">
        <f t="shared" si="19"/>
        <v>0</v>
      </c>
      <c r="N21" s="138">
        <f t="shared" si="19"/>
        <v>0</v>
      </c>
      <c r="O21" s="138">
        <f t="shared" si="19"/>
        <v>0</v>
      </c>
      <c r="P21" s="138">
        <f t="shared" si="19"/>
        <v>0</v>
      </c>
      <c r="Q21" s="138">
        <f t="shared" si="19"/>
        <v>0</v>
      </c>
      <c r="R21" s="138">
        <f t="shared" si="19"/>
        <v>0</v>
      </c>
      <c r="S21" s="138">
        <f t="shared" si="19"/>
        <v>0</v>
      </c>
      <c r="T21" s="138">
        <f t="shared" si="19"/>
        <v>0</v>
      </c>
      <c r="U21" s="99"/>
      <c r="V21" s="138">
        <f t="shared" si="20"/>
        <v>0</v>
      </c>
      <c r="W21" s="138">
        <f t="shared" si="20"/>
        <v>0</v>
      </c>
      <c r="X21" s="138">
        <f t="shared" si="20"/>
        <v>0</v>
      </c>
      <c r="Y21" s="138">
        <f t="shared" si="20"/>
        <v>0</v>
      </c>
      <c r="Z21" s="138">
        <f t="shared" si="20"/>
        <v>0</v>
      </c>
      <c r="AA21" s="138">
        <f t="shared" si="20"/>
        <v>0</v>
      </c>
      <c r="AB21" s="138">
        <f t="shared" si="20"/>
        <v>0</v>
      </c>
      <c r="AC21" s="138">
        <f t="shared" si="20"/>
        <v>0</v>
      </c>
      <c r="AD21" s="138">
        <f t="shared" si="20"/>
        <v>0</v>
      </c>
      <c r="AE21" s="138">
        <f t="shared" si="20"/>
        <v>0</v>
      </c>
      <c r="AF21" s="138">
        <f t="shared" si="20"/>
        <v>0</v>
      </c>
      <c r="AG21" s="138">
        <f t="shared" si="20"/>
        <v>0</v>
      </c>
      <c r="AH21" s="138">
        <f t="shared" si="20"/>
        <v>0</v>
      </c>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435"/>
    </row>
    <row r="22" spans="3:64" s="182" customFormat="1" ht="4.5" customHeight="1">
      <c r="C22" s="758"/>
      <c r="D22" s="138"/>
      <c r="E22" s="138"/>
      <c r="F22" s="99"/>
      <c r="G22" s="138"/>
      <c r="H22" s="138"/>
      <c r="I22" s="138"/>
      <c r="J22" s="138"/>
      <c r="K22" s="138"/>
      <c r="L22" s="138"/>
      <c r="M22" s="138"/>
      <c r="N22" s="138"/>
      <c r="O22" s="138"/>
      <c r="P22" s="138"/>
      <c r="Q22" s="138"/>
      <c r="R22" s="138"/>
      <c r="S22" s="138"/>
      <c r="T22" s="138"/>
      <c r="U22" s="99"/>
      <c r="V22" s="138"/>
      <c r="W22" s="138"/>
      <c r="X22" s="138"/>
      <c r="Y22" s="138"/>
      <c r="Z22" s="138"/>
      <c r="AA22" s="138"/>
      <c r="AB22" s="138"/>
      <c r="AC22" s="138"/>
      <c r="AD22" s="138"/>
      <c r="AE22" s="138"/>
      <c r="AF22" s="138"/>
      <c r="AG22" s="138"/>
      <c r="AH22" s="138"/>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435"/>
    </row>
    <row r="23" spans="3:64" s="327" customFormat="1" ht="15" customHeight="1">
      <c r="C23" s="759" t="str">
        <f>IF(Indice_index!$Z$1=1,"Receita efetiva","Effective revenue")</f>
        <v>Effective revenue</v>
      </c>
      <c r="D23" s="760"/>
      <c r="E23" s="761"/>
      <c r="F23" s="258"/>
      <c r="G23" s="760">
        <f t="shared" ref="G23:T23" si="21">+G8+G16</f>
        <v>386.27762945000001</v>
      </c>
      <c r="H23" s="761">
        <f t="shared" si="21"/>
        <v>-26.913061589999998</v>
      </c>
      <c r="I23" s="761">
        <f t="shared" si="21"/>
        <v>-57.35238196000001</v>
      </c>
      <c r="J23" s="761">
        <f t="shared" si="21"/>
        <v>757.32543156999986</v>
      </c>
      <c r="K23" s="761">
        <f t="shared" si="21"/>
        <v>30.745067289999998</v>
      </c>
      <c r="L23" s="761">
        <f t="shared" si="21"/>
        <v>56.449485049999993</v>
      </c>
      <c r="M23" s="761">
        <f t="shared" si="21"/>
        <v>18.135025420000002</v>
      </c>
      <c r="N23" s="761">
        <f t="shared" si="21"/>
        <v>17.462027980000002</v>
      </c>
      <c r="O23" s="761">
        <f t="shared" si="21"/>
        <v>23.544006930000002</v>
      </c>
      <c r="P23" s="761">
        <f t="shared" si="21"/>
        <v>258.71528037000002</v>
      </c>
      <c r="Q23" s="761">
        <f t="shared" si="21"/>
        <v>77.396772549999994</v>
      </c>
      <c r="R23" s="761">
        <f t="shared" si="21"/>
        <v>22.185681969999997</v>
      </c>
      <c r="S23" s="761">
        <f t="shared" si="21"/>
        <v>1563.9709650300001</v>
      </c>
      <c r="T23" s="760">
        <f t="shared" si="21"/>
        <v>1563.9709650299997</v>
      </c>
      <c r="U23" s="258"/>
      <c r="V23" s="760">
        <f t="shared" ref="V23:AH23" si="22">+V8+V16</f>
        <v>58.729722030000005</v>
      </c>
      <c r="W23" s="761">
        <f t="shared" si="22"/>
        <v>76.155476960000001</v>
      </c>
      <c r="X23" s="761">
        <f t="shared" si="22"/>
        <v>41.386340049999994</v>
      </c>
      <c r="Y23" s="761">
        <f t="shared" si="22"/>
        <v>69.781900579999984</v>
      </c>
      <c r="Z23" s="761">
        <f t="shared" si="22"/>
        <v>361.20837393000005</v>
      </c>
      <c r="AA23" s="761">
        <f t="shared" si="22"/>
        <v>89.642378980000004</v>
      </c>
      <c r="AB23" s="761">
        <f t="shared" si="22"/>
        <v>22.438876359999998</v>
      </c>
      <c r="AC23" s="761">
        <f t="shared" si="22"/>
        <v>16.159748709999999</v>
      </c>
      <c r="AD23" s="761">
        <f t="shared" si="22"/>
        <v>22.437207060000002</v>
      </c>
      <c r="AE23" s="761">
        <f t="shared" si="22"/>
        <v>75.197079590000001</v>
      </c>
      <c r="AF23" s="761">
        <f t="shared" si="22"/>
        <v>651.30829457000004</v>
      </c>
      <c r="AG23" s="761">
        <f t="shared" si="22"/>
        <v>436.61990999</v>
      </c>
      <c r="AH23" s="760">
        <f t="shared" si="22"/>
        <v>1921.06530881</v>
      </c>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436"/>
    </row>
    <row r="24" spans="3:64" s="182" customFormat="1" ht="4.5" customHeight="1">
      <c r="C24" s="758"/>
      <c r="D24" s="138"/>
      <c r="E24" s="138"/>
      <c r="F24" s="99"/>
      <c r="G24" s="138"/>
      <c r="H24" s="138"/>
      <c r="I24" s="138"/>
      <c r="J24" s="138"/>
      <c r="K24" s="138"/>
      <c r="L24" s="138"/>
      <c r="M24" s="138"/>
      <c r="N24" s="138"/>
      <c r="O24" s="138"/>
      <c r="P24" s="138"/>
      <c r="Q24" s="138"/>
      <c r="R24" s="138"/>
      <c r="S24" s="138"/>
      <c r="T24" s="138"/>
      <c r="U24" s="99"/>
      <c r="V24" s="138"/>
      <c r="W24" s="138"/>
      <c r="X24" s="138"/>
      <c r="Y24" s="138"/>
      <c r="Z24" s="138"/>
      <c r="AA24" s="138"/>
      <c r="AB24" s="138"/>
      <c r="AC24" s="138"/>
      <c r="AD24" s="138"/>
      <c r="AE24" s="138"/>
      <c r="AF24" s="138"/>
      <c r="AG24" s="138"/>
      <c r="AH24" s="138"/>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435"/>
    </row>
    <row r="25" spans="3:64" s="326" customFormat="1" ht="15" customHeight="1">
      <c r="C25" s="327" t="str">
        <f>IF(Indice_index!$Z$1=1,"Despesa corrente","Current expenditure")</f>
        <v>Current expenditure</v>
      </c>
      <c r="D25" s="754"/>
      <c r="E25" s="754"/>
      <c r="F25" s="258"/>
      <c r="G25" s="754">
        <f t="shared" ref="G25:S25" si="23">+G26+G27+G28+G29+G32+G33</f>
        <v>80.643943180000008</v>
      </c>
      <c r="H25" s="754">
        <f t="shared" si="23"/>
        <v>-16.829172719999999</v>
      </c>
      <c r="I25" s="754">
        <f t="shared" si="23"/>
        <v>263.63904249999996</v>
      </c>
      <c r="J25" s="754">
        <f t="shared" si="23"/>
        <v>43.899611400000033</v>
      </c>
      <c r="K25" s="754">
        <f t="shared" si="23"/>
        <v>10.056411499999999</v>
      </c>
      <c r="L25" s="754">
        <f t="shared" si="23"/>
        <v>82.54850343999999</v>
      </c>
      <c r="M25" s="754">
        <f t="shared" si="23"/>
        <v>9.5841820699999971</v>
      </c>
      <c r="N25" s="754">
        <f t="shared" si="23"/>
        <v>0.66766391999998653</v>
      </c>
      <c r="O25" s="754">
        <f t="shared" si="23"/>
        <v>-3.7345629999995231E-2</v>
      </c>
      <c r="P25" s="754">
        <f t="shared" si="23"/>
        <v>64.459374400000016</v>
      </c>
      <c r="Q25" s="754">
        <f t="shared" si="23"/>
        <v>4.9795168499999969</v>
      </c>
      <c r="R25" s="754">
        <f t="shared" si="23"/>
        <v>471.19513014999984</v>
      </c>
      <c r="S25" s="754">
        <f t="shared" si="23"/>
        <v>1014.8068610599998</v>
      </c>
      <c r="T25" s="754">
        <f>SUM(G25:R25)</f>
        <v>1014.8068610599998</v>
      </c>
      <c r="U25" s="258"/>
      <c r="V25" s="754">
        <f t="shared" ref="V25:AG25" si="24">+V26+V27+V28+V29+V32+V33</f>
        <v>10.625909999999999</v>
      </c>
      <c r="W25" s="754">
        <f t="shared" si="24"/>
        <v>4.8432015700000006</v>
      </c>
      <c r="X25" s="754">
        <f t="shared" si="24"/>
        <v>4.7592889100000004</v>
      </c>
      <c r="Y25" s="754">
        <f t="shared" si="24"/>
        <v>10.623858</v>
      </c>
      <c r="Z25" s="754">
        <f t="shared" si="24"/>
        <v>4.7553652899999967</v>
      </c>
      <c r="AA25" s="754">
        <f t="shared" si="24"/>
        <v>4.7482439999999997</v>
      </c>
      <c r="AB25" s="754">
        <f t="shared" si="24"/>
        <v>-264.24436466999998</v>
      </c>
      <c r="AC25" s="754">
        <f t="shared" si="24"/>
        <v>339.09573981999995</v>
      </c>
      <c r="AD25" s="754">
        <f t="shared" si="24"/>
        <v>14.254114439999999</v>
      </c>
      <c r="AE25" s="754">
        <f t="shared" si="24"/>
        <v>10.329196590000032</v>
      </c>
      <c r="AF25" s="754">
        <f t="shared" si="24"/>
        <v>4.4472310900000336</v>
      </c>
      <c r="AG25" s="754">
        <f t="shared" si="24"/>
        <v>575.60273181999935</v>
      </c>
      <c r="AH25" s="754">
        <f>SUM(V25:AG25)</f>
        <v>719.8405168599993</v>
      </c>
      <c r="AJ25" s="328"/>
      <c r="AK25" s="328"/>
      <c r="AL25" s="328"/>
      <c r="AM25" s="328"/>
      <c r="AN25" s="328"/>
      <c r="AO25" s="328"/>
      <c r="AP25" s="328"/>
      <c r="AQ25" s="328"/>
      <c r="AR25" s="328"/>
      <c r="AS25" s="328"/>
      <c r="AT25" s="328"/>
      <c r="AU25" s="328"/>
      <c r="AV25" s="328"/>
      <c r="AW25" s="328"/>
      <c r="AX25" s="328"/>
      <c r="AY25" s="328"/>
      <c r="AZ25" s="328"/>
      <c r="BA25" s="328"/>
      <c r="BB25" s="328"/>
      <c r="BC25" s="328"/>
      <c r="BD25" s="328"/>
      <c r="BE25" s="328"/>
      <c r="BF25" s="328"/>
      <c r="BG25" s="328"/>
      <c r="BH25" s="328"/>
      <c r="BI25" s="328"/>
      <c r="BJ25" s="328"/>
      <c r="BK25" s="328"/>
      <c r="BL25" s="436"/>
    </row>
    <row r="26" spans="3:64" s="182" customFormat="1" ht="15" customHeight="1">
      <c r="C26" s="755" t="str">
        <f>IF(Indice_index!$Z$1=1,"Despesas com o pessoal","Employees")</f>
        <v>Employees</v>
      </c>
      <c r="D26" s="138"/>
      <c r="E26" s="138" t="s">
        <v>32</v>
      </c>
      <c r="F26" s="99"/>
      <c r="G26" s="138">
        <f t="shared" ref="G26:T28" si="25">+SUMIF($E$56:$E$91,$E26,G$56:G$91)</f>
        <v>0</v>
      </c>
      <c r="H26" s="138">
        <f t="shared" si="25"/>
        <v>0</v>
      </c>
      <c r="I26" s="138">
        <f t="shared" si="25"/>
        <v>0</v>
      </c>
      <c r="J26" s="138">
        <f t="shared" si="25"/>
        <v>0</v>
      </c>
      <c r="K26" s="138">
        <f t="shared" si="25"/>
        <v>0</v>
      </c>
      <c r="L26" s="138">
        <f t="shared" si="25"/>
        <v>0</v>
      </c>
      <c r="M26" s="138">
        <f t="shared" si="25"/>
        <v>0</v>
      </c>
      <c r="N26" s="138">
        <f t="shared" si="25"/>
        <v>0</v>
      </c>
      <c r="O26" s="138">
        <f t="shared" si="25"/>
        <v>0</v>
      </c>
      <c r="P26" s="138">
        <f t="shared" si="25"/>
        <v>0</v>
      </c>
      <c r="Q26" s="138">
        <f t="shared" si="25"/>
        <v>0</v>
      </c>
      <c r="R26" s="138">
        <f t="shared" si="25"/>
        <v>0</v>
      </c>
      <c r="S26" s="138">
        <f t="shared" si="25"/>
        <v>0</v>
      </c>
      <c r="T26" s="138">
        <f t="shared" si="25"/>
        <v>0</v>
      </c>
      <c r="U26" s="99"/>
      <c r="V26" s="138">
        <f t="shared" ref="V26:AH28" si="26">+SUMIF($E$56:$E$91,$E26,V$56:V$91)</f>
        <v>0</v>
      </c>
      <c r="W26" s="138">
        <f t="shared" si="26"/>
        <v>0</v>
      </c>
      <c r="X26" s="138">
        <f t="shared" si="26"/>
        <v>0</v>
      </c>
      <c r="Y26" s="138">
        <f t="shared" si="26"/>
        <v>0</v>
      </c>
      <c r="Z26" s="138">
        <f t="shared" si="26"/>
        <v>0</v>
      </c>
      <c r="AA26" s="138">
        <f t="shared" si="26"/>
        <v>0</v>
      </c>
      <c r="AB26" s="138">
        <f t="shared" si="26"/>
        <v>0</v>
      </c>
      <c r="AC26" s="138">
        <f t="shared" si="26"/>
        <v>0</v>
      </c>
      <c r="AD26" s="138">
        <f t="shared" si="26"/>
        <v>0</v>
      </c>
      <c r="AE26" s="138">
        <f t="shared" si="26"/>
        <v>0</v>
      </c>
      <c r="AF26" s="138">
        <f t="shared" si="26"/>
        <v>0</v>
      </c>
      <c r="AG26" s="138">
        <f t="shared" si="26"/>
        <v>0</v>
      </c>
      <c r="AH26" s="138">
        <f t="shared" si="26"/>
        <v>0</v>
      </c>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435"/>
    </row>
    <row r="27" spans="3:64" s="182" customFormat="1" ht="15" customHeight="1">
      <c r="C27" s="755" t="str">
        <f>IF(Indice_index!$Z$1=1,"Aquisição de bens e serviços","Purchase of goods and services")</f>
        <v>Purchase of goods and services</v>
      </c>
      <c r="D27" s="138"/>
      <c r="E27" s="138" t="s">
        <v>33</v>
      </c>
      <c r="F27" s="99"/>
      <c r="G27" s="138">
        <f t="shared" si="25"/>
        <v>-1.9784024699999989</v>
      </c>
      <c r="H27" s="138">
        <f t="shared" si="25"/>
        <v>-16.829172719999999</v>
      </c>
      <c r="I27" s="138">
        <f t="shared" si="25"/>
        <v>219.51904249999995</v>
      </c>
      <c r="J27" s="138">
        <f t="shared" si="25"/>
        <v>15.114780710000035</v>
      </c>
      <c r="K27" s="138">
        <f t="shared" si="25"/>
        <v>4.8132920700000001</v>
      </c>
      <c r="L27" s="138">
        <f t="shared" si="25"/>
        <v>1.7355109999984502E-2</v>
      </c>
      <c r="M27" s="138">
        <f t="shared" si="25"/>
        <v>-0.71129043000000713</v>
      </c>
      <c r="N27" s="138">
        <f t="shared" si="25"/>
        <v>14.860846289999987</v>
      </c>
      <c r="O27" s="138">
        <f t="shared" si="25"/>
        <v>-3.7345629999995231E-2</v>
      </c>
      <c r="P27" s="138">
        <f t="shared" si="25"/>
        <v>29.133685650000015</v>
      </c>
      <c r="Q27" s="138">
        <f t="shared" si="25"/>
        <v>9.8849999994039535E-5</v>
      </c>
      <c r="R27" s="138">
        <f t="shared" si="25"/>
        <v>420.53975952999986</v>
      </c>
      <c r="S27" s="138">
        <f t="shared" si="25"/>
        <v>684.44264945999987</v>
      </c>
      <c r="T27" s="138">
        <f t="shared" si="25"/>
        <v>684.44264945999987</v>
      </c>
      <c r="U27" s="99"/>
      <c r="V27" s="138">
        <f t="shared" si="26"/>
        <v>0</v>
      </c>
      <c r="W27" s="138">
        <f t="shared" si="26"/>
        <v>0</v>
      </c>
      <c r="X27" s="138">
        <f t="shared" si="26"/>
        <v>0</v>
      </c>
      <c r="Y27" s="138">
        <f t="shared" si="26"/>
        <v>0</v>
      </c>
      <c r="Z27" s="138">
        <f t="shared" si="26"/>
        <v>0</v>
      </c>
      <c r="AA27" s="138">
        <f t="shared" si="26"/>
        <v>0</v>
      </c>
      <c r="AB27" s="138">
        <f t="shared" si="26"/>
        <v>0</v>
      </c>
      <c r="AC27" s="138">
        <f t="shared" si="26"/>
        <v>334.63643481999998</v>
      </c>
      <c r="AD27" s="138">
        <f t="shared" si="26"/>
        <v>9.7948094399999981</v>
      </c>
      <c r="AE27" s="138">
        <f t="shared" si="26"/>
        <v>-8.3664099999666217E-3</v>
      </c>
      <c r="AF27" s="138">
        <f t="shared" si="26"/>
        <v>-1.2073909999966621E-2</v>
      </c>
      <c r="AG27" s="138">
        <f t="shared" si="26"/>
        <v>571.23230545999934</v>
      </c>
      <c r="AH27" s="138">
        <f t="shared" si="26"/>
        <v>915.6431093999995</v>
      </c>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435"/>
    </row>
    <row r="28" spans="3:64" s="182" customFormat="1" ht="15" customHeight="1">
      <c r="C28" s="755" t="str">
        <f>IF(Indice_index!$Z$1=1,"Juros e outros encargos","Interests and other charges")</f>
        <v>Interests and other charges</v>
      </c>
      <c r="D28" s="138"/>
      <c r="E28" s="138" t="s">
        <v>34</v>
      </c>
      <c r="F28" s="99"/>
      <c r="G28" s="138">
        <f t="shared" si="25"/>
        <v>0</v>
      </c>
      <c r="H28" s="138">
        <f t="shared" si="25"/>
        <v>0</v>
      </c>
      <c r="I28" s="138">
        <f t="shared" si="25"/>
        <v>0</v>
      </c>
      <c r="J28" s="138">
        <f t="shared" si="25"/>
        <v>0</v>
      </c>
      <c r="K28" s="138">
        <f t="shared" si="25"/>
        <v>0</v>
      </c>
      <c r="L28" s="138">
        <f t="shared" si="25"/>
        <v>0</v>
      </c>
      <c r="M28" s="138">
        <f t="shared" si="25"/>
        <v>0</v>
      </c>
      <c r="N28" s="138">
        <f t="shared" si="25"/>
        <v>0</v>
      </c>
      <c r="O28" s="138">
        <f t="shared" si="25"/>
        <v>0</v>
      </c>
      <c r="P28" s="138">
        <f t="shared" si="25"/>
        <v>0</v>
      </c>
      <c r="Q28" s="138">
        <f t="shared" si="25"/>
        <v>0</v>
      </c>
      <c r="R28" s="138">
        <f t="shared" si="25"/>
        <v>0</v>
      </c>
      <c r="S28" s="138">
        <f t="shared" si="25"/>
        <v>0</v>
      </c>
      <c r="T28" s="138">
        <f t="shared" si="25"/>
        <v>0</v>
      </c>
      <c r="U28" s="99"/>
      <c r="V28" s="138">
        <f t="shared" si="26"/>
        <v>0</v>
      </c>
      <c r="W28" s="138">
        <f t="shared" si="26"/>
        <v>0</v>
      </c>
      <c r="X28" s="138">
        <f t="shared" si="26"/>
        <v>0</v>
      </c>
      <c r="Y28" s="138">
        <f t="shared" si="26"/>
        <v>0</v>
      </c>
      <c r="Z28" s="138">
        <f t="shared" si="26"/>
        <v>0</v>
      </c>
      <c r="AA28" s="138">
        <f t="shared" si="26"/>
        <v>0</v>
      </c>
      <c r="AB28" s="138">
        <f t="shared" si="26"/>
        <v>-286.65263454000001</v>
      </c>
      <c r="AC28" s="138">
        <f t="shared" si="26"/>
        <v>0</v>
      </c>
      <c r="AD28" s="138">
        <f t="shared" si="26"/>
        <v>0</v>
      </c>
      <c r="AE28" s="138">
        <f t="shared" si="26"/>
        <v>0</v>
      </c>
      <c r="AF28" s="138">
        <f t="shared" si="26"/>
        <v>0</v>
      </c>
      <c r="AG28" s="138">
        <f t="shared" si="26"/>
        <v>0</v>
      </c>
      <c r="AH28" s="138">
        <f t="shared" si="26"/>
        <v>-286.65263454000001</v>
      </c>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435"/>
    </row>
    <row r="29" spans="3:64" s="182" customFormat="1" ht="15" customHeight="1">
      <c r="C29" s="755" t="str">
        <f>IF(Indice_index!$Z$1=1,"Transferências Correntes","Current transfers")</f>
        <v>Current transfers</v>
      </c>
      <c r="D29" s="138"/>
      <c r="E29" s="138" t="s">
        <v>35</v>
      </c>
      <c r="F29" s="99"/>
      <c r="G29" s="138">
        <f t="shared" ref="G29:T29" si="27">+G30+G31</f>
        <v>82.62234565</v>
      </c>
      <c r="H29" s="138">
        <f t="shared" si="27"/>
        <v>0</v>
      </c>
      <c r="I29" s="138">
        <f t="shared" si="27"/>
        <v>44.12</v>
      </c>
      <c r="J29" s="138">
        <f t="shared" si="27"/>
        <v>29.674894000000002</v>
      </c>
      <c r="K29" s="138">
        <f t="shared" si="27"/>
        <v>5.3294684999999991</v>
      </c>
      <c r="L29" s="138">
        <f t="shared" si="27"/>
        <v>6.3542470200000007</v>
      </c>
      <c r="M29" s="138">
        <f t="shared" si="27"/>
        <v>10.190160000000004</v>
      </c>
      <c r="N29" s="138">
        <f t="shared" si="27"/>
        <v>0</v>
      </c>
      <c r="O29" s="138">
        <f t="shared" si="27"/>
        <v>0</v>
      </c>
      <c r="P29" s="138">
        <f t="shared" si="27"/>
        <v>20.156094</v>
      </c>
      <c r="Q29" s="138">
        <f t="shared" si="27"/>
        <v>4.9794180000000026</v>
      </c>
      <c r="R29" s="138">
        <f t="shared" si="27"/>
        <v>50.600534429999996</v>
      </c>
      <c r="S29" s="138">
        <f t="shared" si="27"/>
        <v>254.0271616</v>
      </c>
      <c r="T29" s="138">
        <f t="shared" si="27"/>
        <v>254.0271616</v>
      </c>
      <c r="U29" s="99"/>
      <c r="V29" s="138">
        <f t="shared" ref="V29:AH29" si="28">+V30+V31</f>
        <v>10.625909999999999</v>
      </c>
      <c r="W29" s="138">
        <f t="shared" si="28"/>
        <v>4.8432015700000006</v>
      </c>
      <c r="X29" s="138">
        <f t="shared" si="28"/>
        <v>4.7592889100000004</v>
      </c>
      <c r="Y29" s="138">
        <f t="shared" si="28"/>
        <v>10.623858</v>
      </c>
      <c r="Z29" s="138">
        <f t="shared" si="28"/>
        <v>4.7553652899999967</v>
      </c>
      <c r="AA29" s="138">
        <f t="shared" si="28"/>
        <v>4.7482439999999997</v>
      </c>
      <c r="AB29" s="138">
        <f t="shared" si="28"/>
        <v>22.408269870000005</v>
      </c>
      <c r="AC29" s="138">
        <f t="shared" si="28"/>
        <v>4.4593050000000005</v>
      </c>
      <c r="AD29" s="138">
        <f t="shared" si="28"/>
        <v>4.4593050000000005</v>
      </c>
      <c r="AE29" s="138">
        <f t="shared" si="28"/>
        <v>10.337562999999999</v>
      </c>
      <c r="AF29" s="138">
        <f t="shared" si="28"/>
        <v>4.4593050000000005</v>
      </c>
      <c r="AG29" s="138">
        <f t="shared" si="28"/>
        <v>4.3704263599999962</v>
      </c>
      <c r="AH29" s="138">
        <f t="shared" si="28"/>
        <v>90.850042000000002</v>
      </c>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435"/>
    </row>
    <row r="30" spans="3:64" s="182" customFormat="1" ht="15" customHeight="1">
      <c r="C30" s="757" t="str">
        <f>IF(Indice_index!$Z$1=1,"Administrações Públicas","General Government subsectors")</f>
        <v>General Government subsectors</v>
      </c>
      <c r="D30" s="138"/>
      <c r="E30" s="138" t="s">
        <v>36</v>
      </c>
      <c r="F30" s="99"/>
      <c r="G30" s="138">
        <f t="shared" ref="G30:T33" si="29">+SUMIF($E$56:$E$91,$E30,G$56:G$91)</f>
        <v>1.4663520000000001</v>
      </c>
      <c r="H30" s="138">
        <f t="shared" si="29"/>
        <v>0</v>
      </c>
      <c r="I30" s="138">
        <f t="shared" si="29"/>
        <v>0</v>
      </c>
      <c r="J30" s="138">
        <f t="shared" si="29"/>
        <v>29.674894000000002</v>
      </c>
      <c r="K30" s="138">
        <f t="shared" si="29"/>
        <v>5.3294684999999991</v>
      </c>
      <c r="L30" s="138">
        <f t="shared" si="29"/>
        <v>6.3542470200000007</v>
      </c>
      <c r="M30" s="138">
        <f t="shared" si="29"/>
        <v>10.190160000000004</v>
      </c>
      <c r="N30" s="138">
        <f t="shared" si="29"/>
        <v>0</v>
      </c>
      <c r="O30" s="138">
        <f t="shared" si="29"/>
        <v>0</v>
      </c>
      <c r="P30" s="138">
        <f t="shared" si="29"/>
        <v>20.156094</v>
      </c>
      <c r="Q30" s="138">
        <f t="shared" si="29"/>
        <v>4.9794180000000026</v>
      </c>
      <c r="R30" s="138">
        <f t="shared" si="29"/>
        <v>4.8605344299999942</v>
      </c>
      <c r="S30" s="138">
        <f t="shared" si="29"/>
        <v>83.011167950000001</v>
      </c>
      <c r="T30" s="138">
        <f t="shared" si="29"/>
        <v>83.011167950000001</v>
      </c>
      <c r="U30" s="99"/>
      <c r="V30" s="138">
        <f t="shared" ref="V30:AH33" si="30">+SUMIF($E$56:$E$91,$E30,V$56:V$91)</f>
        <v>10.625909999999999</v>
      </c>
      <c r="W30" s="138">
        <f t="shared" si="30"/>
        <v>4.8432015700000006</v>
      </c>
      <c r="X30" s="138">
        <f t="shared" si="30"/>
        <v>4.7592889100000004</v>
      </c>
      <c r="Y30" s="138">
        <f t="shared" si="30"/>
        <v>10.623858</v>
      </c>
      <c r="Z30" s="138">
        <f t="shared" si="30"/>
        <v>4.7553652899999967</v>
      </c>
      <c r="AA30" s="138">
        <f t="shared" si="30"/>
        <v>4.7482439999999997</v>
      </c>
      <c r="AB30" s="138">
        <f t="shared" si="30"/>
        <v>12.068269870000004</v>
      </c>
      <c r="AC30" s="138">
        <f t="shared" si="30"/>
        <v>4.4593050000000005</v>
      </c>
      <c r="AD30" s="138">
        <f t="shared" si="30"/>
        <v>4.4593050000000005</v>
      </c>
      <c r="AE30" s="138">
        <f t="shared" si="30"/>
        <v>10.337562999999999</v>
      </c>
      <c r="AF30" s="138">
        <f t="shared" si="30"/>
        <v>4.4593050000000005</v>
      </c>
      <c r="AG30" s="138">
        <f t="shared" si="30"/>
        <v>4.3704263599999962</v>
      </c>
      <c r="AH30" s="138">
        <f t="shared" si="30"/>
        <v>80.510041999999999</v>
      </c>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435"/>
    </row>
    <row r="31" spans="3:64" s="182" customFormat="1" ht="15" customHeight="1">
      <c r="C31" s="757" t="str">
        <f>IF(Indice_index!$Z$1=1,"Outras","Others")</f>
        <v>Others</v>
      </c>
      <c r="D31" s="138"/>
      <c r="E31" s="138" t="s">
        <v>37</v>
      </c>
      <c r="F31" s="99"/>
      <c r="G31" s="138">
        <f t="shared" si="29"/>
        <v>81.155993649999999</v>
      </c>
      <c r="H31" s="138">
        <f t="shared" si="29"/>
        <v>0</v>
      </c>
      <c r="I31" s="138">
        <f t="shared" si="29"/>
        <v>44.12</v>
      </c>
      <c r="J31" s="138">
        <f t="shared" si="29"/>
        <v>0</v>
      </c>
      <c r="K31" s="138">
        <f t="shared" si="29"/>
        <v>0</v>
      </c>
      <c r="L31" s="138">
        <f t="shared" si="29"/>
        <v>0</v>
      </c>
      <c r="M31" s="138">
        <f t="shared" si="29"/>
        <v>0</v>
      </c>
      <c r="N31" s="138">
        <f t="shared" si="29"/>
        <v>0</v>
      </c>
      <c r="O31" s="138">
        <f t="shared" si="29"/>
        <v>0</v>
      </c>
      <c r="P31" s="138">
        <f t="shared" si="29"/>
        <v>0</v>
      </c>
      <c r="Q31" s="138">
        <f t="shared" si="29"/>
        <v>0</v>
      </c>
      <c r="R31" s="138">
        <f t="shared" si="29"/>
        <v>45.74</v>
      </c>
      <c r="S31" s="138">
        <f t="shared" si="29"/>
        <v>171.01599364999998</v>
      </c>
      <c r="T31" s="138">
        <f t="shared" si="29"/>
        <v>171.01599364999998</v>
      </c>
      <c r="U31" s="99"/>
      <c r="V31" s="138">
        <f t="shared" si="30"/>
        <v>0</v>
      </c>
      <c r="W31" s="138">
        <f t="shared" si="30"/>
        <v>0</v>
      </c>
      <c r="X31" s="138">
        <f t="shared" si="30"/>
        <v>0</v>
      </c>
      <c r="Y31" s="138">
        <f t="shared" si="30"/>
        <v>0</v>
      </c>
      <c r="Z31" s="138">
        <f t="shared" si="30"/>
        <v>0</v>
      </c>
      <c r="AA31" s="138">
        <f t="shared" si="30"/>
        <v>0</v>
      </c>
      <c r="AB31" s="138">
        <f t="shared" si="30"/>
        <v>10.34</v>
      </c>
      <c r="AC31" s="138">
        <f t="shared" si="30"/>
        <v>0</v>
      </c>
      <c r="AD31" s="138">
        <f t="shared" si="30"/>
        <v>0</v>
      </c>
      <c r="AE31" s="138">
        <f t="shared" si="30"/>
        <v>0</v>
      </c>
      <c r="AF31" s="138">
        <f t="shared" si="30"/>
        <v>0</v>
      </c>
      <c r="AG31" s="138">
        <f t="shared" si="30"/>
        <v>0</v>
      </c>
      <c r="AH31" s="138">
        <f t="shared" si="30"/>
        <v>10.34</v>
      </c>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435"/>
    </row>
    <row r="32" spans="3:64" s="182" customFormat="1" ht="15" customHeight="1">
      <c r="C32" s="755" t="str">
        <f>IF(Indice_index!$Z$1=1,"Subsídios","Subsidies")</f>
        <v>Subsidies</v>
      </c>
      <c r="D32" s="138"/>
      <c r="E32" s="138" t="s">
        <v>38</v>
      </c>
      <c r="F32" s="99"/>
      <c r="G32" s="138">
        <f t="shared" si="29"/>
        <v>0</v>
      </c>
      <c r="H32" s="138">
        <f t="shared" si="29"/>
        <v>0</v>
      </c>
      <c r="I32" s="138">
        <f t="shared" si="29"/>
        <v>0</v>
      </c>
      <c r="J32" s="138">
        <f t="shared" si="29"/>
        <v>0</v>
      </c>
      <c r="K32" s="138">
        <f t="shared" si="29"/>
        <v>0</v>
      </c>
      <c r="L32" s="138">
        <f t="shared" si="29"/>
        <v>0</v>
      </c>
      <c r="M32" s="138">
        <f t="shared" si="29"/>
        <v>0</v>
      </c>
      <c r="N32" s="138">
        <f t="shared" si="29"/>
        <v>0</v>
      </c>
      <c r="O32" s="138">
        <f t="shared" si="29"/>
        <v>0</v>
      </c>
      <c r="P32" s="138">
        <f t="shared" si="29"/>
        <v>0</v>
      </c>
      <c r="Q32" s="138">
        <f t="shared" si="29"/>
        <v>0</v>
      </c>
      <c r="R32" s="138">
        <f t="shared" si="29"/>
        <v>0</v>
      </c>
      <c r="S32" s="138">
        <f t="shared" si="29"/>
        <v>0</v>
      </c>
      <c r="T32" s="138">
        <f t="shared" si="29"/>
        <v>0</v>
      </c>
      <c r="U32" s="99"/>
      <c r="V32" s="138">
        <f t="shared" si="30"/>
        <v>0</v>
      </c>
      <c r="W32" s="138">
        <f t="shared" si="30"/>
        <v>0</v>
      </c>
      <c r="X32" s="138">
        <f t="shared" si="30"/>
        <v>0</v>
      </c>
      <c r="Y32" s="138">
        <f t="shared" si="30"/>
        <v>0</v>
      </c>
      <c r="Z32" s="138">
        <f t="shared" si="30"/>
        <v>0</v>
      </c>
      <c r="AA32" s="138">
        <f t="shared" si="30"/>
        <v>0</v>
      </c>
      <c r="AB32" s="138">
        <f t="shared" si="30"/>
        <v>0</v>
      </c>
      <c r="AC32" s="138">
        <f t="shared" si="30"/>
        <v>0</v>
      </c>
      <c r="AD32" s="138">
        <f t="shared" si="30"/>
        <v>0</v>
      </c>
      <c r="AE32" s="138">
        <f t="shared" si="30"/>
        <v>0</v>
      </c>
      <c r="AF32" s="138">
        <f t="shared" si="30"/>
        <v>0</v>
      </c>
      <c r="AG32" s="138">
        <f t="shared" si="30"/>
        <v>0</v>
      </c>
      <c r="AH32" s="138">
        <f t="shared" si="30"/>
        <v>0</v>
      </c>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435"/>
    </row>
    <row r="33" spans="3:64" s="182" customFormat="1" ht="15" customHeight="1">
      <c r="C33" s="755" t="str">
        <f>IF(Indice_index!$Z$1=1,"Outras despesas correntes","Other current expenditure")</f>
        <v>Other current expenditure</v>
      </c>
      <c r="D33" s="138"/>
      <c r="E33" s="138" t="s">
        <v>39</v>
      </c>
      <c r="F33" s="99"/>
      <c r="G33" s="138">
        <f t="shared" si="29"/>
        <v>0</v>
      </c>
      <c r="H33" s="138">
        <f t="shared" si="29"/>
        <v>0</v>
      </c>
      <c r="I33" s="138">
        <f t="shared" si="29"/>
        <v>0</v>
      </c>
      <c r="J33" s="138">
        <f t="shared" si="29"/>
        <v>-0.89006331000000005</v>
      </c>
      <c r="K33" s="138">
        <f t="shared" si="29"/>
        <v>-8.6349069999999917E-2</v>
      </c>
      <c r="L33" s="138">
        <f t="shared" si="29"/>
        <v>76.176901310000005</v>
      </c>
      <c r="M33" s="138">
        <f t="shared" si="29"/>
        <v>0.1053125</v>
      </c>
      <c r="N33" s="138">
        <f t="shared" si="29"/>
        <v>-14.193182370000001</v>
      </c>
      <c r="O33" s="138">
        <f t="shared" si="29"/>
        <v>0</v>
      </c>
      <c r="P33" s="138">
        <f t="shared" si="29"/>
        <v>15.16959475</v>
      </c>
      <c r="Q33" s="138">
        <f t="shared" si="29"/>
        <v>0</v>
      </c>
      <c r="R33" s="138">
        <f t="shared" si="29"/>
        <v>5.4836189999997599E-2</v>
      </c>
      <c r="S33" s="138">
        <f t="shared" si="29"/>
        <v>76.337050000000005</v>
      </c>
      <c r="T33" s="138">
        <f t="shared" si="29"/>
        <v>76.337050000000005</v>
      </c>
      <c r="U33" s="99"/>
      <c r="V33" s="138">
        <f t="shared" si="30"/>
        <v>0</v>
      </c>
      <c r="W33" s="138">
        <f t="shared" si="30"/>
        <v>0</v>
      </c>
      <c r="X33" s="138">
        <f t="shared" si="30"/>
        <v>0</v>
      </c>
      <c r="Y33" s="138">
        <f t="shared" si="30"/>
        <v>0</v>
      </c>
      <c r="Z33" s="138">
        <f t="shared" si="30"/>
        <v>0</v>
      </c>
      <c r="AA33" s="138">
        <f t="shared" si="30"/>
        <v>0</v>
      </c>
      <c r="AB33" s="138">
        <f t="shared" si="30"/>
        <v>0</v>
      </c>
      <c r="AC33" s="138">
        <f t="shared" si="30"/>
        <v>0</v>
      </c>
      <c r="AD33" s="138">
        <f t="shared" si="30"/>
        <v>0</v>
      </c>
      <c r="AE33" s="138">
        <f t="shared" si="30"/>
        <v>0</v>
      </c>
      <c r="AF33" s="138">
        <f t="shared" si="30"/>
        <v>0</v>
      </c>
      <c r="AG33" s="138">
        <f t="shared" si="30"/>
        <v>0</v>
      </c>
      <c r="AH33" s="138">
        <f t="shared" si="30"/>
        <v>0</v>
      </c>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435"/>
    </row>
    <row r="34" spans="3:64" s="326" customFormat="1" ht="15" customHeight="1">
      <c r="C34" s="327" t="str">
        <f>IF(Indice_index!$Z$1=1,"Despesa de capital","Capital expenditure")</f>
        <v>Capital expenditure</v>
      </c>
      <c r="D34" s="754"/>
      <c r="E34" s="754"/>
      <c r="F34" s="258"/>
      <c r="G34" s="754">
        <f t="shared" ref="G34:S34" si="31">+G35+G36+G39</f>
        <v>9.4805960000000002</v>
      </c>
      <c r="H34" s="754">
        <f t="shared" si="31"/>
        <v>9.4805960000000002</v>
      </c>
      <c r="I34" s="754">
        <f t="shared" si="31"/>
        <v>60.880595999999997</v>
      </c>
      <c r="J34" s="754">
        <f t="shared" si="31"/>
        <v>21.817246999999998</v>
      </c>
      <c r="K34" s="754">
        <f t="shared" si="31"/>
        <v>12.347923000000002</v>
      </c>
      <c r="L34" s="754">
        <f t="shared" si="31"/>
        <v>11.278878999999996</v>
      </c>
      <c r="M34" s="754">
        <f t="shared" si="31"/>
        <v>12.153590000000008</v>
      </c>
      <c r="N34" s="754">
        <f t="shared" si="31"/>
        <v>12.207551999999993</v>
      </c>
      <c r="O34" s="754">
        <f t="shared" si="31"/>
        <v>12.207552000000007</v>
      </c>
      <c r="P34" s="754">
        <f t="shared" si="31"/>
        <v>12.207551999999993</v>
      </c>
      <c r="Q34" s="754">
        <f t="shared" si="31"/>
        <v>12.207551999999993</v>
      </c>
      <c r="R34" s="754">
        <f t="shared" si="31"/>
        <v>1231.4854049999999</v>
      </c>
      <c r="S34" s="754">
        <f t="shared" si="31"/>
        <v>1417.7550399999998</v>
      </c>
      <c r="T34" s="754">
        <f t="shared" ref="T34" si="32">SUM(G34:R34)</f>
        <v>1417.75504</v>
      </c>
      <c r="U34" s="258"/>
      <c r="V34" s="754">
        <f t="shared" ref="V34:AG34" si="33">+V35+V36+V39</f>
        <v>13.88124</v>
      </c>
      <c r="W34" s="754">
        <f t="shared" si="33"/>
        <v>14.138688</v>
      </c>
      <c r="X34" s="754">
        <f t="shared" si="33"/>
        <v>13.929066999999996</v>
      </c>
      <c r="Y34" s="754">
        <f t="shared" si="33"/>
        <v>13.865551000000004</v>
      </c>
      <c r="Z34" s="754">
        <f t="shared" si="33"/>
        <v>13.901340999999995</v>
      </c>
      <c r="AA34" s="754">
        <f t="shared" si="33"/>
        <v>330.87818000000004</v>
      </c>
      <c r="AB34" s="754">
        <f t="shared" si="33"/>
        <v>13.865550999999996</v>
      </c>
      <c r="AC34" s="754">
        <f t="shared" si="33"/>
        <v>13.865550999999996</v>
      </c>
      <c r="AD34" s="754">
        <f t="shared" si="33"/>
        <v>66.643328999999994</v>
      </c>
      <c r="AE34" s="754">
        <f t="shared" si="33"/>
        <v>13.865551000000011</v>
      </c>
      <c r="AF34" s="754">
        <f t="shared" si="33"/>
        <v>35.642811999999978</v>
      </c>
      <c r="AG34" s="754">
        <f t="shared" si="33"/>
        <v>238.31769623999998</v>
      </c>
      <c r="AH34" s="754">
        <f>SUM(V34:AG34)</f>
        <v>782.7945572399999</v>
      </c>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436"/>
    </row>
    <row r="35" spans="3:64" s="182" customFormat="1" ht="15" customHeight="1">
      <c r="C35" s="755" t="str">
        <f>IF(Indice_index!$Z$1=1,"Investimento","Investments")</f>
        <v>Investments</v>
      </c>
      <c r="D35" s="138"/>
      <c r="E35" s="138" t="s">
        <v>40</v>
      </c>
      <c r="F35" s="99"/>
      <c r="G35" s="138">
        <f t="shared" ref="G35:T35" si="34">+SUMIF($E$56:$E$91,$E35,G$56:G$91)</f>
        <v>0</v>
      </c>
      <c r="H35" s="138">
        <f t="shared" si="34"/>
        <v>0</v>
      </c>
      <c r="I35" s="138">
        <f t="shared" si="34"/>
        <v>51.4</v>
      </c>
      <c r="J35" s="138">
        <f t="shared" si="34"/>
        <v>0</v>
      </c>
      <c r="K35" s="138">
        <f t="shared" si="34"/>
        <v>0</v>
      </c>
      <c r="L35" s="138">
        <f t="shared" si="34"/>
        <v>0</v>
      </c>
      <c r="M35" s="138">
        <f t="shared" si="34"/>
        <v>0</v>
      </c>
      <c r="N35" s="138">
        <f t="shared" si="34"/>
        <v>0</v>
      </c>
      <c r="O35" s="138">
        <f t="shared" si="34"/>
        <v>0</v>
      </c>
      <c r="P35" s="138">
        <f t="shared" si="34"/>
        <v>0</v>
      </c>
      <c r="Q35" s="138">
        <f t="shared" si="34"/>
        <v>0</v>
      </c>
      <c r="R35" s="138">
        <f t="shared" si="34"/>
        <v>-1.4</v>
      </c>
      <c r="S35" s="138">
        <f t="shared" si="34"/>
        <v>50</v>
      </c>
      <c r="T35" s="138">
        <f t="shared" si="34"/>
        <v>50</v>
      </c>
      <c r="U35" s="99"/>
      <c r="V35" s="138">
        <f t="shared" ref="V35:AH35" si="35">+SUMIF($E$56:$E$91,$E35,V$56:V$91)</f>
        <v>0</v>
      </c>
      <c r="W35" s="138">
        <f t="shared" si="35"/>
        <v>0</v>
      </c>
      <c r="X35" s="138">
        <f t="shared" si="35"/>
        <v>0</v>
      </c>
      <c r="Y35" s="138">
        <f t="shared" si="35"/>
        <v>0</v>
      </c>
      <c r="Z35" s="138">
        <f t="shared" si="35"/>
        <v>0</v>
      </c>
      <c r="AA35" s="138">
        <f t="shared" si="35"/>
        <v>0</v>
      </c>
      <c r="AB35" s="138">
        <f t="shared" si="35"/>
        <v>0</v>
      </c>
      <c r="AC35" s="138">
        <f t="shared" si="35"/>
        <v>0</v>
      </c>
      <c r="AD35" s="138">
        <f t="shared" si="35"/>
        <v>52.777777999999998</v>
      </c>
      <c r="AE35" s="138">
        <f t="shared" si="35"/>
        <v>0</v>
      </c>
      <c r="AF35" s="138">
        <f t="shared" si="35"/>
        <v>0</v>
      </c>
      <c r="AG35" s="138">
        <f t="shared" si="35"/>
        <v>0</v>
      </c>
      <c r="AH35" s="138">
        <f t="shared" si="35"/>
        <v>52.777777999999998</v>
      </c>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435"/>
    </row>
    <row r="36" spans="3:64" s="182" customFormat="1" ht="15" customHeight="1">
      <c r="C36" s="755" t="str">
        <f>IF(Indice_index!$Z$1=1,"Transferências de capital","Capital transfers")</f>
        <v>Capital transfers</v>
      </c>
      <c r="D36" s="138"/>
      <c r="E36" s="138" t="s">
        <v>41</v>
      </c>
      <c r="F36" s="99"/>
      <c r="G36" s="138">
        <f t="shared" ref="G36:T36" si="36">+G37+G38</f>
        <v>9.4805960000000002</v>
      </c>
      <c r="H36" s="138">
        <f t="shared" si="36"/>
        <v>9.4805960000000002</v>
      </c>
      <c r="I36" s="138">
        <f t="shared" si="36"/>
        <v>9.4805959999999985</v>
      </c>
      <c r="J36" s="138">
        <f t="shared" si="36"/>
        <v>21.817246999999998</v>
      </c>
      <c r="K36" s="138">
        <f t="shared" si="36"/>
        <v>12.347923000000002</v>
      </c>
      <c r="L36" s="138">
        <f t="shared" si="36"/>
        <v>11.278878999999996</v>
      </c>
      <c r="M36" s="138">
        <f t="shared" si="36"/>
        <v>12.153590000000008</v>
      </c>
      <c r="N36" s="138">
        <f t="shared" si="36"/>
        <v>12.207551999999993</v>
      </c>
      <c r="O36" s="138">
        <f t="shared" si="36"/>
        <v>12.207552000000007</v>
      </c>
      <c r="P36" s="138">
        <f t="shared" si="36"/>
        <v>12.207551999999993</v>
      </c>
      <c r="Q36" s="138">
        <f t="shared" si="36"/>
        <v>12.207551999999993</v>
      </c>
      <c r="R36" s="138">
        <f t="shared" si="36"/>
        <v>1232.885405</v>
      </c>
      <c r="S36" s="138">
        <f t="shared" si="36"/>
        <v>1367.7550399999998</v>
      </c>
      <c r="T36" s="138">
        <f t="shared" si="36"/>
        <v>1367.7550399999998</v>
      </c>
      <c r="U36" s="99"/>
      <c r="V36" s="138">
        <f t="shared" ref="V36:AH36" si="37">+V37+V38</f>
        <v>13.88124</v>
      </c>
      <c r="W36" s="138">
        <f t="shared" si="37"/>
        <v>14.138688</v>
      </c>
      <c r="X36" s="138">
        <f t="shared" si="37"/>
        <v>13.929066999999996</v>
      </c>
      <c r="Y36" s="138">
        <f t="shared" si="37"/>
        <v>13.865551000000004</v>
      </c>
      <c r="Z36" s="138">
        <f t="shared" si="37"/>
        <v>13.901340999999995</v>
      </c>
      <c r="AA36" s="138">
        <f t="shared" si="37"/>
        <v>330.87818000000004</v>
      </c>
      <c r="AB36" s="138">
        <f t="shared" si="37"/>
        <v>13.865550999999996</v>
      </c>
      <c r="AC36" s="138">
        <f t="shared" si="37"/>
        <v>13.865550999999996</v>
      </c>
      <c r="AD36" s="138">
        <f t="shared" si="37"/>
        <v>13.865550999999996</v>
      </c>
      <c r="AE36" s="138">
        <f t="shared" si="37"/>
        <v>13.865551000000011</v>
      </c>
      <c r="AF36" s="138">
        <f t="shared" si="37"/>
        <v>35.642811999999978</v>
      </c>
      <c r="AG36" s="138">
        <f t="shared" si="37"/>
        <v>238.31769623999998</v>
      </c>
      <c r="AH36" s="138">
        <f t="shared" si="37"/>
        <v>730.01677924000001</v>
      </c>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435"/>
    </row>
    <row r="37" spans="3:64" s="182" customFormat="1" ht="15" customHeight="1">
      <c r="C37" s="757" t="str">
        <f>IF(Indice_index!$Z$1=1,"Administrações Públicas","General Government subsectors")</f>
        <v>General Government subsectors</v>
      </c>
      <c r="D37" s="138"/>
      <c r="E37" s="138" t="s">
        <v>42</v>
      </c>
      <c r="F37" s="99"/>
      <c r="G37" s="138">
        <f t="shared" ref="G37:T39" si="38">+SUMIF($E$56:$E$91,$E37,G$56:G$91)</f>
        <v>9.4805960000000002</v>
      </c>
      <c r="H37" s="138">
        <f t="shared" si="38"/>
        <v>9.4805960000000002</v>
      </c>
      <c r="I37" s="138">
        <f t="shared" si="38"/>
        <v>9.4805959999999985</v>
      </c>
      <c r="J37" s="138">
        <f t="shared" si="38"/>
        <v>21.817246999999998</v>
      </c>
      <c r="K37" s="138">
        <f t="shared" si="38"/>
        <v>12.347923000000002</v>
      </c>
      <c r="L37" s="138">
        <f t="shared" si="38"/>
        <v>11.278878999999996</v>
      </c>
      <c r="M37" s="138">
        <f t="shared" si="38"/>
        <v>12.153590000000008</v>
      </c>
      <c r="N37" s="138">
        <f t="shared" si="38"/>
        <v>12.207551999999993</v>
      </c>
      <c r="O37" s="138">
        <f t="shared" si="38"/>
        <v>12.207552000000007</v>
      </c>
      <c r="P37" s="138">
        <f t="shared" si="38"/>
        <v>12.207551999999993</v>
      </c>
      <c r="Q37" s="138">
        <f t="shared" si="38"/>
        <v>12.207551999999993</v>
      </c>
      <c r="R37" s="138">
        <f t="shared" si="38"/>
        <v>12.003792999999973</v>
      </c>
      <c r="S37" s="138">
        <f t="shared" si="38"/>
        <v>146.87342799999996</v>
      </c>
      <c r="T37" s="138">
        <f t="shared" si="38"/>
        <v>146.87342799999996</v>
      </c>
      <c r="U37" s="99"/>
      <c r="V37" s="138">
        <f t="shared" ref="V37:AH39" si="39">+SUMIF($E$56:$E$91,$E37,V$56:V$91)</f>
        <v>13.88124</v>
      </c>
      <c r="W37" s="138">
        <f t="shared" si="39"/>
        <v>14.138688</v>
      </c>
      <c r="X37" s="138">
        <f t="shared" si="39"/>
        <v>13.929066999999996</v>
      </c>
      <c r="Y37" s="138">
        <f t="shared" si="39"/>
        <v>13.865551000000004</v>
      </c>
      <c r="Z37" s="138">
        <f t="shared" si="39"/>
        <v>13.901340999999995</v>
      </c>
      <c r="AA37" s="138">
        <f t="shared" si="39"/>
        <v>13.865551000000011</v>
      </c>
      <c r="AB37" s="138">
        <f t="shared" si="39"/>
        <v>13.865550999999996</v>
      </c>
      <c r="AC37" s="138">
        <f t="shared" si="39"/>
        <v>13.865550999999996</v>
      </c>
      <c r="AD37" s="138">
        <f t="shared" si="39"/>
        <v>13.865550999999996</v>
      </c>
      <c r="AE37" s="138">
        <f t="shared" si="39"/>
        <v>13.865551000000011</v>
      </c>
      <c r="AF37" s="138">
        <f t="shared" si="39"/>
        <v>13.865550999999982</v>
      </c>
      <c r="AG37" s="138">
        <f t="shared" si="39"/>
        <v>13.667325999999974</v>
      </c>
      <c r="AH37" s="138">
        <f t="shared" si="39"/>
        <v>166.57651899999996</v>
      </c>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435"/>
    </row>
    <row r="38" spans="3:64" s="182" customFormat="1" ht="15" customHeight="1">
      <c r="C38" s="757" t="str">
        <f>IF(Indice_index!$Z$1=1,"Outras","Others")</f>
        <v>Others</v>
      </c>
      <c r="D38" s="138"/>
      <c r="E38" s="138" t="s">
        <v>43</v>
      </c>
      <c r="F38" s="99"/>
      <c r="G38" s="138">
        <f t="shared" si="38"/>
        <v>0</v>
      </c>
      <c r="H38" s="138">
        <f t="shared" si="38"/>
        <v>0</v>
      </c>
      <c r="I38" s="138">
        <f t="shared" si="38"/>
        <v>0</v>
      </c>
      <c r="J38" s="138">
        <f t="shared" si="38"/>
        <v>0</v>
      </c>
      <c r="K38" s="138">
        <f t="shared" si="38"/>
        <v>0</v>
      </c>
      <c r="L38" s="138">
        <f t="shared" si="38"/>
        <v>0</v>
      </c>
      <c r="M38" s="138">
        <f t="shared" si="38"/>
        <v>0</v>
      </c>
      <c r="N38" s="138">
        <f t="shared" si="38"/>
        <v>0</v>
      </c>
      <c r="O38" s="138">
        <f t="shared" si="38"/>
        <v>0</v>
      </c>
      <c r="P38" s="138">
        <f t="shared" si="38"/>
        <v>0</v>
      </c>
      <c r="Q38" s="138">
        <f t="shared" si="38"/>
        <v>0</v>
      </c>
      <c r="R38" s="138">
        <f t="shared" si="38"/>
        <v>1220.8816119999999</v>
      </c>
      <c r="S38" s="138">
        <f t="shared" si="38"/>
        <v>1220.8816119999999</v>
      </c>
      <c r="T38" s="138">
        <f t="shared" si="38"/>
        <v>1220.8816119999999</v>
      </c>
      <c r="U38" s="99"/>
      <c r="V38" s="138">
        <f t="shared" si="39"/>
        <v>0</v>
      </c>
      <c r="W38" s="138">
        <f t="shared" si="39"/>
        <v>0</v>
      </c>
      <c r="X38" s="138">
        <f t="shared" si="39"/>
        <v>0</v>
      </c>
      <c r="Y38" s="138">
        <f t="shared" si="39"/>
        <v>0</v>
      </c>
      <c r="Z38" s="138">
        <f t="shared" si="39"/>
        <v>0</v>
      </c>
      <c r="AA38" s="138">
        <f t="shared" si="39"/>
        <v>317.012629</v>
      </c>
      <c r="AB38" s="138">
        <f t="shared" si="39"/>
        <v>0</v>
      </c>
      <c r="AC38" s="138">
        <f t="shared" si="39"/>
        <v>0</v>
      </c>
      <c r="AD38" s="138">
        <f t="shared" si="39"/>
        <v>0</v>
      </c>
      <c r="AE38" s="138">
        <f t="shared" si="39"/>
        <v>0</v>
      </c>
      <c r="AF38" s="138">
        <f t="shared" si="39"/>
        <v>21.777260999999999</v>
      </c>
      <c r="AG38" s="138">
        <f t="shared" si="39"/>
        <v>224.65037024</v>
      </c>
      <c r="AH38" s="138">
        <f t="shared" si="39"/>
        <v>563.44026024000004</v>
      </c>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435"/>
    </row>
    <row r="39" spans="3:64" s="182" customFormat="1" ht="15" customHeight="1">
      <c r="C39" s="755" t="str">
        <f>IF(Indice_index!$Z$1=1,"Outras despesas de capital","Other capital expenditure")</f>
        <v>Other capital expenditure</v>
      </c>
      <c r="D39" s="138"/>
      <c r="E39" s="138" t="s">
        <v>44</v>
      </c>
      <c r="F39" s="99"/>
      <c r="G39" s="138">
        <f t="shared" si="38"/>
        <v>0</v>
      </c>
      <c r="H39" s="138">
        <f t="shared" si="38"/>
        <v>0</v>
      </c>
      <c r="I39" s="138">
        <f t="shared" si="38"/>
        <v>0</v>
      </c>
      <c r="J39" s="138">
        <f t="shared" si="38"/>
        <v>0</v>
      </c>
      <c r="K39" s="138">
        <f t="shared" si="38"/>
        <v>0</v>
      </c>
      <c r="L39" s="138">
        <f t="shared" si="38"/>
        <v>0</v>
      </c>
      <c r="M39" s="138">
        <f t="shared" si="38"/>
        <v>0</v>
      </c>
      <c r="N39" s="138">
        <f t="shared" si="38"/>
        <v>0</v>
      </c>
      <c r="O39" s="138">
        <f t="shared" si="38"/>
        <v>0</v>
      </c>
      <c r="P39" s="138">
        <f t="shared" si="38"/>
        <v>0</v>
      </c>
      <c r="Q39" s="138">
        <f t="shared" si="38"/>
        <v>0</v>
      </c>
      <c r="R39" s="138">
        <f t="shared" si="38"/>
        <v>0</v>
      </c>
      <c r="S39" s="138">
        <f t="shared" si="38"/>
        <v>0</v>
      </c>
      <c r="T39" s="138">
        <f t="shared" si="38"/>
        <v>0</v>
      </c>
      <c r="U39" s="99"/>
      <c r="V39" s="138">
        <f t="shared" si="39"/>
        <v>0</v>
      </c>
      <c r="W39" s="138">
        <f t="shared" si="39"/>
        <v>0</v>
      </c>
      <c r="X39" s="138">
        <f t="shared" si="39"/>
        <v>0</v>
      </c>
      <c r="Y39" s="138">
        <f t="shared" si="39"/>
        <v>0</v>
      </c>
      <c r="Z39" s="138">
        <f t="shared" si="39"/>
        <v>0</v>
      </c>
      <c r="AA39" s="138">
        <f t="shared" si="39"/>
        <v>0</v>
      </c>
      <c r="AB39" s="138">
        <f t="shared" si="39"/>
        <v>0</v>
      </c>
      <c r="AC39" s="138">
        <f t="shared" si="39"/>
        <v>0</v>
      </c>
      <c r="AD39" s="138">
        <f t="shared" si="39"/>
        <v>0</v>
      </c>
      <c r="AE39" s="138">
        <f t="shared" si="39"/>
        <v>0</v>
      </c>
      <c r="AF39" s="138">
        <f t="shared" si="39"/>
        <v>0</v>
      </c>
      <c r="AG39" s="138">
        <f t="shared" si="39"/>
        <v>0</v>
      </c>
      <c r="AH39" s="138">
        <f t="shared" si="39"/>
        <v>0</v>
      </c>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435"/>
    </row>
    <row r="40" spans="3:64" s="182" customFormat="1" ht="4.5" customHeight="1">
      <c r="C40" s="758"/>
      <c r="D40" s="138"/>
      <c r="E40" s="138"/>
      <c r="F40" s="99"/>
      <c r="G40" s="138"/>
      <c r="H40" s="138"/>
      <c r="I40" s="138"/>
      <c r="J40" s="138"/>
      <c r="K40" s="138"/>
      <c r="L40" s="138"/>
      <c r="M40" s="138"/>
      <c r="N40" s="138"/>
      <c r="O40" s="138"/>
      <c r="P40" s="138"/>
      <c r="Q40" s="138"/>
      <c r="R40" s="138"/>
      <c r="S40" s="138"/>
      <c r="T40" s="138"/>
      <c r="U40" s="99"/>
      <c r="V40" s="138"/>
      <c r="W40" s="138"/>
      <c r="X40" s="138"/>
      <c r="Y40" s="138"/>
      <c r="Z40" s="138"/>
      <c r="AA40" s="138"/>
      <c r="AB40" s="138"/>
      <c r="AC40" s="138"/>
      <c r="AD40" s="138"/>
      <c r="AE40" s="138"/>
      <c r="AF40" s="138"/>
      <c r="AG40" s="138"/>
      <c r="AH40" s="138"/>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435"/>
    </row>
    <row r="41" spans="3:64" s="327" customFormat="1" ht="15" customHeight="1">
      <c r="C41" s="759" t="str">
        <f>IF(Indice_index!$Z$1=1,"Despesa efetiva","Effective Expenditure")</f>
        <v>Effective Expenditure</v>
      </c>
      <c r="D41" s="760"/>
      <c r="E41" s="761"/>
      <c r="F41" s="258"/>
      <c r="G41" s="760">
        <f t="shared" ref="G41:T41" si="40">+G25+G34</f>
        <v>90.124539180000014</v>
      </c>
      <c r="H41" s="761">
        <f t="shared" si="40"/>
        <v>-7.3485767199999987</v>
      </c>
      <c r="I41" s="761">
        <f t="shared" si="40"/>
        <v>324.51963849999993</v>
      </c>
      <c r="J41" s="761">
        <f t="shared" si="40"/>
        <v>65.716858400000035</v>
      </c>
      <c r="K41" s="761">
        <f t="shared" si="40"/>
        <v>22.404334500000001</v>
      </c>
      <c r="L41" s="761">
        <f t="shared" si="40"/>
        <v>93.82738243999998</v>
      </c>
      <c r="M41" s="761">
        <f t="shared" si="40"/>
        <v>21.737772070000005</v>
      </c>
      <c r="N41" s="761">
        <f t="shared" si="40"/>
        <v>12.875215919999979</v>
      </c>
      <c r="O41" s="761">
        <f t="shared" si="40"/>
        <v>12.170206370000011</v>
      </c>
      <c r="P41" s="761">
        <f t="shared" si="40"/>
        <v>76.666926400000008</v>
      </c>
      <c r="Q41" s="761">
        <f t="shared" si="40"/>
        <v>17.187068849999989</v>
      </c>
      <c r="R41" s="761">
        <f t="shared" si="40"/>
        <v>1702.6805351499997</v>
      </c>
      <c r="S41" s="761">
        <f t="shared" si="40"/>
        <v>2432.5619010599994</v>
      </c>
      <c r="T41" s="760">
        <f t="shared" si="40"/>
        <v>2432.5619010599999</v>
      </c>
      <c r="U41" s="258"/>
      <c r="V41" s="760">
        <f t="shared" ref="V41:AH41" si="41">+V25+V34</f>
        <v>24.507149999999999</v>
      </c>
      <c r="W41" s="761">
        <f t="shared" si="41"/>
        <v>18.98188957</v>
      </c>
      <c r="X41" s="761">
        <f t="shared" si="41"/>
        <v>18.688355909999999</v>
      </c>
      <c r="Y41" s="761">
        <f t="shared" si="41"/>
        <v>24.489409000000002</v>
      </c>
      <c r="Z41" s="761">
        <f t="shared" si="41"/>
        <v>18.656706289999992</v>
      </c>
      <c r="AA41" s="761">
        <f t="shared" si="41"/>
        <v>335.62642400000004</v>
      </c>
      <c r="AB41" s="761">
        <f t="shared" si="41"/>
        <v>-250.37881367</v>
      </c>
      <c r="AC41" s="761">
        <f t="shared" si="41"/>
        <v>352.96129081999993</v>
      </c>
      <c r="AD41" s="761">
        <f t="shared" si="41"/>
        <v>80.897443439999989</v>
      </c>
      <c r="AE41" s="761">
        <f t="shared" si="41"/>
        <v>24.194747590000041</v>
      </c>
      <c r="AF41" s="761">
        <f t="shared" si="41"/>
        <v>40.090043090000009</v>
      </c>
      <c r="AG41" s="761">
        <f t="shared" si="41"/>
        <v>813.92042805999927</v>
      </c>
      <c r="AH41" s="760">
        <f t="shared" si="41"/>
        <v>1502.6350740999992</v>
      </c>
      <c r="AJ41" s="328"/>
      <c r="AK41" s="328"/>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436"/>
    </row>
    <row r="42" spans="3:64" ht="5.45" customHeight="1">
      <c r="D42" s="65"/>
      <c r="E42" s="65"/>
      <c r="G42" s="65"/>
      <c r="H42" s="65"/>
      <c r="I42" s="65"/>
      <c r="J42" s="65"/>
      <c r="K42" s="65"/>
      <c r="L42" s="65"/>
      <c r="M42" s="65"/>
      <c r="N42" s="65"/>
      <c r="O42" s="65"/>
      <c r="P42" s="65"/>
      <c r="Q42" s="65"/>
      <c r="R42" s="65"/>
      <c r="S42" s="65"/>
      <c r="T42" s="65"/>
      <c r="V42" s="65"/>
      <c r="W42" s="65"/>
      <c r="X42" s="65"/>
      <c r="Y42" s="65"/>
      <c r="Z42" s="65"/>
      <c r="AA42" s="65"/>
      <c r="AB42" s="65"/>
      <c r="AC42" s="65"/>
      <c r="AD42" s="65"/>
      <c r="AE42" s="65"/>
      <c r="AF42" s="65"/>
      <c r="AG42" s="65"/>
      <c r="AH42" s="65"/>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row>
    <row r="43" spans="3:64" s="329" customFormat="1" ht="15" customHeight="1">
      <c r="C43" s="759" t="str">
        <f>IF(Indice_index!$Z$1=1,"Impacto no Saldo global","Impact in Overall balance")</f>
        <v>Impact in Overall balance</v>
      </c>
      <c r="D43" s="760"/>
      <c r="E43" s="760"/>
      <c r="F43" s="258"/>
      <c r="G43" s="760">
        <f t="shared" ref="G43:T43" si="42">+G23-G41</f>
        <v>296.15309027000001</v>
      </c>
      <c r="H43" s="760">
        <f t="shared" si="42"/>
        <v>-19.564484870000001</v>
      </c>
      <c r="I43" s="760">
        <f t="shared" si="42"/>
        <v>-381.87202045999993</v>
      </c>
      <c r="J43" s="760">
        <f t="shared" si="42"/>
        <v>691.60857316999977</v>
      </c>
      <c r="K43" s="760">
        <f t="shared" si="42"/>
        <v>8.340732789999997</v>
      </c>
      <c r="L43" s="760">
        <f t="shared" si="42"/>
        <v>-37.377897389999987</v>
      </c>
      <c r="M43" s="760">
        <f t="shared" si="42"/>
        <v>-3.6027466500000038</v>
      </c>
      <c r="N43" s="760">
        <f t="shared" si="42"/>
        <v>4.5868120600000228</v>
      </c>
      <c r="O43" s="760">
        <f t="shared" si="42"/>
        <v>11.373800559999991</v>
      </c>
      <c r="P43" s="760">
        <f t="shared" si="42"/>
        <v>182.04835396999999</v>
      </c>
      <c r="Q43" s="760">
        <f t="shared" si="42"/>
        <v>60.209703700000006</v>
      </c>
      <c r="R43" s="760">
        <f t="shared" si="42"/>
        <v>-1680.4948531799998</v>
      </c>
      <c r="S43" s="760">
        <f t="shared" si="42"/>
        <v>-868.59093602999928</v>
      </c>
      <c r="T43" s="760">
        <f t="shared" si="42"/>
        <v>-868.59093603000019</v>
      </c>
      <c r="U43" s="258"/>
      <c r="V43" s="760">
        <f t="shared" ref="V43:AH43" si="43">+V23-V41</f>
        <v>34.222572030000009</v>
      </c>
      <c r="W43" s="760">
        <f t="shared" si="43"/>
        <v>57.173587390000002</v>
      </c>
      <c r="X43" s="760">
        <f t="shared" si="43"/>
        <v>22.697984139999996</v>
      </c>
      <c r="Y43" s="760">
        <f t="shared" si="43"/>
        <v>45.292491579999982</v>
      </c>
      <c r="Z43" s="760">
        <f t="shared" si="43"/>
        <v>342.55166764000006</v>
      </c>
      <c r="AA43" s="760">
        <f t="shared" si="43"/>
        <v>-245.98404502000005</v>
      </c>
      <c r="AB43" s="760">
        <f t="shared" si="43"/>
        <v>272.81769002999999</v>
      </c>
      <c r="AC43" s="760">
        <f t="shared" si="43"/>
        <v>-336.80154210999996</v>
      </c>
      <c r="AD43" s="760">
        <f t="shared" si="43"/>
        <v>-58.460236379999984</v>
      </c>
      <c r="AE43" s="760">
        <f t="shared" si="43"/>
        <v>51.00233199999996</v>
      </c>
      <c r="AF43" s="760">
        <f t="shared" si="43"/>
        <v>611.21825148000005</v>
      </c>
      <c r="AG43" s="760">
        <f t="shared" si="43"/>
        <v>-377.30051806999927</v>
      </c>
      <c r="AH43" s="760">
        <f t="shared" si="43"/>
        <v>418.43023471000083</v>
      </c>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436"/>
    </row>
    <row r="44" spans="3:64" ht="4.5" customHeight="1">
      <c r="C44" s="1364"/>
      <c r="D44" s="1365"/>
      <c r="E44" s="1365"/>
      <c r="G44" s="1365"/>
      <c r="H44" s="1365"/>
      <c r="I44" s="1365"/>
      <c r="J44" s="1365"/>
      <c r="K44" s="1365"/>
      <c r="L44" s="1365"/>
      <c r="M44" s="1365"/>
      <c r="N44" s="1365"/>
      <c r="O44" s="1365"/>
      <c r="P44" s="1365"/>
      <c r="Q44" s="1365"/>
      <c r="R44" s="1365"/>
      <c r="S44" s="1365"/>
      <c r="T44" s="1365"/>
      <c r="V44" s="1365"/>
      <c r="W44" s="1365"/>
      <c r="X44" s="1365"/>
      <c r="Y44" s="1365"/>
      <c r="Z44" s="1365"/>
      <c r="AA44" s="1365"/>
      <c r="AB44" s="1365"/>
      <c r="AC44" s="1365"/>
      <c r="AD44" s="1365"/>
      <c r="AE44" s="1365"/>
      <c r="AF44" s="1365"/>
      <c r="AG44" s="1365"/>
      <c r="AH44" s="1365"/>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row>
    <row r="45" spans="3:64" ht="15" customHeight="1">
      <c r="C45" s="1366" t="str">
        <f>IF(Indice_index!$Z$1=1,"   Por memória:","   Memo item:")</f>
        <v xml:space="preserve">   Memo item:</v>
      </c>
      <c r="D45" s="65"/>
      <c r="E45" s="65"/>
      <c r="G45" s="65"/>
      <c r="H45" s="65"/>
      <c r="I45" s="65"/>
      <c r="J45" s="65"/>
      <c r="K45" s="65"/>
      <c r="L45" s="65"/>
      <c r="M45" s="65"/>
      <c r="N45" s="65"/>
      <c r="O45" s="65"/>
      <c r="P45" s="65"/>
      <c r="Q45" s="65"/>
      <c r="R45" s="65"/>
      <c r="S45" s="65"/>
      <c r="T45" s="65"/>
      <c r="V45" s="65"/>
      <c r="W45" s="65"/>
      <c r="X45" s="65"/>
      <c r="Y45" s="65"/>
      <c r="Z45" s="65"/>
      <c r="AA45" s="65"/>
      <c r="AB45" s="65"/>
      <c r="AC45" s="65"/>
      <c r="AD45" s="65"/>
      <c r="AE45" s="65"/>
      <c r="AF45" s="65"/>
      <c r="AG45" s="65"/>
      <c r="AH45" s="65"/>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row>
    <row r="46" spans="3:64" s="182" customFormat="1" ht="15" customHeight="1">
      <c r="C46" s="757" t="str">
        <f>IF(Indice_index!$Z$1=1,"Saldo corrente","Current balance")</f>
        <v>Current balance</v>
      </c>
      <c r="D46" s="138"/>
      <c r="E46" s="138"/>
      <c r="F46" s="99"/>
      <c r="G46" s="138">
        <f t="shared" ref="G46:T46" si="44">+G8-G25</f>
        <v>285.63368627</v>
      </c>
      <c r="H46" s="138">
        <f t="shared" si="44"/>
        <v>-50.449984869999994</v>
      </c>
      <c r="I46" s="138">
        <f t="shared" si="44"/>
        <v>-320.99142445999996</v>
      </c>
      <c r="J46" s="138">
        <f t="shared" si="44"/>
        <v>713.42582016999984</v>
      </c>
      <c r="K46" s="138">
        <f t="shared" si="44"/>
        <v>20.688655789999999</v>
      </c>
      <c r="L46" s="138">
        <f t="shared" si="44"/>
        <v>-26.099018389999998</v>
      </c>
      <c r="M46" s="138">
        <f t="shared" si="44"/>
        <v>8.5508433500000045</v>
      </c>
      <c r="N46" s="138">
        <f t="shared" si="44"/>
        <v>16.794364060000014</v>
      </c>
      <c r="O46" s="138">
        <f t="shared" si="44"/>
        <v>15.783525559999996</v>
      </c>
      <c r="P46" s="138">
        <f t="shared" si="44"/>
        <v>194.25590597000001</v>
      </c>
      <c r="Q46" s="138">
        <f t="shared" si="44"/>
        <v>72.417255699999998</v>
      </c>
      <c r="R46" s="138">
        <f t="shared" si="44"/>
        <v>-449.00944817999982</v>
      </c>
      <c r="S46" s="138">
        <f t="shared" si="44"/>
        <v>481.0001809700002</v>
      </c>
      <c r="T46" s="138">
        <f t="shared" si="44"/>
        <v>481.00018096999975</v>
      </c>
      <c r="U46" s="99"/>
      <c r="V46" s="138">
        <f t="shared" ref="V46:AH46" si="45">+V8-V25</f>
        <v>48.103812030000007</v>
      </c>
      <c r="W46" s="138">
        <f t="shared" si="45"/>
        <v>44.47619839</v>
      </c>
      <c r="X46" s="138">
        <f t="shared" si="45"/>
        <v>36.627051139999992</v>
      </c>
      <c r="Y46" s="138">
        <f t="shared" si="45"/>
        <v>59.158042579999986</v>
      </c>
      <c r="Z46" s="138">
        <f t="shared" si="45"/>
        <v>356.45300864000006</v>
      </c>
      <c r="AA46" s="138">
        <f t="shared" si="45"/>
        <v>84.894134980000004</v>
      </c>
      <c r="AB46" s="138">
        <f t="shared" si="45"/>
        <v>286.68324102999998</v>
      </c>
      <c r="AC46" s="138">
        <f t="shared" si="45"/>
        <v>-322.93599110999997</v>
      </c>
      <c r="AD46" s="138">
        <f t="shared" si="45"/>
        <v>8.1830926200000036</v>
      </c>
      <c r="AE46" s="138">
        <f t="shared" si="45"/>
        <v>64.867882999999964</v>
      </c>
      <c r="AF46" s="138">
        <f t="shared" si="45"/>
        <v>646.86106347999998</v>
      </c>
      <c r="AG46" s="138">
        <f t="shared" si="45"/>
        <v>-138.98282182999935</v>
      </c>
      <c r="AH46" s="138">
        <f t="shared" si="45"/>
        <v>1174.3887149500008</v>
      </c>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435"/>
    </row>
    <row r="47" spans="3:64" s="182" customFormat="1" ht="15" customHeight="1">
      <c r="C47" s="757" t="str">
        <f>IF(Indice_index!$Z$1=1,"Saldo de capital","Capital balance")</f>
        <v>Capital balance</v>
      </c>
      <c r="D47" s="138"/>
      <c r="E47" s="138"/>
      <c r="F47" s="99"/>
      <c r="G47" s="138">
        <f t="shared" ref="G47:T47" si="46">+G16-G34</f>
        <v>10.519404</v>
      </c>
      <c r="H47" s="138">
        <f t="shared" si="46"/>
        <v>30.8855</v>
      </c>
      <c r="I47" s="138">
        <f t="shared" si="46"/>
        <v>-60.880595999999997</v>
      </c>
      <c r="J47" s="138">
        <f t="shared" si="46"/>
        <v>-21.817246999999998</v>
      </c>
      <c r="K47" s="138">
        <f t="shared" si="46"/>
        <v>-12.347923000000002</v>
      </c>
      <c r="L47" s="138">
        <f t="shared" si="46"/>
        <v>-11.278878999999996</v>
      </c>
      <c r="M47" s="138">
        <f t="shared" si="46"/>
        <v>-12.153590000000008</v>
      </c>
      <c r="N47" s="138">
        <f t="shared" si="46"/>
        <v>-12.207551999999993</v>
      </c>
      <c r="O47" s="138">
        <f t="shared" si="46"/>
        <v>-4.409725000000007</v>
      </c>
      <c r="P47" s="138">
        <f t="shared" si="46"/>
        <v>-12.207551999999993</v>
      </c>
      <c r="Q47" s="138">
        <f t="shared" si="46"/>
        <v>-12.207551999999993</v>
      </c>
      <c r="R47" s="138">
        <f t="shared" si="46"/>
        <v>-1231.4854049999999</v>
      </c>
      <c r="S47" s="138">
        <f t="shared" si="46"/>
        <v>-1349.5911169999997</v>
      </c>
      <c r="T47" s="138">
        <f t="shared" si="46"/>
        <v>-1349.5911169999999</v>
      </c>
      <c r="U47" s="99"/>
      <c r="V47" s="138">
        <f t="shared" ref="V47:AH47" si="47">+V16-V34</f>
        <v>-13.88124</v>
      </c>
      <c r="W47" s="138">
        <f t="shared" si="47"/>
        <v>12.697388999999999</v>
      </c>
      <c r="X47" s="138">
        <f t="shared" si="47"/>
        <v>-13.929066999999996</v>
      </c>
      <c r="Y47" s="138">
        <f t="shared" si="47"/>
        <v>-13.865551000000004</v>
      </c>
      <c r="Z47" s="138">
        <f t="shared" si="47"/>
        <v>-13.901340999999995</v>
      </c>
      <c r="AA47" s="138">
        <f t="shared" si="47"/>
        <v>-330.87818000000004</v>
      </c>
      <c r="AB47" s="138">
        <f t="shared" si="47"/>
        <v>-13.865550999999996</v>
      </c>
      <c r="AC47" s="138">
        <f t="shared" si="47"/>
        <v>-13.865550999999996</v>
      </c>
      <c r="AD47" s="138">
        <f t="shared" si="47"/>
        <v>-66.643328999999994</v>
      </c>
      <c r="AE47" s="138">
        <f t="shared" si="47"/>
        <v>-13.865551000000011</v>
      </c>
      <c r="AF47" s="138">
        <f t="shared" si="47"/>
        <v>-35.642811999999978</v>
      </c>
      <c r="AG47" s="138">
        <f t="shared" si="47"/>
        <v>-238.31769623999998</v>
      </c>
      <c r="AH47" s="138">
        <f t="shared" si="47"/>
        <v>-755.95848023999986</v>
      </c>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435"/>
    </row>
    <row r="48" spans="3:64" ht="15" customHeight="1">
      <c r="C48" s="757" t="str">
        <f>IF(Indice_index!$Z$1=1,"Saldo primário","Primary balance")</f>
        <v>Primary balance</v>
      </c>
      <c r="D48" s="138"/>
      <c r="E48" s="138"/>
      <c r="G48" s="138">
        <f>+G43+G28</f>
        <v>296.15309027000001</v>
      </c>
      <c r="H48" s="138">
        <f t="shared" ref="H48:T48" si="48">+H43+H28</f>
        <v>-19.564484870000001</v>
      </c>
      <c r="I48" s="138">
        <f t="shared" si="48"/>
        <v>-381.87202045999993</v>
      </c>
      <c r="J48" s="138">
        <f t="shared" si="48"/>
        <v>691.60857316999977</v>
      </c>
      <c r="K48" s="138">
        <f t="shared" si="48"/>
        <v>8.340732789999997</v>
      </c>
      <c r="L48" s="138">
        <f t="shared" si="48"/>
        <v>-37.377897389999987</v>
      </c>
      <c r="M48" s="138">
        <f t="shared" si="48"/>
        <v>-3.6027466500000038</v>
      </c>
      <c r="N48" s="138">
        <f t="shared" si="48"/>
        <v>4.5868120600000228</v>
      </c>
      <c r="O48" s="138">
        <f t="shared" si="48"/>
        <v>11.373800559999991</v>
      </c>
      <c r="P48" s="138">
        <f t="shared" si="48"/>
        <v>182.04835396999999</v>
      </c>
      <c r="Q48" s="138">
        <f t="shared" si="48"/>
        <v>60.209703700000006</v>
      </c>
      <c r="R48" s="138">
        <f t="shared" si="48"/>
        <v>-1680.4948531799998</v>
      </c>
      <c r="S48" s="138">
        <f t="shared" si="48"/>
        <v>-868.59093602999928</v>
      </c>
      <c r="T48" s="138">
        <f t="shared" si="48"/>
        <v>-868.59093603000019</v>
      </c>
      <c r="V48" s="138">
        <f>+V43+V28</f>
        <v>34.222572030000009</v>
      </c>
      <c r="W48" s="138">
        <f t="shared" ref="W48:AH48" si="49">+W43+W28</f>
        <v>57.173587390000002</v>
      </c>
      <c r="X48" s="138">
        <f t="shared" si="49"/>
        <v>22.697984139999996</v>
      </c>
      <c r="Y48" s="138">
        <f t="shared" si="49"/>
        <v>45.292491579999982</v>
      </c>
      <c r="Z48" s="138">
        <f t="shared" si="49"/>
        <v>342.55166764000006</v>
      </c>
      <c r="AA48" s="138">
        <f t="shared" si="49"/>
        <v>-245.98404502000005</v>
      </c>
      <c r="AB48" s="138">
        <f t="shared" si="49"/>
        <v>-13.834944510000014</v>
      </c>
      <c r="AC48" s="138">
        <f t="shared" si="49"/>
        <v>-336.80154210999996</v>
      </c>
      <c r="AD48" s="138">
        <f t="shared" si="49"/>
        <v>-58.460236379999984</v>
      </c>
      <c r="AE48" s="138">
        <f t="shared" si="49"/>
        <v>51.00233199999996</v>
      </c>
      <c r="AF48" s="138">
        <f t="shared" si="49"/>
        <v>611.21825148000005</v>
      </c>
      <c r="AG48" s="138">
        <f t="shared" si="49"/>
        <v>-377.30051806999927</v>
      </c>
      <c r="AH48" s="138">
        <f t="shared" si="49"/>
        <v>131.77760017000082</v>
      </c>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row>
    <row r="49" spans="2:64" ht="15" customHeight="1">
      <c r="C49" s="1367" t="str">
        <f>IF(Indice_index!$Z$1=1,"Despesa  primária","Primary Expenditure")</f>
        <v>Primary Expenditure</v>
      </c>
      <c r="D49" s="928"/>
      <c r="E49" s="1368"/>
      <c r="G49" s="928">
        <f t="shared" ref="G49:T49" si="50">+G41-G28</f>
        <v>90.124539180000014</v>
      </c>
      <c r="H49" s="1368">
        <f t="shared" si="50"/>
        <v>-7.3485767199999987</v>
      </c>
      <c r="I49" s="1368">
        <f t="shared" si="50"/>
        <v>324.51963849999993</v>
      </c>
      <c r="J49" s="1368">
        <f t="shared" si="50"/>
        <v>65.716858400000035</v>
      </c>
      <c r="K49" s="1368">
        <f t="shared" si="50"/>
        <v>22.404334500000001</v>
      </c>
      <c r="L49" s="1368">
        <f t="shared" si="50"/>
        <v>93.82738243999998</v>
      </c>
      <c r="M49" s="1368">
        <f t="shared" si="50"/>
        <v>21.737772070000005</v>
      </c>
      <c r="N49" s="1368">
        <f t="shared" si="50"/>
        <v>12.875215919999979</v>
      </c>
      <c r="O49" s="1368">
        <f t="shared" si="50"/>
        <v>12.170206370000011</v>
      </c>
      <c r="P49" s="1368">
        <f t="shared" si="50"/>
        <v>76.666926400000008</v>
      </c>
      <c r="Q49" s="1368">
        <f t="shared" si="50"/>
        <v>17.187068849999989</v>
      </c>
      <c r="R49" s="1368">
        <f t="shared" si="50"/>
        <v>1702.6805351499997</v>
      </c>
      <c r="S49" s="1368">
        <f t="shared" si="50"/>
        <v>2432.5619010599994</v>
      </c>
      <c r="T49" s="928">
        <f t="shared" si="50"/>
        <v>2432.5619010599999</v>
      </c>
      <c r="V49" s="928">
        <f t="shared" ref="V49:AG49" si="51">+V41-V28</f>
        <v>24.507149999999999</v>
      </c>
      <c r="W49" s="1368">
        <f t="shared" si="51"/>
        <v>18.98188957</v>
      </c>
      <c r="X49" s="1368">
        <f t="shared" si="51"/>
        <v>18.688355909999999</v>
      </c>
      <c r="Y49" s="1368">
        <f t="shared" si="51"/>
        <v>24.489409000000002</v>
      </c>
      <c r="Z49" s="1368">
        <f t="shared" si="51"/>
        <v>18.656706289999992</v>
      </c>
      <c r="AA49" s="1368">
        <f t="shared" si="51"/>
        <v>335.62642400000004</v>
      </c>
      <c r="AB49" s="1368">
        <f t="shared" si="51"/>
        <v>36.273820870000009</v>
      </c>
      <c r="AC49" s="1368">
        <f t="shared" si="51"/>
        <v>352.96129081999993</v>
      </c>
      <c r="AD49" s="1368">
        <f t="shared" si="51"/>
        <v>80.897443439999989</v>
      </c>
      <c r="AE49" s="1368">
        <f t="shared" si="51"/>
        <v>24.194747590000041</v>
      </c>
      <c r="AF49" s="1368">
        <f t="shared" si="51"/>
        <v>40.090043090000009</v>
      </c>
      <c r="AG49" s="1368">
        <f t="shared" si="51"/>
        <v>813.92042805999927</v>
      </c>
      <c r="AH49" s="928">
        <f>+AH41-AH28</f>
        <v>1789.2877086399992</v>
      </c>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row>
    <row r="50" spans="2:64" ht="15" customHeight="1">
      <c r="G50" s="99"/>
      <c r="H50" s="99"/>
      <c r="I50" s="99"/>
      <c r="J50" s="99"/>
      <c r="K50" s="99"/>
      <c r="L50" s="99"/>
      <c r="M50" s="99"/>
      <c r="N50" s="99"/>
      <c r="O50" s="99"/>
      <c r="P50" s="99"/>
      <c r="Q50" s="99"/>
      <c r="R50" s="99"/>
      <c r="S50" s="99"/>
      <c r="T50" s="99"/>
      <c r="V50" s="99"/>
      <c r="W50" s="99"/>
      <c r="X50" s="99"/>
      <c r="Y50" s="99"/>
      <c r="Z50" s="99"/>
      <c r="AA50" s="99"/>
      <c r="AB50" s="99"/>
      <c r="AC50" s="99"/>
      <c r="AD50" s="99"/>
      <c r="AE50" s="99"/>
      <c r="AF50" s="99"/>
      <c r="AG50" s="99"/>
      <c r="AH50" s="99"/>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c r="BI50" s="242"/>
    </row>
    <row r="51" spans="2:64" ht="6" customHeight="1">
      <c r="G51" s="99"/>
      <c r="H51" s="99"/>
      <c r="I51" s="99"/>
      <c r="J51" s="99"/>
      <c r="K51" s="99"/>
      <c r="L51" s="99"/>
      <c r="M51" s="99"/>
      <c r="N51" s="99"/>
      <c r="O51" s="99"/>
      <c r="P51" s="99"/>
      <c r="Q51" s="99"/>
      <c r="R51" s="99"/>
      <c r="S51" s="99"/>
      <c r="T51" s="99"/>
      <c r="V51" s="99"/>
      <c r="W51" s="99"/>
      <c r="X51" s="99"/>
      <c r="Y51" s="99"/>
      <c r="Z51" s="99"/>
      <c r="AA51" s="99"/>
      <c r="AB51" s="99"/>
      <c r="AC51" s="99"/>
      <c r="AD51" s="99"/>
      <c r="AE51" s="99"/>
      <c r="AF51" s="99"/>
      <c r="AG51" s="99"/>
      <c r="AH51" s="99"/>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row>
    <row r="52" spans="2:64" s="378" customFormat="1" ht="15.6" customHeight="1">
      <c r="B52" s="377"/>
      <c r="C52" s="1369"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1370"/>
      <c r="E52" s="1371"/>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436"/>
    </row>
    <row r="53" spans="2:64" s="183" customFormat="1" ht="22.5" customHeight="1">
      <c r="B53" s="180"/>
      <c r="C53" s="1361"/>
      <c r="D53" s="1362"/>
      <c r="E53" s="1372"/>
      <c r="F53" s="99"/>
      <c r="G53" s="1672" t="str">
        <f>IF(Indice_index!$Z$1=1,"2020 - mensal e acumulado","2020 - monthly and cumulative")</f>
        <v>2020 - monthly and cumulative</v>
      </c>
      <c r="H53" s="1672" t="s">
        <v>20</v>
      </c>
      <c r="I53" s="1672" t="s">
        <v>20</v>
      </c>
      <c r="J53" s="1672" t="s">
        <v>20</v>
      </c>
      <c r="K53" s="1672" t="s">
        <v>20</v>
      </c>
      <c r="L53" s="1672" t="s">
        <v>20</v>
      </c>
      <c r="M53" s="1672" t="s">
        <v>20</v>
      </c>
      <c r="N53" s="1672" t="s">
        <v>20</v>
      </c>
      <c r="O53" s="1672" t="s">
        <v>20</v>
      </c>
      <c r="P53" s="1672" t="s">
        <v>20</v>
      </c>
      <c r="Q53" s="1672" t="s">
        <v>20</v>
      </c>
      <c r="R53" s="1672" t="s">
        <v>20</v>
      </c>
      <c r="S53" s="1672"/>
      <c r="T53" s="1672" t="s">
        <v>20</v>
      </c>
      <c r="U53" s="99"/>
      <c r="V53" s="1672" t="str">
        <f>IF(Indice_index!$Z$1=1,"2021 - mensal e acumulado","2021 - monthly and cumulative")</f>
        <v>2021 - monthly and cumulative</v>
      </c>
      <c r="W53" s="1672" t="s">
        <v>20</v>
      </c>
      <c r="X53" s="1672" t="s">
        <v>20</v>
      </c>
      <c r="Y53" s="1672" t="s">
        <v>20</v>
      </c>
      <c r="Z53" s="1672" t="s">
        <v>20</v>
      </c>
      <c r="AA53" s="1672" t="s">
        <v>20</v>
      </c>
      <c r="AB53" s="1672" t="s">
        <v>20</v>
      </c>
      <c r="AC53" s="1672" t="s">
        <v>20</v>
      </c>
      <c r="AD53" s="1672" t="s">
        <v>20</v>
      </c>
      <c r="AE53" s="1672" t="s">
        <v>20</v>
      </c>
      <c r="AF53" s="1672" t="s">
        <v>20</v>
      </c>
      <c r="AG53" s="1672" t="s">
        <v>20</v>
      </c>
      <c r="AH53" s="1672" t="s">
        <v>20</v>
      </c>
      <c r="AJ53" s="243"/>
      <c r="AK53" s="243"/>
      <c r="AL53" s="243"/>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39"/>
      <c r="BK53" s="239"/>
      <c r="BL53" s="435"/>
    </row>
    <row r="54" spans="2:64" s="183" customFormat="1" ht="22.5" customHeight="1">
      <c r="B54" s="180"/>
      <c r="C54" s="1373"/>
      <c r="D54" s="1362"/>
      <c r="E54" s="1362"/>
      <c r="F54" s="99"/>
      <c r="G54" s="1362" t="str">
        <f>IF(Indice_index!$Z$1=1,"jan","Jan")</f>
        <v>Jan</v>
      </c>
      <c r="H54" s="1362" t="str">
        <f>IF(Indice_index!$Z$1=1,"fev","Feb")</f>
        <v>Feb</v>
      </c>
      <c r="I54" s="1362" t="str">
        <f>IF(Indice_index!$Z$1=1,"mar","Mar")</f>
        <v>Mar</v>
      </c>
      <c r="J54" s="1362" t="str">
        <f>IF(Indice_index!$Z$1=1,"abr","Apr")</f>
        <v>Apr</v>
      </c>
      <c r="K54" s="1362" t="str">
        <f>IF(Indice_index!$Z$1=1,"mai","May")</f>
        <v>May</v>
      </c>
      <c r="L54" s="1362" t="str">
        <f>IF(Indice_index!$Z$1=1,"jun","Jun")</f>
        <v>Jun</v>
      </c>
      <c r="M54" s="1362" t="str">
        <f>IF(Indice_index!$Z$1=1,"jul","Jul")</f>
        <v>Jul</v>
      </c>
      <c r="N54" s="1362" t="str">
        <f>IF(Indice_index!$Z$1=1,"ago","Aug")</f>
        <v>Aug</v>
      </c>
      <c r="O54" s="1362" t="str">
        <f>IF(Indice_index!$Z$1=1,"set","Sep")</f>
        <v>Sep</v>
      </c>
      <c r="P54" s="1362" t="str">
        <f>IF(Indice_index!$Z$1=1,"out","Oct")</f>
        <v>Oct</v>
      </c>
      <c r="Q54" s="1362" t="str">
        <f>IF(Indice_index!$Z$1=1,"nov","Nov")</f>
        <v>Nov</v>
      </c>
      <c r="R54" s="1362" t="str">
        <f>IF(Indice_index!$Z$1=1,"dez","Dec")</f>
        <v>Dec</v>
      </c>
      <c r="S54" s="1362" t="str">
        <f>IF(Indice_index!$Z$1=1,"Ano até à data","Year to date")</f>
        <v>Year to date</v>
      </c>
      <c r="T54" s="1362" t="str">
        <f>IF(Indice_index!$Z$1=1,"Acumulado","Cumulative")</f>
        <v>Cumulative</v>
      </c>
      <c r="U54" s="99"/>
      <c r="V54" s="1362" t="str">
        <f>IF(Indice_index!$Z$1=1,"jan","Jan")</f>
        <v>Jan</v>
      </c>
      <c r="W54" s="1362" t="str">
        <f>IF(Indice_index!$Z$1=1,"fev","Feb")</f>
        <v>Feb</v>
      </c>
      <c r="X54" s="1362" t="str">
        <f>IF(Indice_index!$Z$1=1,"mar","Mar")</f>
        <v>Mar</v>
      </c>
      <c r="Y54" s="1362" t="str">
        <f>IF(Indice_index!$Z$1=1,"abr","Apr")</f>
        <v>Apr</v>
      </c>
      <c r="Z54" s="1362" t="str">
        <f>IF(Indice_index!$Z$1=1,"mai","May")</f>
        <v>May</v>
      </c>
      <c r="AA54" s="1362" t="str">
        <f>IF(Indice_index!$Z$1=1,"jun","Jun")</f>
        <v>Jun</v>
      </c>
      <c r="AB54" s="1362" t="str">
        <f>IF(Indice_index!$Z$1=1,"jul","Jul")</f>
        <v>Jul</v>
      </c>
      <c r="AC54" s="1362" t="str">
        <f>IF(Indice_index!$Z$1=1,"ago","Aug")</f>
        <v>Aug</v>
      </c>
      <c r="AD54" s="1362" t="str">
        <f>IF(Indice_index!$Z$1=1,"set","Sep")</f>
        <v>Sep</v>
      </c>
      <c r="AE54" s="1362" t="str">
        <f>IF(Indice_index!$Z$1=1,"out","Oct")</f>
        <v>Oct</v>
      </c>
      <c r="AF54" s="1362" t="str">
        <f>IF(Indice_index!$Z$1=1,"nov","Nov")</f>
        <v>Nov</v>
      </c>
      <c r="AG54" s="1362" t="str">
        <f>IF(Indice_index!$Z$1=1,"dez","Dec")</f>
        <v>Dec</v>
      </c>
      <c r="AH54" s="1362" t="str">
        <f>IF(Indice_index!$Z$1=1,"Acumulado","Cumulative")</f>
        <v>Cumulative</v>
      </c>
      <c r="AI54" s="99"/>
      <c r="AJ54" s="243"/>
      <c r="AK54" s="243"/>
      <c r="AL54" s="243"/>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39"/>
      <c r="BK54" s="239"/>
      <c r="BL54" s="435"/>
    </row>
    <row r="55" spans="2:64" s="333" customFormat="1" ht="15" customHeight="1">
      <c r="B55" s="330"/>
      <c r="C55" s="1374" t="str">
        <f>IF(Indice_index!$Z$1=1,"Subtotal da Administração Central","Central Government subtotal")</f>
        <v>Central Government subtotal</v>
      </c>
      <c r="D55" s="1375"/>
      <c r="E55" s="1376"/>
      <c r="F55" s="258"/>
      <c r="G55" s="1376">
        <f t="shared" ref="G55:T55" si="52">SUMIF($D56:$D91,"Receita",G56:G91)-SUMIF($D56:$D91,"Despesa",G56:G91)+SUMIF($D56:$D91,"Revenue",G56:G91)-SUMIF($D56:$D91,"Expenditure",G56:G91)</f>
        <v>296.15309027000001</v>
      </c>
      <c r="H55" s="1376">
        <f t="shared" si="52"/>
        <v>-19.564484870000001</v>
      </c>
      <c r="I55" s="1376">
        <f t="shared" si="52"/>
        <v>-381.87202045999993</v>
      </c>
      <c r="J55" s="1376">
        <f t="shared" si="52"/>
        <v>691.60857317</v>
      </c>
      <c r="K55" s="1376">
        <f t="shared" si="52"/>
        <v>8.3407327899999935</v>
      </c>
      <c r="L55" s="1376">
        <f t="shared" si="52"/>
        <v>-37.377897389999987</v>
      </c>
      <c r="M55" s="1376">
        <f t="shared" si="52"/>
        <v>-3.6027466500000038</v>
      </c>
      <c r="N55" s="1376">
        <f t="shared" si="52"/>
        <v>4.5868120600000228</v>
      </c>
      <c r="O55" s="1376">
        <f t="shared" si="52"/>
        <v>11.373800559999991</v>
      </c>
      <c r="P55" s="1376">
        <f t="shared" si="52"/>
        <v>182.04835396999994</v>
      </c>
      <c r="Q55" s="1376">
        <f t="shared" si="52"/>
        <v>60.20970370000002</v>
      </c>
      <c r="R55" s="1376">
        <f t="shared" si="52"/>
        <v>-1680.4948531799998</v>
      </c>
      <c r="S55" s="1376">
        <f t="shared" si="52"/>
        <v>-868.59093602999951</v>
      </c>
      <c r="T55" s="1376">
        <f t="shared" si="52"/>
        <v>-868.59093602999951</v>
      </c>
      <c r="U55" s="258"/>
      <c r="V55" s="1376">
        <f t="shared" ref="V55:AH55" si="53">SUMIF($D56:$D91,"Receita",V56:V91)-SUMIF($D56:$D91,"Despesa",V56:V91)+SUMIF($D56:$D91,"Revenue",V56:V91)-SUMIF($D56:$D91,"Expenditure",V56:V91)</f>
        <v>34.222572030000009</v>
      </c>
      <c r="W55" s="1376">
        <f t="shared" si="53"/>
        <v>57.173587390000002</v>
      </c>
      <c r="X55" s="1376">
        <f t="shared" si="53"/>
        <v>22.697984139999996</v>
      </c>
      <c r="Y55" s="1376">
        <f t="shared" si="53"/>
        <v>45.292491579999982</v>
      </c>
      <c r="Z55" s="1376">
        <f t="shared" si="53"/>
        <v>342.55166764000001</v>
      </c>
      <c r="AA55" s="1376">
        <f t="shared" si="53"/>
        <v>-245.98404502000005</v>
      </c>
      <c r="AB55" s="1376">
        <f t="shared" si="53"/>
        <v>272.81769003000005</v>
      </c>
      <c r="AC55" s="1376">
        <f t="shared" si="53"/>
        <v>-336.8015421099999</v>
      </c>
      <c r="AD55" s="1376">
        <f t="shared" si="53"/>
        <v>-58.460236379999984</v>
      </c>
      <c r="AE55" s="1376">
        <f t="shared" si="53"/>
        <v>51.00233199999996</v>
      </c>
      <c r="AF55" s="1376">
        <f t="shared" si="53"/>
        <v>611.21825148000005</v>
      </c>
      <c r="AG55" s="1376">
        <f t="shared" si="53"/>
        <v>-377.30051806999927</v>
      </c>
      <c r="AH55" s="1376">
        <f t="shared" si="53"/>
        <v>418.4302347100006</v>
      </c>
      <c r="AI55" s="258"/>
      <c r="AJ55" s="331"/>
      <c r="AK55" s="331"/>
      <c r="AL55" s="331"/>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436"/>
    </row>
    <row r="56" spans="2:64" s="183" customFormat="1" ht="18" customHeight="1">
      <c r="B56" s="180"/>
      <c r="C56" s="762"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763" t="str">
        <f>IF(Indice_index!$Z$1=1,"Receita","Revenue")</f>
        <v>Revenue</v>
      </c>
      <c r="E56" s="182" t="s">
        <v>21</v>
      </c>
      <c r="F56" s="99"/>
      <c r="G56" s="138"/>
      <c r="H56" s="138"/>
      <c r="I56" s="182"/>
      <c r="J56" s="182"/>
      <c r="K56" s="182"/>
      <c r="L56" s="182"/>
      <c r="M56" s="182"/>
      <c r="N56" s="182"/>
      <c r="O56" s="182"/>
      <c r="P56" s="182">
        <v>193.63043689</v>
      </c>
      <c r="Q56" s="182"/>
      <c r="R56" s="182"/>
      <c r="S56" s="182">
        <f>SUM(G56:R56)</f>
        <v>193.63043689</v>
      </c>
      <c r="T56" s="182">
        <f>SUM(G56:R56)</f>
        <v>193.63043689</v>
      </c>
      <c r="U56" s="99"/>
      <c r="V56" s="138"/>
      <c r="W56" s="138"/>
      <c r="X56" s="182"/>
      <c r="Y56" s="182"/>
      <c r="Z56" s="182"/>
      <c r="AA56" s="182"/>
      <c r="AB56" s="182"/>
      <c r="AC56" s="182"/>
      <c r="AD56" s="182"/>
      <c r="AE56" s="182"/>
      <c r="AF56" s="182"/>
      <c r="AG56" s="182">
        <v>337.30786981</v>
      </c>
      <c r="AH56" s="182">
        <f t="shared" ref="AH56:AH65" si="54">SUM(V56:AG56)</f>
        <v>337.30786981</v>
      </c>
      <c r="AI56" s="99"/>
      <c r="AJ56" s="243"/>
      <c r="AK56" s="243"/>
      <c r="AL56" s="243"/>
      <c r="AM56" s="242"/>
      <c r="AN56" s="242"/>
      <c r="AO56" s="242"/>
      <c r="AP56" s="242"/>
      <c r="AQ56" s="242"/>
      <c r="AR56" s="242"/>
      <c r="AS56" s="242"/>
      <c r="AT56" s="242"/>
      <c r="AU56" s="242"/>
      <c r="AV56" s="242"/>
      <c r="AW56" s="242"/>
      <c r="AX56" s="242"/>
      <c r="AY56" s="242"/>
      <c r="AZ56" s="242"/>
      <c r="BA56" s="242"/>
      <c r="BB56" s="242"/>
      <c r="BC56" s="242"/>
      <c r="BD56" s="242"/>
      <c r="BE56" s="242"/>
      <c r="BF56" s="242"/>
      <c r="BG56" s="242"/>
      <c r="BH56" s="242"/>
      <c r="BI56" s="242"/>
      <c r="BJ56" s="239"/>
      <c r="BK56" s="239"/>
      <c r="BL56" s="435"/>
    </row>
    <row r="57" spans="2:64" s="185" customFormat="1" ht="22.5" customHeight="1">
      <c r="B57" s="184"/>
      <c r="C57" s="762"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763" t="str">
        <f>IF(Indice_index!$Z$1=1,"Receita","Revenue")</f>
        <v>Revenue</v>
      </c>
      <c r="E57" s="182" t="s">
        <v>21</v>
      </c>
      <c r="F57" s="99"/>
      <c r="G57" s="138">
        <v>61.911468650000003</v>
      </c>
      <c r="H57" s="138">
        <v>4.2607125899999998</v>
      </c>
      <c r="I57" s="182">
        <v>0.75296879000000005</v>
      </c>
      <c r="J57" s="182"/>
      <c r="K57" s="182">
        <v>2.9667101800000002</v>
      </c>
      <c r="L57" s="182">
        <v>1.3527320000000001E-2</v>
      </c>
      <c r="M57" s="182">
        <v>3.6100000000000002E-6</v>
      </c>
      <c r="N57" s="182">
        <v>1.7903720000000001E-2</v>
      </c>
      <c r="O57" s="182">
        <v>0.23147068000000001</v>
      </c>
      <c r="P57" s="182">
        <v>45.244603240000004</v>
      </c>
      <c r="Q57" s="182">
        <v>59.708014509999998</v>
      </c>
      <c r="R57" s="182">
        <v>7.8682066099999997</v>
      </c>
      <c r="S57" s="182">
        <f t="shared" ref="S57:S91" si="55">SUM(G57:R57)</f>
        <v>182.97558989999999</v>
      </c>
      <c r="T57" s="182">
        <f t="shared" ref="T57" si="56">SUM(G57:R57)</f>
        <v>182.97558989999999</v>
      </c>
      <c r="U57" s="99"/>
      <c r="V57" s="138">
        <v>3.7343899899999999</v>
      </c>
      <c r="W57" s="138">
        <v>-0.11633714000000001</v>
      </c>
      <c r="X57" s="182">
        <v>-0.24181496999999999</v>
      </c>
      <c r="Y57" s="182">
        <v>-6.5510680000000002E-2</v>
      </c>
      <c r="Z57" s="182">
        <v>3.1850899999999998E-3</v>
      </c>
      <c r="AA57" s="182">
        <v>-0.2503862</v>
      </c>
      <c r="AB57" s="182">
        <v>0.28461910000000001</v>
      </c>
      <c r="AC57" s="182">
        <v>5.8610000000000003E-5</v>
      </c>
      <c r="AD57" s="182">
        <v>6.5700255299999997</v>
      </c>
      <c r="AE57" s="182">
        <v>50.91310713</v>
      </c>
      <c r="AF57" s="182">
        <v>50.634189110000001</v>
      </c>
      <c r="AG57" s="182">
        <v>19.03511207</v>
      </c>
      <c r="AH57" s="182">
        <f t="shared" ref="AH57" si="57">SUM(V57:AG57)</f>
        <v>130.50063764000001</v>
      </c>
      <c r="AI57" s="99"/>
      <c r="AJ57" s="243"/>
      <c r="AK57" s="243"/>
      <c r="AL57" s="243"/>
      <c r="AM57" s="244"/>
      <c r="AN57" s="244"/>
      <c r="AO57" s="244"/>
      <c r="AP57" s="244"/>
      <c r="AQ57" s="244"/>
      <c r="AR57" s="244"/>
      <c r="AS57" s="244"/>
      <c r="AT57" s="244"/>
      <c r="AU57" s="244"/>
      <c r="AV57" s="244"/>
      <c r="AW57" s="244"/>
      <c r="AX57" s="244"/>
      <c r="AY57" s="244"/>
      <c r="AZ57" s="244"/>
      <c r="BA57" s="244"/>
      <c r="BB57" s="244"/>
      <c r="BC57" s="244"/>
      <c r="BD57" s="244"/>
      <c r="BE57" s="244"/>
      <c r="BF57" s="244"/>
      <c r="BG57" s="244"/>
      <c r="BH57" s="244"/>
      <c r="BI57" s="244"/>
      <c r="BJ57" s="245"/>
      <c r="BK57" s="245"/>
      <c r="BL57" s="435"/>
    </row>
    <row r="58" spans="2:64" s="185" customFormat="1" ht="14.25" customHeight="1">
      <c r="B58" s="184"/>
      <c r="C58" s="764" t="str">
        <f>IF(Indice_index!$Z$1=1,"Dos quais contribuição extraordinária sobre o setor energético proveniente de execuções fiscais","Of whic extraordinary contribution over the energy sector from fiscal execucions")</f>
        <v>Of whic extraordinary contribution over the energy sector from fiscal execucions</v>
      </c>
      <c r="D58" s="763"/>
      <c r="E58" s="182"/>
      <c r="F58" s="99"/>
      <c r="G58" s="138">
        <v>61.605468940000002</v>
      </c>
      <c r="H58" s="138"/>
      <c r="I58" s="182">
        <v>0.93008466000000001</v>
      </c>
      <c r="J58" s="182"/>
      <c r="K58" s="182">
        <v>2.9334551000000002</v>
      </c>
      <c r="L58" s="182"/>
      <c r="M58" s="182"/>
      <c r="N58" s="182">
        <v>7.2450500000000003E-3</v>
      </c>
      <c r="O58" s="182"/>
      <c r="P58" s="182"/>
      <c r="Q58" s="182">
        <v>6.3928070000000004E-2</v>
      </c>
      <c r="R58" s="182">
        <v>7.6791000000000001E-4</v>
      </c>
      <c r="S58" s="182">
        <f t="shared" si="55"/>
        <v>65.540949729999994</v>
      </c>
      <c r="T58" s="182">
        <f t="shared" ref="T58:T69" si="58">SUM(G58:R58)</f>
        <v>65.540949729999994</v>
      </c>
      <c r="U58" s="99"/>
      <c r="V58" s="138"/>
      <c r="W58" s="138"/>
      <c r="X58" s="182"/>
      <c r="Y58" s="182">
        <v>-6.4745490000000003E-2</v>
      </c>
      <c r="Z58" s="182"/>
      <c r="AA58" s="182">
        <v>5.8829999999999997E-5</v>
      </c>
      <c r="AB58" s="182">
        <v>0.28460864000000002</v>
      </c>
      <c r="AC58" s="182">
        <v>5.8610000000000003E-5</v>
      </c>
      <c r="AD58" s="182">
        <v>6.5884206599999997</v>
      </c>
      <c r="AE58" s="182">
        <v>5.8829999999999997E-5</v>
      </c>
      <c r="AF58" s="182">
        <v>5.8829999999999997E-5</v>
      </c>
      <c r="AG58" s="182">
        <v>8.9218615400000001</v>
      </c>
      <c r="AH58" s="182">
        <f t="shared" si="54"/>
        <v>15.73038045</v>
      </c>
      <c r="AI58" s="99"/>
      <c r="AJ58" s="243"/>
      <c r="AK58" s="243"/>
      <c r="AL58" s="243"/>
      <c r="AM58" s="244"/>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5"/>
      <c r="BK58" s="245"/>
      <c r="BL58" s="435"/>
    </row>
    <row r="59" spans="2:64" s="183" customFormat="1" ht="22.5" customHeight="1">
      <c r="B59" s="180"/>
      <c r="C59" s="762"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9" s="763" t="str">
        <f>IF(Indice_index!$Z$1=1,"Receita","Revenue")</f>
        <v>Revenue</v>
      </c>
      <c r="E59" s="182" t="s">
        <v>22</v>
      </c>
      <c r="F59" s="99"/>
      <c r="G59" s="138">
        <v>29.55259306</v>
      </c>
      <c r="H59" s="138">
        <v>21.06215783</v>
      </c>
      <c r="I59" s="182">
        <v>34.834107580000001</v>
      </c>
      <c r="J59" s="182">
        <v>41.835822950000001</v>
      </c>
      <c r="K59" s="182">
        <v>11.31531858</v>
      </c>
      <c r="L59" s="182"/>
      <c r="M59" s="182"/>
      <c r="N59" s="182"/>
      <c r="O59" s="182"/>
      <c r="P59" s="182"/>
      <c r="Q59" s="182"/>
      <c r="R59" s="182"/>
      <c r="S59" s="182">
        <f t="shared" si="55"/>
        <v>138.6</v>
      </c>
      <c r="T59" s="182">
        <f t="shared" ref="T59:T60" si="59">SUM(G59:R59)</f>
        <v>138.6</v>
      </c>
      <c r="U59" s="99"/>
      <c r="V59" s="138">
        <v>33.91973033</v>
      </c>
      <c r="W59" s="138">
        <v>32.477500560000003</v>
      </c>
      <c r="X59" s="182">
        <v>27.468880689999999</v>
      </c>
      <c r="Y59" s="182">
        <v>35.460518749999999</v>
      </c>
      <c r="Z59" s="182">
        <v>9.2733696699999992</v>
      </c>
      <c r="AA59" s="182"/>
      <c r="AB59" s="182"/>
      <c r="AC59" s="182"/>
      <c r="AD59" s="182"/>
      <c r="AE59" s="182"/>
      <c r="AF59" s="182"/>
      <c r="AG59" s="182"/>
      <c r="AH59" s="182">
        <f t="shared" ref="AH59:AH60" si="60">SUM(V59:AG59)</f>
        <v>138.6</v>
      </c>
      <c r="AI59" s="99"/>
      <c r="AJ59" s="243"/>
      <c r="AK59" s="243"/>
      <c r="AL59" s="243"/>
      <c r="AM59" s="242"/>
      <c r="AN59" s="242"/>
      <c r="AO59" s="242"/>
      <c r="AP59" s="242"/>
      <c r="AQ59" s="242"/>
      <c r="AR59" s="242"/>
      <c r="AS59" s="242"/>
      <c r="AT59" s="242"/>
      <c r="AU59" s="242"/>
      <c r="AV59" s="242"/>
      <c r="AW59" s="242"/>
      <c r="AX59" s="242"/>
      <c r="AY59" s="242"/>
      <c r="AZ59" s="242"/>
      <c r="BA59" s="242"/>
      <c r="BB59" s="242"/>
      <c r="BC59" s="242"/>
      <c r="BD59" s="242"/>
      <c r="BE59" s="242"/>
      <c r="BF59" s="242"/>
      <c r="BG59" s="242"/>
      <c r="BH59" s="242"/>
      <c r="BI59" s="242"/>
      <c r="BJ59" s="239"/>
      <c r="BK59" s="239"/>
      <c r="BL59" s="435"/>
    </row>
    <row r="60" spans="2:64" s="183" customFormat="1" ht="22.5" customHeight="1">
      <c r="B60" s="180"/>
      <c r="C60" s="762" t="str">
        <f>IF(Indice_index!$Z$1=1,"ISP - Alargamento a 2 de janeiro de 2020 do prazo de pagamento nos serviços locais e regionais de finanças, devido à tolerância de assiduidade concedida no dia 31 de dezembro de 2019 aos funcionários públicos","ISP - Extension of the tax payment deadline on 2 January 2020 on local and regional finance services due to the attendance tolerance granted on 31 December 2019 to civil servants")</f>
        <v>ISP - Extension of the tax payment deadline on 2 January 2020 on local and regional finance services due to the attendance tolerance granted on 31 December 2019 to civil servants</v>
      </c>
      <c r="D60" s="763" t="str">
        <f>IF(Indice_index!$Z$1=1,"Receita","Revenue")</f>
        <v>Revenue</v>
      </c>
      <c r="E60" s="182" t="s">
        <v>22</v>
      </c>
      <c r="F60" s="99"/>
      <c r="G60" s="138">
        <v>130.45854199999999</v>
      </c>
      <c r="H60" s="138"/>
      <c r="I60" s="182"/>
      <c r="J60" s="182"/>
      <c r="K60" s="182"/>
      <c r="L60" s="182"/>
      <c r="M60" s="182"/>
      <c r="N60" s="182"/>
      <c r="O60" s="182"/>
      <c r="P60" s="182"/>
      <c r="Q60" s="182"/>
      <c r="R60" s="182"/>
      <c r="S60" s="182">
        <f t="shared" si="55"/>
        <v>130.45854199999999</v>
      </c>
      <c r="T60" s="182">
        <f t="shared" si="59"/>
        <v>130.45854199999999</v>
      </c>
      <c r="U60" s="99"/>
      <c r="V60" s="138"/>
      <c r="W60" s="138"/>
      <c r="X60" s="182"/>
      <c r="Y60" s="182"/>
      <c r="Z60" s="182"/>
      <c r="AA60" s="182"/>
      <c r="AB60" s="182"/>
      <c r="AC60" s="182"/>
      <c r="AD60" s="182"/>
      <c r="AE60" s="182"/>
      <c r="AF60" s="182"/>
      <c r="AG60" s="182"/>
      <c r="AH60" s="182">
        <f t="shared" si="60"/>
        <v>0</v>
      </c>
      <c r="AI60" s="99"/>
      <c r="AJ60" s="243"/>
      <c r="AK60" s="243"/>
      <c r="AL60" s="243"/>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39"/>
      <c r="BK60" s="239"/>
      <c r="BL60" s="435"/>
    </row>
    <row r="61" spans="2:64" s="183" customFormat="1" ht="33.75" customHeight="1">
      <c r="B61" s="180"/>
      <c r="C61" s="762" t="str">
        <f>IF(Indice_index!$Z$1=1,"Imposto sobre o tabaco - Alargamento a 2 de janeiro de 2020 do prazo de pagamento nos serviços locais e regionais de finanças, devido à tolerância de assiduidade concedida no dia 31 de dezembro de 2019 aos funcionários públicos","Tax on tobacco - Extension of the tax payment deadline on 2 January 2020 on local and regional finance services due to the attendance tolerance granted on 31 December 2019 to civil servants")</f>
        <v>Tax on tobacco - Extension of the tax payment deadline on 2 January 2020 on local and regional finance services due to the attendance tolerance granted on 31 December 2019 to civil servants</v>
      </c>
      <c r="D61" s="763" t="str">
        <f>IF(Indice_index!$Z$1=1,"Receita","Revenue")</f>
        <v>Revenue</v>
      </c>
      <c r="E61" s="182" t="s">
        <v>22</v>
      </c>
      <c r="F61" s="99"/>
      <c r="G61" s="138">
        <v>36.184972000000002</v>
      </c>
      <c r="H61" s="138"/>
      <c r="I61" s="182"/>
      <c r="J61" s="182"/>
      <c r="K61" s="182"/>
      <c r="L61" s="182"/>
      <c r="M61" s="182"/>
      <c r="N61" s="182"/>
      <c r="O61" s="182"/>
      <c r="P61" s="182"/>
      <c r="Q61" s="182"/>
      <c r="R61" s="182"/>
      <c r="S61" s="182">
        <f t="shared" si="55"/>
        <v>36.184972000000002</v>
      </c>
      <c r="T61" s="182">
        <f t="shared" si="58"/>
        <v>36.184972000000002</v>
      </c>
      <c r="U61" s="99"/>
      <c r="V61" s="138"/>
      <c r="W61" s="138"/>
      <c r="X61" s="182"/>
      <c r="Y61" s="182"/>
      <c r="Z61" s="182"/>
      <c r="AA61" s="182"/>
      <c r="AB61" s="182"/>
      <c r="AC61" s="182"/>
      <c r="AD61" s="182"/>
      <c r="AE61" s="182"/>
      <c r="AF61" s="182"/>
      <c r="AG61" s="182"/>
      <c r="AH61" s="182">
        <f t="shared" si="54"/>
        <v>0</v>
      </c>
      <c r="AI61" s="99"/>
      <c r="AJ61" s="243"/>
      <c r="AK61" s="243"/>
      <c r="AL61" s="243"/>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39"/>
      <c r="BK61" s="239"/>
      <c r="BL61" s="435"/>
    </row>
    <row r="62" spans="2:64" s="185" customFormat="1" ht="14.25" customHeight="1">
      <c r="B62" s="184"/>
      <c r="C62" s="762"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62" s="763" t="str">
        <f>IF(Indice_index!$Z$1=1,"Receita","Revenue")</f>
        <v>Revenue</v>
      </c>
      <c r="E62" s="182" t="s">
        <v>22</v>
      </c>
      <c r="F62" s="99"/>
      <c r="G62" s="138">
        <v>3.70980299</v>
      </c>
      <c r="H62" s="138">
        <v>8.9293299999999992E-3</v>
      </c>
      <c r="I62" s="182"/>
      <c r="J62" s="182">
        <v>4.2769837800000001</v>
      </c>
      <c r="K62" s="182">
        <v>0.19377351000000001</v>
      </c>
      <c r="L62" s="182"/>
      <c r="M62" s="182">
        <v>2.9992651700000001</v>
      </c>
      <c r="N62" s="182"/>
      <c r="O62" s="182"/>
      <c r="P62" s="182">
        <v>3.1435364300000002</v>
      </c>
      <c r="Q62" s="182">
        <v>0.36332780999999997</v>
      </c>
      <c r="R62" s="182"/>
      <c r="S62" s="182">
        <f t="shared" si="55"/>
        <v>14.695619020000001</v>
      </c>
      <c r="T62" s="182">
        <f>SUM(G62:R62)</f>
        <v>14.695619020000001</v>
      </c>
      <c r="U62" s="99"/>
      <c r="V62" s="138">
        <v>4.1780021200000004</v>
      </c>
      <c r="W62" s="138">
        <v>3.36805E-3</v>
      </c>
      <c r="X62" s="182"/>
      <c r="Y62" s="182">
        <v>3.6313644699999998</v>
      </c>
      <c r="Z62" s="182">
        <v>0.28664426999999998</v>
      </c>
      <c r="AA62" s="182"/>
      <c r="AB62" s="182">
        <v>3.5552682</v>
      </c>
      <c r="AC62" s="182">
        <v>9.2350890000000005E-2</v>
      </c>
      <c r="AD62" s="182"/>
      <c r="AE62" s="182">
        <v>3.7916012600000002</v>
      </c>
      <c r="AF62" s="182">
        <v>0.23739737</v>
      </c>
      <c r="AG62" s="182">
        <v>0.91036715999999995</v>
      </c>
      <c r="AH62" s="182">
        <f>SUM(V62:AG62)</f>
        <v>16.686363790000001</v>
      </c>
      <c r="AI62" s="99"/>
      <c r="AJ62" s="243"/>
      <c r="AK62" s="243"/>
      <c r="AL62" s="243"/>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5"/>
      <c r="BK62" s="245"/>
      <c r="BL62" s="435"/>
    </row>
    <row r="63" spans="2:64" s="185" customFormat="1" ht="14.25" customHeight="1">
      <c r="B63" s="184"/>
      <c r="C63" s="762"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3" s="763" t="str">
        <f>IF(Indice_index!$Z$1=1,"Receita","Revenue")</f>
        <v>Revenue</v>
      </c>
      <c r="E63" s="182" t="s">
        <v>22</v>
      </c>
      <c r="F63" s="99"/>
      <c r="G63" s="138"/>
      <c r="H63" s="138"/>
      <c r="I63" s="182"/>
      <c r="J63" s="182"/>
      <c r="K63" s="182"/>
      <c r="L63" s="182"/>
      <c r="M63" s="182"/>
      <c r="N63" s="182"/>
      <c r="O63" s="182"/>
      <c r="P63" s="182"/>
      <c r="Q63" s="182"/>
      <c r="R63" s="182"/>
      <c r="S63" s="182">
        <f t="shared" si="55"/>
        <v>0</v>
      </c>
      <c r="T63" s="182">
        <f>SUM(G63:R63)</f>
        <v>0</v>
      </c>
      <c r="U63" s="99"/>
      <c r="V63" s="138"/>
      <c r="W63" s="138"/>
      <c r="X63" s="182"/>
      <c r="Y63" s="182">
        <v>13.063439109999999</v>
      </c>
      <c r="Z63" s="182">
        <v>5.617283E-2</v>
      </c>
      <c r="AA63" s="182"/>
      <c r="AB63" s="182">
        <v>3.3818280600000001</v>
      </c>
      <c r="AC63" s="182">
        <v>1.6816729999999998E-2</v>
      </c>
      <c r="AD63" s="182"/>
      <c r="AE63" s="182">
        <v>3.4518416799999998</v>
      </c>
      <c r="AF63" s="182">
        <v>8.4389339999999993E-2</v>
      </c>
      <c r="AG63" s="182">
        <v>0.16572945</v>
      </c>
      <c r="AH63" s="182">
        <f>SUM(V63:AG63)</f>
        <v>20.2202172</v>
      </c>
      <c r="AI63" s="99"/>
      <c r="AJ63" s="243"/>
      <c r="AK63" s="243"/>
      <c r="AL63" s="243"/>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244"/>
      <c r="BJ63" s="245"/>
      <c r="BK63" s="245"/>
      <c r="BL63" s="435"/>
    </row>
    <row r="64" spans="2:64" s="185" customFormat="1" ht="22.5" customHeight="1">
      <c r="B64" s="184"/>
      <c r="C64" s="762" t="str">
        <f>IF(Indice_index!$Z$1=1,"Imposto do Selo - efeito do pagamento do imposto de janeiro e fevereiro de 2020 ter sido permitido até 20 de abril","Stamp Tax - effect of the January to March 2020 tax payment having been allowed until April")</f>
        <v>Stamp Tax - effect of the January to March 2020 tax payment having been allowed until April</v>
      </c>
      <c r="D64" s="763" t="str">
        <f>IF(Indice_index!$Z$1=1,"Receita","Revenue")</f>
        <v>Revenue</v>
      </c>
      <c r="E64" s="182" t="s">
        <v>22</v>
      </c>
      <c r="F64" s="99"/>
      <c r="G64" s="138"/>
      <c r="H64" s="138">
        <v>-110</v>
      </c>
      <c r="I64" s="182">
        <v>-110</v>
      </c>
      <c r="J64" s="182">
        <v>220</v>
      </c>
      <c r="K64" s="182"/>
      <c r="L64" s="182"/>
      <c r="M64" s="182"/>
      <c r="N64" s="182"/>
      <c r="O64" s="182"/>
      <c r="P64" s="182"/>
      <c r="Q64" s="182"/>
      <c r="R64" s="182"/>
      <c r="S64" s="182">
        <f t="shared" si="55"/>
        <v>0</v>
      </c>
      <c r="T64" s="182">
        <f>SUM(G64:R64)</f>
        <v>0</v>
      </c>
      <c r="U64" s="99"/>
      <c r="V64" s="138"/>
      <c r="W64" s="138"/>
      <c r="X64" s="182"/>
      <c r="Y64" s="182"/>
      <c r="Z64" s="182"/>
      <c r="AA64" s="182"/>
      <c r="AB64" s="182"/>
      <c r="AC64" s="182"/>
      <c r="AD64" s="182"/>
      <c r="AE64" s="182"/>
      <c r="AF64" s="182"/>
      <c r="AG64" s="182"/>
      <c r="AH64" s="182">
        <f>SUM(V64:AG64)</f>
        <v>0</v>
      </c>
      <c r="AI64" s="99"/>
      <c r="AJ64" s="243"/>
      <c r="AK64" s="243"/>
      <c r="AL64" s="243"/>
      <c r="AM64" s="244"/>
      <c r="AN64" s="244"/>
      <c r="AO64" s="244"/>
      <c r="AP64" s="244"/>
      <c r="AQ64" s="244"/>
      <c r="AR64" s="244"/>
      <c r="AS64" s="244"/>
      <c r="AT64" s="244"/>
      <c r="AU64" s="244"/>
      <c r="AV64" s="244"/>
      <c r="AW64" s="244"/>
      <c r="AX64" s="244"/>
      <c r="AY64" s="244"/>
      <c r="AZ64" s="244"/>
      <c r="BA64" s="244"/>
      <c r="BB64" s="244"/>
      <c r="BC64" s="244"/>
      <c r="BD64" s="244"/>
      <c r="BE64" s="244"/>
      <c r="BF64" s="244"/>
      <c r="BG64" s="244"/>
      <c r="BH64" s="244"/>
      <c r="BI64" s="244"/>
      <c r="BJ64" s="245"/>
      <c r="BK64" s="245"/>
      <c r="BL64" s="435"/>
    </row>
    <row r="65" spans="2:64" s="185" customFormat="1" ht="14.25" customHeight="1">
      <c r="B65" s="184"/>
      <c r="C65" s="762"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5" s="763" t="str">
        <f>IF(Indice_index!$Z$1=1,"Receita","Revenue")</f>
        <v>Revenue</v>
      </c>
      <c r="E65" s="182" t="s">
        <v>22</v>
      </c>
      <c r="F65" s="99"/>
      <c r="G65" s="138">
        <v>15.7784163</v>
      </c>
      <c r="H65" s="138">
        <v>16.586119249999999</v>
      </c>
      <c r="I65" s="182">
        <v>13.560058939999999</v>
      </c>
      <c r="J65" s="182">
        <v>14.40099494</v>
      </c>
      <c r="K65" s="182">
        <v>14.431642399999999</v>
      </c>
      <c r="L65" s="182">
        <v>15.93842078</v>
      </c>
      <c r="M65" s="182">
        <v>14.27933663</v>
      </c>
      <c r="N65" s="182">
        <v>16.586713280000001</v>
      </c>
      <c r="O65" s="182">
        <v>14.80271688</v>
      </c>
      <c r="P65" s="182">
        <v>15.36455795</v>
      </c>
      <c r="Q65" s="182">
        <v>15.511585370000001</v>
      </c>
      <c r="R65" s="182">
        <v>14.18833459</v>
      </c>
      <c r="S65" s="182">
        <f t="shared" si="55"/>
        <v>181.42889731000002</v>
      </c>
      <c r="T65" s="182">
        <f t="shared" si="58"/>
        <v>181.42889731000002</v>
      </c>
      <c r="U65" s="99"/>
      <c r="V65" s="138">
        <v>16.185025110000002</v>
      </c>
      <c r="W65" s="138">
        <v>16.094952129999999</v>
      </c>
      <c r="X65" s="182">
        <v>13.59889164</v>
      </c>
      <c r="Y65" s="182">
        <v>16.94125653</v>
      </c>
      <c r="Z65" s="182">
        <v>14.557428420000001</v>
      </c>
      <c r="AA65" s="182">
        <v>14.987979920000001</v>
      </c>
      <c r="AB65" s="182">
        <v>14.484511729999999</v>
      </c>
      <c r="AC65" s="182">
        <v>15.38632119</v>
      </c>
      <c r="AD65" s="182">
        <v>15.215828910000001</v>
      </c>
      <c r="AE65" s="182">
        <v>15.593252680000001</v>
      </c>
      <c r="AF65" s="182">
        <v>15.05298294</v>
      </c>
      <c r="AG65" s="182">
        <v>15.56838991</v>
      </c>
      <c r="AH65" s="182">
        <f t="shared" si="54"/>
        <v>183.66682111000003</v>
      </c>
      <c r="AI65" s="99"/>
      <c r="AJ65" s="243"/>
      <c r="AK65" s="243"/>
      <c r="AL65" s="243"/>
      <c r="AM65" s="244"/>
      <c r="AN65" s="244"/>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5"/>
      <c r="BK65" s="245"/>
      <c r="BL65" s="435"/>
    </row>
    <row r="66" spans="2:64" s="185" customFormat="1" ht="14.25" customHeight="1">
      <c r="B66" s="184"/>
      <c r="C66" s="762"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6" s="763" t="str">
        <f>IF(Indice_index!$Z$1=1,"Receita","Revenue")</f>
        <v>Revenue</v>
      </c>
      <c r="E66" s="182" t="s">
        <v>64</v>
      </c>
      <c r="F66" s="99"/>
      <c r="G66" s="138">
        <v>0.72821210999999997</v>
      </c>
      <c r="H66" s="138">
        <v>0.80292341</v>
      </c>
      <c r="I66" s="182">
        <v>3.3883364</v>
      </c>
      <c r="J66" s="182">
        <v>-2.6936680599999998</v>
      </c>
      <c r="K66" s="182">
        <v>1.3610813100000001</v>
      </c>
      <c r="L66" s="182">
        <v>0.72683204999999995</v>
      </c>
      <c r="M66" s="182">
        <v>0.63212734999999998</v>
      </c>
      <c r="N66" s="182">
        <v>0.85741098000000004</v>
      </c>
      <c r="O66" s="182">
        <v>0.71199237000000004</v>
      </c>
      <c r="P66" s="182">
        <v>0.74378420000000001</v>
      </c>
      <c r="Q66" s="182">
        <v>1.8138448599999999</v>
      </c>
      <c r="R66" s="182">
        <v>-0.54178132999999995</v>
      </c>
      <c r="S66" s="182">
        <f t="shared" si="55"/>
        <v>8.531095650000001</v>
      </c>
      <c r="T66" s="182">
        <f>SUM(G66:R66)</f>
        <v>8.531095650000001</v>
      </c>
      <c r="U66" s="99"/>
      <c r="V66" s="138">
        <v>0.71257448000000001</v>
      </c>
      <c r="W66" s="138">
        <v>0.85991636000000005</v>
      </c>
      <c r="X66" s="182">
        <v>0.56038268999999996</v>
      </c>
      <c r="Y66" s="182">
        <v>0.75083239999999973</v>
      </c>
      <c r="Z66" s="182">
        <v>0.63383599000000002</v>
      </c>
      <c r="AA66" s="182">
        <v>0.63143024000000003</v>
      </c>
      <c r="AB66" s="182">
        <v>0.62082892000000001</v>
      </c>
      <c r="AC66" s="182">
        <v>0.66420129000000006</v>
      </c>
      <c r="AD66" s="182">
        <v>0.65135262000000005</v>
      </c>
      <c r="AE66" s="182">
        <v>0.68178795999999997</v>
      </c>
      <c r="AF66" s="182">
        <v>0.63626181999999998</v>
      </c>
      <c r="AG66" s="182">
        <v>0.68206528</v>
      </c>
      <c r="AH66" s="182">
        <f>SUM(V66:AG66)</f>
        <v>8.0854700499999996</v>
      </c>
      <c r="AI66" s="99"/>
      <c r="AJ66" s="243"/>
      <c r="AK66" s="243"/>
      <c r="AL66" s="243"/>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5"/>
      <c r="BK66" s="245"/>
      <c r="BL66" s="435"/>
    </row>
    <row r="67" spans="2:64" s="185" customFormat="1" ht="14.25" customHeight="1">
      <c r="B67" s="184"/>
      <c r="C67" s="762" t="str">
        <f>IF(Indice_index!$Z$1=1,"Leilão no âmbito da 5.ª Geração de comunicações móveis (5G)"," Sale of the 5th generation mobile frequency use rights (5G)")</f>
        <v xml:space="preserve"> Sale of the 5th generation mobile frequency use rights (5G)</v>
      </c>
      <c r="D67" s="763" t="str">
        <f>IF(Indice_index!$Z$1=1,"Receita","Revenue")</f>
        <v>Revenue</v>
      </c>
      <c r="E67" s="182" t="s">
        <v>64</v>
      </c>
      <c r="F67" s="99"/>
      <c r="G67" s="138"/>
      <c r="H67" s="138"/>
      <c r="I67" s="182"/>
      <c r="J67" s="182"/>
      <c r="K67" s="182"/>
      <c r="L67" s="182"/>
      <c r="M67" s="182"/>
      <c r="N67" s="182"/>
      <c r="O67" s="182"/>
      <c r="P67" s="182"/>
      <c r="Q67" s="182"/>
      <c r="R67" s="182"/>
      <c r="S67" s="182">
        <f t="shared" si="55"/>
        <v>0</v>
      </c>
      <c r="T67" s="182">
        <f>SUM(G67:R67)</f>
        <v>0</v>
      </c>
      <c r="U67" s="99"/>
      <c r="V67" s="138"/>
      <c r="W67" s="138"/>
      <c r="X67" s="182"/>
      <c r="Y67" s="182"/>
      <c r="Z67" s="182"/>
      <c r="AA67" s="182"/>
      <c r="AB67" s="182"/>
      <c r="AC67" s="182"/>
      <c r="AD67" s="182"/>
      <c r="AE67" s="182"/>
      <c r="AF67" s="182">
        <v>347.43915644999998</v>
      </c>
      <c r="AG67" s="182">
        <v>62.6145</v>
      </c>
      <c r="AH67" s="182">
        <f>SUM(V67:AG67)</f>
        <v>410.05365645000001</v>
      </c>
      <c r="AI67" s="99"/>
      <c r="AJ67" s="243"/>
      <c r="AK67" s="243"/>
      <c r="AL67" s="243"/>
      <c r="AM67" s="244"/>
      <c r="AN67" s="244"/>
      <c r="AO67" s="244"/>
      <c r="AP67" s="244"/>
      <c r="AQ67" s="244"/>
      <c r="AR67" s="244"/>
      <c r="AS67" s="244"/>
      <c r="AT67" s="244"/>
      <c r="AU67" s="244"/>
      <c r="AV67" s="244"/>
      <c r="AW67" s="244"/>
      <c r="AX67" s="244"/>
      <c r="AY67" s="244"/>
      <c r="AZ67" s="244"/>
      <c r="BA67" s="244"/>
      <c r="BB67" s="244"/>
      <c r="BC67" s="244"/>
      <c r="BD67" s="244"/>
      <c r="BE67" s="244"/>
      <c r="BF67" s="244"/>
      <c r="BG67" s="244"/>
      <c r="BH67" s="244"/>
      <c r="BI67" s="244"/>
      <c r="BJ67" s="245"/>
      <c r="BK67" s="245"/>
      <c r="BL67" s="435"/>
    </row>
    <row r="68" spans="2:64" s="183" customFormat="1" ht="14.25" customHeight="1">
      <c r="B68" s="180"/>
      <c r="C68" s="755" t="str">
        <f>IF(Indice_index!$Z$1=1,"Dividendos do Banco de Portugal","Dividends from the Bank of Portugal")</f>
        <v>Dividends from the Bank of Portugal</v>
      </c>
      <c r="D68" s="763" t="str">
        <f>IF(Indice_index!$Z$1=1,"Receita","Revenue")</f>
        <v>Revenue</v>
      </c>
      <c r="E68" s="182" t="s">
        <v>64</v>
      </c>
      <c r="F68" s="99"/>
      <c r="G68" s="138"/>
      <c r="H68" s="138"/>
      <c r="I68" s="182"/>
      <c r="J68" s="182">
        <v>479.39315162999998</v>
      </c>
      <c r="K68" s="182"/>
      <c r="L68" s="182"/>
      <c r="M68" s="182"/>
      <c r="N68" s="182"/>
      <c r="O68" s="182"/>
      <c r="P68" s="182"/>
      <c r="Q68" s="182"/>
      <c r="R68" s="182"/>
      <c r="S68" s="182">
        <f t="shared" si="55"/>
        <v>479.39315162999998</v>
      </c>
      <c r="T68" s="182">
        <f t="shared" si="58"/>
        <v>479.39315162999998</v>
      </c>
      <c r="U68" s="99"/>
      <c r="V68" s="138"/>
      <c r="W68" s="138"/>
      <c r="X68" s="182"/>
      <c r="Y68" s="182"/>
      <c r="Z68" s="182">
        <v>336.39773766000002</v>
      </c>
      <c r="AA68" s="182"/>
      <c r="AB68" s="182"/>
      <c r="AC68" s="182"/>
      <c r="AD68" s="182"/>
      <c r="AE68" s="182"/>
      <c r="AF68" s="182"/>
      <c r="AG68" s="182"/>
      <c r="AH68" s="182">
        <f t="shared" ref="AH68:AH91" si="61">SUM(V68:AG68)</f>
        <v>336.39773766000002</v>
      </c>
      <c r="AI68" s="99"/>
      <c r="AJ68" s="243"/>
      <c r="AK68" s="243"/>
      <c r="AL68" s="243"/>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2"/>
      <c r="BJ68" s="239"/>
      <c r="BK68" s="239"/>
      <c r="BL68" s="435"/>
    </row>
    <row r="69" spans="2:64" s="183" customFormat="1" ht="14.25" customHeight="1">
      <c r="B69" s="180"/>
      <c r="C69" s="755" t="str">
        <f>IF(Indice_index!$Z$1=1,"Dividendos da Caixa Geral de Depósitos","Dividends from the public bank Caixa Geral de Depósitos")</f>
        <v>Dividends from the public bank Caixa Geral de Depósitos</v>
      </c>
      <c r="D69" s="763" t="str">
        <f>IF(Indice_index!$Z$1=1,"Receita","Revenue")</f>
        <v>Revenue</v>
      </c>
      <c r="E69" s="182" t="s">
        <v>64</v>
      </c>
      <c r="F69" s="99"/>
      <c r="G69" s="138"/>
      <c r="H69" s="138"/>
      <c r="I69" s="182"/>
      <c r="J69" s="182"/>
      <c r="K69" s="182"/>
      <c r="L69" s="182"/>
      <c r="M69" s="182"/>
      <c r="N69" s="182"/>
      <c r="O69" s="182"/>
      <c r="P69" s="182"/>
      <c r="Q69" s="182"/>
      <c r="R69" s="182"/>
      <c r="S69" s="182">
        <f t="shared" si="55"/>
        <v>0</v>
      </c>
      <c r="T69" s="182">
        <f t="shared" si="58"/>
        <v>0</v>
      </c>
      <c r="U69" s="99"/>
      <c r="V69" s="138"/>
      <c r="W69" s="138"/>
      <c r="X69" s="182"/>
      <c r="Y69" s="182"/>
      <c r="Z69" s="182"/>
      <c r="AA69" s="182">
        <v>66.074657529999996</v>
      </c>
      <c r="AB69" s="182"/>
      <c r="AC69" s="182"/>
      <c r="AD69" s="182"/>
      <c r="AE69" s="182"/>
      <c r="AF69" s="182">
        <v>237</v>
      </c>
      <c r="AG69" s="182"/>
      <c r="AH69" s="182">
        <f t="shared" si="61"/>
        <v>303.07465752999997</v>
      </c>
      <c r="AI69" s="99"/>
      <c r="AJ69" s="243"/>
      <c r="AK69" s="243"/>
      <c r="AL69" s="243"/>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c r="BI69" s="242"/>
      <c r="BJ69" s="239"/>
      <c r="BK69" s="239"/>
      <c r="BL69" s="435"/>
    </row>
    <row r="70" spans="2:64" s="183" customFormat="1" ht="22.5">
      <c r="B70" s="180"/>
      <c r="C70" s="762" t="str">
        <f>IF(Indice_index!$Z$1=1,"Restituições da contribuição financeira da União Europeia (ano anterior) - consignadas ao pagamento da contribuição financeira (do ano)","Refund payments on European Union own resources")</f>
        <v>Refund payments on European Union own resources</v>
      </c>
      <c r="D70" s="763" t="str">
        <f>IF(Indice_index!$Z$1=1,"Receita","Revenue")</f>
        <v>Revenue</v>
      </c>
      <c r="E70" s="182" t="s">
        <v>64</v>
      </c>
      <c r="F70" s="99"/>
      <c r="G70" s="138"/>
      <c r="H70" s="138"/>
      <c r="I70" s="182"/>
      <c r="J70" s="182"/>
      <c r="K70" s="182"/>
      <c r="L70" s="182">
        <v>39.658558569999997</v>
      </c>
      <c r="M70" s="182"/>
      <c r="N70" s="182"/>
      <c r="O70" s="182"/>
      <c r="P70" s="182"/>
      <c r="Q70" s="182"/>
      <c r="R70" s="182"/>
      <c r="S70" s="182">
        <f t="shared" si="55"/>
        <v>39.658558569999997</v>
      </c>
      <c r="T70" s="182">
        <f t="shared" ref="T70" si="62">SUM(G70:R70)</f>
        <v>39.658558569999997</v>
      </c>
      <c r="U70" s="99"/>
      <c r="V70" s="138"/>
      <c r="W70" s="138"/>
      <c r="X70" s="182"/>
      <c r="Y70" s="182"/>
      <c r="Z70" s="182"/>
      <c r="AA70" s="182">
        <v>7.97505679</v>
      </c>
      <c r="AB70" s="182"/>
      <c r="AC70" s="182"/>
      <c r="AD70" s="182"/>
      <c r="AE70" s="182"/>
      <c r="AF70" s="182"/>
      <c r="AG70" s="182"/>
      <c r="AH70" s="182">
        <f t="shared" si="61"/>
        <v>7.97505679</v>
      </c>
      <c r="AI70" s="99"/>
      <c r="AJ70" s="243"/>
      <c r="AK70" s="243"/>
      <c r="AL70" s="243"/>
      <c r="AM70" s="242"/>
      <c r="AN70" s="242"/>
      <c r="AO70" s="242"/>
      <c r="AP70" s="242"/>
      <c r="AQ70" s="242"/>
      <c r="AR70" s="242"/>
      <c r="AS70" s="242"/>
      <c r="AT70" s="242"/>
      <c r="AU70" s="242"/>
      <c r="AV70" s="242"/>
      <c r="AW70" s="242"/>
      <c r="AX70" s="242"/>
      <c r="AY70" s="242"/>
      <c r="AZ70" s="242"/>
      <c r="BA70" s="242"/>
      <c r="BB70" s="242"/>
      <c r="BC70" s="242"/>
      <c r="BD70" s="242"/>
      <c r="BE70" s="242"/>
      <c r="BF70" s="242"/>
      <c r="BG70" s="242"/>
      <c r="BH70" s="242"/>
      <c r="BI70" s="242"/>
      <c r="BJ70" s="239"/>
      <c r="BK70" s="239"/>
      <c r="BL70" s="435"/>
    </row>
    <row r="71" spans="2:64" s="185" customFormat="1" ht="14.25" customHeight="1">
      <c r="B71" s="184"/>
      <c r="C71" s="755" t="str">
        <f>IF(Indice_index!$Z$1=1,"Concessão do Oceanário de Lisboa - Rendimentos da propriedade (rendas)","Lisbon Oceanarium concession - Property income")</f>
        <v>Lisbon Oceanarium concession - Property income</v>
      </c>
      <c r="D71" s="763" t="str">
        <f>IF(Indice_index!$Z$1=1,"Receita","Revenue")</f>
        <v>Revenue</v>
      </c>
      <c r="E71" s="182" t="s">
        <v>64</v>
      </c>
      <c r="F71" s="99"/>
      <c r="G71" s="138"/>
      <c r="H71" s="138"/>
      <c r="I71" s="182">
        <v>0.11214633</v>
      </c>
      <c r="J71" s="182">
        <v>0.11214633</v>
      </c>
      <c r="K71" s="182">
        <v>0.47654131</v>
      </c>
      <c r="L71" s="182">
        <v>0.11214633</v>
      </c>
      <c r="M71" s="182">
        <v>0.22429266</v>
      </c>
      <c r="N71" s="182"/>
      <c r="O71" s="182"/>
      <c r="P71" s="182">
        <v>0.58836166000000001</v>
      </c>
      <c r="Q71" s="182"/>
      <c r="R71" s="182">
        <v>0.67092209999999997</v>
      </c>
      <c r="S71" s="182">
        <f t="shared" si="55"/>
        <v>2.2965567199999999</v>
      </c>
      <c r="T71" s="182">
        <f>SUM(G71:R71)</f>
        <v>2.2965567199999999</v>
      </c>
      <c r="U71" s="99"/>
      <c r="V71" s="138"/>
      <c r="W71" s="138"/>
      <c r="X71" s="182"/>
      <c r="Y71" s="182"/>
      <c r="Z71" s="182"/>
      <c r="AA71" s="182">
        <v>0.2236407</v>
      </c>
      <c r="AB71" s="182">
        <v>0.11182035</v>
      </c>
      <c r="AC71" s="182"/>
      <c r="AD71" s="182"/>
      <c r="AE71" s="182">
        <v>0.76548888000000004</v>
      </c>
      <c r="AF71" s="182">
        <v>0.22391754</v>
      </c>
      <c r="AG71" s="182">
        <v>0.33587631000000001</v>
      </c>
      <c r="AH71" s="182">
        <f t="shared" ref="AH71:AH73" si="63">SUM(V71:AG71)</f>
        <v>1.66074378</v>
      </c>
      <c r="AI71" s="99"/>
      <c r="AJ71" s="243"/>
      <c r="AK71" s="243"/>
      <c r="AL71" s="243"/>
      <c r="AM71" s="244"/>
      <c r="AN71" s="244"/>
      <c r="AO71" s="244"/>
      <c r="AP71" s="244"/>
      <c r="AQ71" s="244"/>
      <c r="AR71" s="244"/>
      <c r="AS71" s="244"/>
      <c r="AT71" s="244"/>
      <c r="AU71" s="244"/>
      <c r="AV71" s="244"/>
      <c r="AW71" s="244"/>
      <c r="AX71" s="244"/>
      <c r="AY71" s="244"/>
      <c r="AZ71" s="244"/>
      <c r="BA71" s="244"/>
      <c r="BB71" s="244"/>
      <c r="BC71" s="244"/>
      <c r="BD71" s="244"/>
      <c r="BE71" s="244"/>
      <c r="BF71" s="244"/>
      <c r="BG71" s="244"/>
      <c r="BH71" s="244"/>
      <c r="BI71" s="244"/>
      <c r="BJ71" s="245"/>
      <c r="BK71" s="245"/>
      <c r="BL71" s="435"/>
    </row>
    <row r="72" spans="2:64" s="185" customFormat="1" ht="24" customHeight="1">
      <c r="B72" s="184"/>
      <c r="C72" s="762" t="str">
        <f>IF(Indice_index!$Z$1=1,"Princípio da onerosidade (receita registada pela Direção-Geral do Tesouro e Finanças (DGTF) em 2020, correspondente a despesa registada em 2019).","Principle of onerosity (revenue recorded by the Directorate-General for Treasury and Finance (DGTF) in 2020, corresponding to the expense recorded in 2019).")</f>
        <v>Principle of onerosity (revenue recorded by the Directorate-General for Treasury and Finance (DGTF) in 2020, corresponding to the expense recorded in 2019).</v>
      </c>
      <c r="D72" s="763" t="str">
        <f>IF(Indice_index!$Z$1=1,"Receita","Revenue")</f>
        <v>Revenue</v>
      </c>
      <c r="E72" s="182" t="s">
        <v>64</v>
      </c>
      <c r="F72" s="99"/>
      <c r="G72" s="138">
        <v>70.100772000000006</v>
      </c>
      <c r="H72" s="138"/>
      <c r="I72" s="182"/>
      <c r="J72" s="182"/>
      <c r="K72" s="182"/>
      <c r="L72" s="182"/>
      <c r="M72" s="182"/>
      <c r="N72" s="182"/>
      <c r="O72" s="182"/>
      <c r="P72" s="182"/>
      <c r="Q72" s="182"/>
      <c r="R72" s="182"/>
      <c r="S72" s="182">
        <f t="shared" si="55"/>
        <v>70.100772000000006</v>
      </c>
      <c r="T72" s="182">
        <f t="shared" ref="T72:T73" si="64">SUM(G72:R72)</f>
        <v>70.100772000000006</v>
      </c>
      <c r="U72" s="99"/>
      <c r="V72" s="138"/>
      <c r="W72" s="138"/>
      <c r="X72" s="182"/>
      <c r="Y72" s="182"/>
      <c r="Z72" s="182"/>
      <c r="AA72" s="182"/>
      <c r="AB72" s="182"/>
      <c r="AC72" s="182"/>
      <c r="AD72" s="182"/>
      <c r="AE72" s="182"/>
      <c r="AF72" s="182"/>
      <c r="AG72" s="182"/>
      <c r="AH72" s="182">
        <f t="shared" si="63"/>
        <v>0</v>
      </c>
      <c r="AI72" s="99"/>
      <c r="AJ72" s="243"/>
      <c r="AK72" s="243"/>
      <c r="AL72" s="243"/>
      <c r="AM72" s="244"/>
      <c r="AN72" s="244"/>
      <c r="AO72" s="244"/>
      <c r="AP72" s="244"/>
      <c r="AQ72" s="244"/>
      <c r="AR72" s="244"/>
      <c r="AS72" s="244"/>
      <c r="AT72" s="244"/>
      <c r="AU72" s="244"/>
      <c r="AV72" s="244"/>
      <c r="AW72" s="244"/>
      <c r="AX72" s="244"/>
      <c r="AY72" s="244"/>
      <c r="AZ72" s="244"/>
      <c r="BA72" s="244"/>
      <c r="BB72" s="244"/>
      <c r="BC72" s="244"/>
      <c r="BD72" s="244"/>
      <c r="BE72" s="244"/>
      <c r="BF72" s="244"/>
      <c r="BG72" s="244"/>
      <c r="BH72" s="244"/>
      <c r="BI72" s="244"/>
      <c r="BJ72" s="245"/>
      <c r="BK72" s="245"/>
      <c r="BL72" s="435"/>
    </row>
    <row r="73" spans="2:64" s="185" customFormat="1" ht="14.25" customHeight="1">
      <c r="B73" s="184"/>
      <c r="C73" s="762"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73" s="763" t="str">
        <f>IF(Indice_index!$Z$1=1,"Receita","Revenue")</f>
        <v>Revenue</v>
      </c>
      <c r="E73" s="182" t="s">
        <v>64</v>
      </c>
      <c r="F73" s="99"/>
      <c r="G73" s="138">
        <v>17.85285034</v>
      </c>
      <c r="H73" s="138"/>
      <c r="I73" s="182"/>
      <c r="J73" s="182"/>
      <c r="K73" s="182"/>
      <c r="L73" s="182"/>
      <c r="M73" s="182"/>
      <c r="N73" s="182"/>
      <c r="O73" s="182"/>
      <c r="P73" s="182"/>
      <c r="Q73" s="182"/>
      <c r="R73" s="182"/>
      <c r="S73" s="182">
        <f t="shared" si="55"/>
        <v>17.85285034</v>
      </c>
      <c r="T73" s="182">
        <f t="shared" si="64"/>
        <v>17.85285034</v>
      </c>
      <c r="U73" s="99"/>
      <c r="V73" s="138"/>
      <c r="W73" s="138"/>
      <c r="X73" s="182"/>
      <c r="Y73" s="182"/>
      <c r="Z73" s="182"/>
      <c r="AA73" s="182"/>
      <c r="AB73" s="182"/>
      <c r="AC73" s="182"/>
      <c r="AD73" s="182"/>
      <c r="AE73" s="182"/>
      <c r="AF73" s="182"/>
      <c r="AG73" s="182"/>
      <c r="AH73" s="182">
        <f t="shared" si="63"/>
        <v>0</v>
      </c>
      <c r="AI73" s="99"/>
      <c r="AJ73" s="243"/>
      <c r="AK73" s="243"/>
      <c r="AL73" s="243"/>
      <c r="AM73" s="244"/>
      <c r="AN73" s="244"/>
      <c r="AO73" s="244"/>
      <c r="AP73" s="244"/>
      <c r="AQ73" s="244"/>
      <c r="AR73" s="244"/>
      <c r="AS73" s="244"/>
      <c r="AT73" s="244"/>
      <c r="AU73" s="244"/>
      <c r="AV73" s="244"/>
      <c r="AW73" s="244"/>
      <c r="AX73" s="244"/>
      <c r="AY73" s="244"/>
      <c r="AZ73" s="244"/>
      <c r="BA73" s="244"/>
      <c r="BB73" s="244"/>
      <c r="BC73" s="244"/>
      <c r="BD73" s="244"/>
      <c r="BE73" s="244"/>
      <c r="BF73" s="244"/>
      <c r="BG73" s="244"/>
      <c r="BH73" s="244"/>
      <c r="BI73" s="244"/>
      <c r="BJ73" s="245"/>
      <c r="BK73" s="245"/>
      <c r="BL73" s="435"/>
    </row>
    <row r="74" spans="2:64" s="185" customFormat="1" ht="15.75">
      <c r="B74" s="184"/>
      <c r="C74" s="765" t="str">
        <f>IF(Indice_index!$Z$1=1,"Alienação de aeronaves à República da Roménia","Aircraft sales to the Republic of Romenia")</f>
        <v>Aircraft sales to the Republic of Romenia</v>
      </c>
      <c r="D74" s="766" t="str">
        <f>IF(Indice_index!$Z$1=1,"Receita","Revenue")</f>
        <v>Revenue</v>
      </c>
      <c r="E74" s="767" t="s">
        <v>27</v>
      </c>
      <c r="F74" s="768"/>
      <c r="G74" s="769">
        <v>20</v>
      </c>
      <c r="H74" s="769">
        <v>40.366095999999999</v>
      </c>
      <c r="I74" s="767"/>
      <c r="J74" s="767"/>
      <c r="K74" s="767"/>
      <c r="L74" s="767"/>
      <c r="M74" s="767"/>
      <c r="N74" s="767"/>
      <c r="O74" s="767">
        <v>7.7978269999999998</v>
      </c>
      <c r="P74" s="767"/>
      <c r="Q74" s="767"/>
      <c r="R74" s="767"/>
      <c r="S74" s="767">
        <f t="shared" si="55"/>
        <v>68.163922999999997</v>
      </c>
      <c r="T74" s="767">
        <f>SUM(G74:R74)</f>
        <v>68.163922999999997</v>
      </c>
      <c r="U74" s="768"/>
      <c r="V74" s="769"/>
      <c r="W74" s="769">
        <v>26.836077</v>
      </c>
      <c r="X74" s="767"/>
      <c r="Y74" s="767"/>
      <c r="Z74" s="767"/>
      <c r="AA74" s="767"/>
      <c r="AB74" s="767"/>
      <c r="AC74" s="767"/>
      <c r="AD74" s="767"/>
      <c r="AE74" s="767"/>
      <c r="AF74" s="767"/>
      <c r="AG74" s="767"/>
      <c r="AH74" s="767">
        <f>SUM(V74:AG74)</f>
        <v>26.836077</v>
      </c>
      <c r="AI74" s="99"/>
      <c r="AJ74" s="243"/>
      <c r="AK74" s="243"/>
      <c r="AL74" s="243"/>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5"/>
      <c r="BK74" s="245"/>
      <c r="BL74" s="435"/>
    </row>
    <row r="75" spans="2:64" s="185" customFormat="1" ht="25.5" hidden="1" customHeight="1">
      <c r="B75" s="184"/>
      <c r="C75" s="762" t="str">
        <f>IF(Indice_index!$Z$1=1,"Reclassificação, em 2020, de despesa com manuais suportada pelo Instituto de Gestão Financeira da Educação, I.P. para 'aquisição bens e serviços'.","Reclassification, in 2020, of Spending on schoolbooks by the Institute for Financial Management of Education to 'acquisition of goods and services'.")</f>
        <v>Reclassification, in 2020, of Spending on schoolbooks by the Institute for Financial Management of Education to 'acquisition of goods and services'.</v>
      </c>
      <c r="D75" s="1127" t="str">
        <f>IF(Indice_index!$Z$1=1,"Despesa","Expenditure")</f>
        <v>Expenditure</v>
      </c>
      <c r="E75" s="182" t="s">
        <v>39</v>
      </c>
      <c r="F75" s="99"/>
      <c r="G75" s="138"/>
      <c r="H75" s="138"/>
      <c r="I75" s="182"/>
      <c r="J75" s="182">
        <v>-0.89006331000000005</v>
      </c>
      <c r="K75" s="182">
        <v>-8.6349069999999917E-2</v>
      </c>
      <c r="L75" s="182">
        <v>0</v>
      </c>
      <c r="M75" s="182">
        <v>0</v>
      </c>
      <c r="N75" s="182">
        <v>-14.193182370000001</v>
      </c>
      <c r="O75" s="182">
        <v>0</v>
      </c>
      <c r="P75" s="182">
        <v>15.16959475</v>
      </c>
      <c r="Q75" s="182"/>
      <c r="R75" s="182"/>
      <c r="S75" s="182">
        <f t="shared" si="55"/>
        <v>0</v>
      </c>
      <c r="T75" s="182">
        <f t="shared" ref="T75" si="65">SUM(G75:R75)</f>
        <v>0</v>
      </c>
      <c r="U75" s="99"/>
      <c r="V75" s="138"/>
      <c r="W75" s="138"/>
      <c r="X75" s="182"/>
      <c r="Y75" s="182"/>
      <c r="Z75" s="182"/>
      <c r="AA75" s="182"/>
      <c r="AB75" s="182"/>
      <c r="AC75" s="182"/>
      <c r="AD75" s="182"/>
      <c r="AE75" s="182"/>
      <c r="AF75" s="182"/>
      <c r="AG75" s="182"/>
      <c r="AH75" s="182">
        <f t="shared" ref="AH75" si="66">SUM(V75:AG75)</f>
        <v>0</v>
      </c>
      <c r="AI75" s="99"/>
      <c r="AJ75" s="243"/>
      <c r="AK75" s="243"/>
      <c r="AL75" s="243"/>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5"/>
      <c r="BK75" s="245"/>
      <c r="BL75" s="435"/>
    </row>
    <row r="76" spans="2:64" s="185" customFormat="1" ht="25.5" customHeight="1">
      <c r="B76" s="184"/>
      <c r="C76" s="762" t="str">
        <f>IF(Indice_index!$Z$1=1,"Reclassificação, em 2020, de despesa com manuais suportada pelo Instituto de Gestão Financeira da Educação, I.P. para 'aquisição bens e serviços'.","Reclassification, in 2020, of Spending on schoolbooks by the Institute for Financial Management of Education to 'acquisition of goods and services'.")</f>
        <v>Reclassification, in 2020, of Spending on schoolbooks by the Institute for Financial Management of Education to 'acquisition of goods and services'.</v>
      </c>
      <c r="D76" s="1127" t="str">
        <f>IF(Indice_index!$Z$1=1,"Despesa","Expenditure")</f>
        <v>Expenditure</v>
      </c>
      <c r="E76" s="182" t="s">
        <v>33</v>
      </c>
      <c r="F76" s="99"/>
      <c r="G76" s="138"/>
      <c r="H76" s="138"/>
      <c r="I76" s="182"/>
      <c r="J76" s="182">
        <f>-J75</f>
        <v>0.89006331000000005</v>
      </c>
      <c r="K76" s="182">
        <f t="shared" ref="K76:P76" si="67">-K75</f>
        <v>8.6349069999999917E-2</v>
      </c>
      <c r="L76" s="182">
        <f t="shared" si="67"/>
        <v>0</v>
      </c>
      <c r="M76" s="182">
        <f t="shared" si="67"/>
        <v>0</v>
      </c>
      <c r="N76" s="182">
        <f t="shared" si="67"/>
        <v>14.193182370000001</v>
      </c>
      <c r="O76" s="182">
        <f t="shared" si="67"/>
        <v>0</v>
      </c>
      <c r="P76" s="182">
        <f t="shared" si="67"/>
        <v>-15.16959475</v>
      </c>
      <c r="Q76" s="182"/>
      <c r="R76" s="182"/>
      <c r="S76" s="182">
        <f t="shared" si="55"/>
        <v>0</v>
      </c>
      <c r="T76" s="182">
        <f>SUM(G76:R76)</f>
        <v>0</v>
      </c>
      <c r="U76" s="99"/>
      <c r="V76" s="138"/>
      <c r="W76" s="138"/>
      <c r="X76" s="182"/>
      <c r="Y76" s="182"/>
      <c r="Z76" s="182"/>
      <c r="AA76" s="182"/>
      <c r="AB76" s="182"/>
      <c r="AC76" s="182"/>
      <c r="AD76" s="182"/>
      <c r="AE76" s="182"/>
      <c r="AF76" s="182"/>
      <c r="AG76" s="182"/>
      <c r="AH76" s="182">
        <f>SUM(V76:AG76)</f>
        <v>0</v>
      </c>
      <c r="AI76" s="99"/>
      <c r="AJ76" s="243"/>
      <c r="AK76" s="243"/>
      <c r="AL76" s="243"/>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5"/>
      <c r="BK76" s="245"/>
      <c r="BL76" s="435"/>
    </row>
    <row r="77" spans="2:64" s="185" customFormat="1" ht="25.5" customHeight="1">
      <c r="B77" s="184"/>
      <c r="C77" s="762"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7" s="1127" t="str">
        <f>IF(Indice_index!$Z$1=1,"Despesa","Expenditure")</f>
        <v>Expenditure</v>
      </c>
      <c r="E77" s="182" t="s">
        <v>33</v>
      </c>
      <c r="F77" s="114"/>
      <c r="G77" s="138"/>
      <c r="H77" s="138">
        <v>0</v>
      </c>
      <c r="I77" s="182">
        <v>236.34821521999996</v>
      </c>
      <c r="J77" s="182">
        <v>14.224717400000035</v>
      </c>
      <c r="K77" s="182">
        <v>4.7269430000000003</v>
      </c>
      <c r="L77" s="182">
        <v>1.7355109999984502E-2</v>
      </c>
      <c r="M77" s="182">
        <v>-0.71129043000000713</v>
      </c>
      <c r="N77" s="182">
        <v>0.66766391999998687</v>
      </c>
      <c r="O77" s="182">
        <v>-3.7345629999995231E-2</v>
      </c>
      <c r="P77" s="182">
        <v>-3.5999998450279234E-7</v>
      </c>
      <c r="Q77" s="182">
        <v>9.8849999994039535E-5</v>
      </c>
      <c r="R77" s="182">
        <v>304.95366752999985</v>
      </c>
      <c r="S77" s="182">
        <f t="shared" si="55"/>
        <v>560.1900246099998</v>
      </c>
      <c r="T77" s="182">
        <f t="shared" ref="T77" si="68">SUM(G77:R77)</f>
        <v>560.1900246099998</v>
      </c>
      <c r="U77" s="114"/>
      <c r="V77" s="138"/>
      <c r="W77" s="138"/>
      <c r="X77" s="182"/>
      <c r="Y77" s="182"/>
      <c r="Z77" s="182"/>
      <c r="AA77" s="182"/>
      <c r="AB77" s="182"/>
      <c r="AC77" s="182">
        <v>334.63643481999998</v>
      </c>
      <c r="AD77" s="182">
        <v>9.7948094399999981</v>
      </c>
      <c r="AE77" s="182">
        <v>-8.3664099999666217E-3</v>
      </c>
      <c r="AF77" s="182">
        <v>-1.2073909999966621E-2</v>
      </c>
      <c r="AG77" s="182">
        <v>686.81839745999935</v>
      </c>
      <c r="AH77" s="182">
        <f t="shared" ref="AH77" si="69">SUM(V77:AG77)</f>
        <v>1031.2292013999995</v>
      </c>
      <c r="AI77" s="99"/>
      <c r="AJ77" s="243"/>
      <c r="AK77" s="243"/>
      <c r="AL77" s="243"/>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5"/>
      <c r="BK77" s="245"/>
      <c r="BL77" s="435"/>
    </row>
    <row r="78" spans="2:64" s="185" customFormat="1" ht="25.5" customHeight="1">
      <c r="B78" s="184"/>
      <c r="C78" s="762" t="str">
        <f>IF(Indice_index!$Z$1=1," Verba do contrato-programa transferida para o Hospital de Braga, E.P.E. nos meses anteriores à entrada em vigor da Lei do OE20 (b)","Program contract funds transferred to Braga Hospital in the months prior to the entry into force of the 2020 State Budget Law (b)")</f>
        <v>Program contract funds transferred to Braga Hospital in the months prior to the entry into force of the 2020 State Budget Law (b)</v>
      </c>
      <c r="D78" s="1127" t="str">
        <f>IF(Indice_index!$Z$1=1,"Despesa","Expenditure")</f>
        <v>Expenditure</v>
      </c>
      <c r="E78" s="182" t="s">
        <v>33</v>
      </c>
      <c r="F78" s="114"/>
      <c r="G78" s="138">
        <v>-16.829172719999999</v>
      </c>
      <c r="H78" s="138">
        <v>-16.829172719999999</v>
      </c>
      <c r="I78" s="182">
        <v>-16.829172719999999</v>
      </c>
      <c r="J78" s="182"/>
      <c r="K78" s="182"/>
      <c r="L78" s="182"/>
      <c r="M78" s="182"/>
      <c r="N78" s="182"/>
      <c r="O78" s="182"/>
      <c r="P78" s="182"/>
      <c r="Q78" s="182"/>
      <c r="R78" s="182"/>
      <c r="S78" s="182">
        <f t="shared" si="55"/>
        <v>-50.487518159999993</v>
      </c>
      <c r="T78" s="182">
        <f t="shared" ref="T78" si="70">SUM(G78:R78)</f>
        <v>-50.487518159999993</v>
      </c>
      <c r="U78" s="114"/>
      <c r="V78" s="138"/>
      <c r="W78" s="138"/>
      <c r="X78" s="182"/>
      <c r="Y78" s="182"/>
      <c r="Z78" s="182"/>
      <c r="AA78" s="182"/>
      <c r="AB78" s="182"/>
      <c r="AC78" s="182"/>
      <c r="AD78" s="182"/>
      <c r="AE78" s="182"/>
      <c r="AF78" s="182"/>
      <c r="AG78" s="182"/>
      <c r="AH78" s="182">
        <f t="shared" si="61"/>
        <v>0</v>
      </c>
      <c r="AI78" s="99"/>
      <c r="AJ78" s="243"/>
      <c r="AK78" s="243"/>
      <c r="AL78" s="243"/>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5"/>
      <c r="BK78" s="245"/>
      <c r="BL78" s="435"/>
    </row>
    <row r="79" spans="2:64" s="185" customFormat="1" ht="34.5" customHeight="1">
      <c r="B79" s="184"/>
      <c r="C79" s="762" t="str">
        <f>IF(Indice_index!$Z$1=1,"Pagamento de reconciliação à PPP do Hospital Beatriz Ângelo, realizado em janeiro de 2020, o qual consiste numa parcela da remuneração anual geralmente paga no ano seguinte ao que respeita, mas que, neste caso, refere-se ao ano de 2018.",C118)</f>
        <v>Reconciliation payment to the Hospital Beatriz Ângelo's public-private partnership, made in January 2020, which consists of a portion of the annual remuneration usually paid in the following year, but which, in this case, refers to if to the year 2018.</v>
      </c>
      <c r="D79" s="1127" t="str">
        <f>IF(Indice_index!$Z$1=1,"Despesa","Expenditure")</f>
        <v>Expenditure</v>
      </c>
      <c r="E79" s="182" t="s">
        <v>33</v>
      </c>
      <c r="F79" s="114"/>
      <c r="G79" s="138">
        <v>14.85077025</v>
      </c>
      <c r="H79" s="138"/>
      <c r="I79" s="182"/>
      <c r="J79" s="182"/>
      <c r="K79" s="182"/>
      <c r="L79" s="182"/>
      <c r="M79" s="182"/>
      <c r="N79" s="182"/>
      <c r="O79" s="182"/>
      <c r="P79" s="182"/>
      <c r="Q79" s="182"/>
      <c r="R79" s="182"/>
      <c r="S79" s="182">
        <f t="shared" si="55"/>
        <v>14.85077025</v>
      </c>
      <c r="T79" s="182">
        <f t="shared" ref="T79" si="71">SUM(G79:R79)</f>
        <v>14.85077025</v>
      </c>
      <c r="U79" s="114"/>
      <c r="V79" s="138"/>
      <c r="W79" s="138"/>
      <c r="X79" s="182"/>
      <c r="Y79" s="182"/>
      <c r="Z79" s="182"/>
      <c r="AA79" s="182"/>
      <c r="AB79" s="182"/>
      <c r="AC79" s="182"/>
      <c r="AD79" s="182"/>
      <c r="AE79" s="182"/>
      <c r="AF79" s="182"/>
      <c r="AG79" s="182"/>
      <c r="AH79" s="182">
        <f t="shared" si="61"/>
        <v>0</v>
      </c>
      <c r="AI79" s="99"/>
      <c r="AJ79" s="243"/>
      <c r="AK79" s="243"/>
      <c r="AL79" s="243"/>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5"/>
      <c r="BK79" s="245"/>
      <c r="BL79" s="435"/>
    </row>
    <row r="80" spans="2:64" s="185" customFormat="1" ht="22.5">
      <c r="B80" s="184"/>
      <c r="C80" s="762" t="str">
        <f>IF(Indice_index!$Z$1=1,"Direção-Geral de Recursos da Defesa Nacional - pagamento da última renda do contrato de locação dos Helicópteros EH-101.","Direção-Geral de Recursos da Defesa Nacional - Last payments associated with the EH-101 Helicopter Lease Agreement.")</f>
        <v>Direção-Geral de Recursos da Defesa Nacional - Last payments associated with the EH-101 Helicopter Lease Agreement.</v>
      </c>
      <c r="D80" s="1127" t="str">
        <f>IF(Indice_index!$Z$1=1,"Despesa","Expenditure")</f>
        <v>Expenditure</v>
      </c>
      <c r="E80" s="182" t="s">
        <v>33</v>
      </c>
      <c r="F80" s="114"/>
      <c r="G80" s="138"/>
      <c r="H80" s="138"/>
      <c r="I80" s="182"/>
      <c r="J80" s="182"/>
      <c r="K80" s="182"/>
      <c r="L80" s="182"/>
      <c r="M80" s="182"/>
      <c r="N80" s="182"/>
      <c r="O80" s="182"/>
      <c r="P80" s="182">
        <v>44.30328076</v>
      </c>
      <c r="Q80" s="182"/>
      <c r="R80" s="182"/>
      <c r="S80" s="182">
        <f t="shared" si="55"/>
        <v>44.30328076</v>
      </c>
      <c r="T80" s="182">
        <f t="shared" ref="T80" si="72">SUM(G80:R80)</f>
        <v>44.30328076</v>
      </c>
      <c r="U80" s="114"/>
      <c r="V80" s="138"/>
      <c r="W80" s="138"/>
      <c r="X80" s="182"/>
      <c r="Y80" s="182"/>
      <c r="Z80" s="182"/>
      <c r="AA80" s="182"/>
      <c r="AB80" s="182"/>
      <c r="AC80" s="182"/>
      <c r="AD80" s="182"/>
      <c r="AE80" s="182"/>
      <c r="AF80" s="182"/>
      <c r="AG80" s="182"/>
      <c r="AH80" s="182">
        <f t="shared" si="61"/>
        <v>0</v>
      </c>
      <c r="AI80" s="99"/>
      <c r="AJ80" s="243"/>
      <c r="AK80" s="243"/>
      <c r="AL80" s="243"/>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5"/>
      <c r="BK80" s="245"/>
      <c r="BL80" s="435"/>
    </row>
    <row r="81" spans="2:64" s="185" customFormat="1" ht="33.75">
      <c r="B81" s="184"/>
      <c r="C81" s="762" t="str">
        <f>IF(Indice_index!$Z$1=1,C128,C129)</f>
        <v>Directorate General for National Defence Resources - Payment made in December 2021, as a financial compensation for the use of public buildings, but which refers to the year 2020.</v>
      </c>
      <c r="D81" s="1127" t="str">
        <f>IF(Indice_index!$Z$1=1,"Despesa","Expenditure")</f>
        <v>Expenditure</v>
      </c>
      <c r="E81" s="182" t="s">
        <v>33</v>
      </c>
      <c r="F81" s="114"/>
      <c r="G81" s="138"/>
      <c r="H81" s="138"/>
      <c r="I81" s="182"/>
      <c r="J81" s="182"/>
      <c r="K81" s="182"/>
      <c r="L81" s="182"/>
      <c r="M81" s="182"/>
      <c r="N81" s="182"/>
      <c r="O81" s="182"/>
      <c r="P81" s="182"/>
      <c r="Q81" s="182"/>
      <c r="R81" s="182">
        <v>115.58609199999999</v>
      </c>
      <c r="S81" s="182">
        <f t="shared" ref="S81" si="73">SUM(G81:R81)</f>
        <v>115.58609199999999</v>
      </c>
      <c r="T81" s="182">
        <f t="shared" ref="T81" si="74">SUM(G81:R81)</f>
        <v>115.58609199999999</v>
      </c>
      <c r="U81" s="114"/>
      <c r="V81" s="138"/>
      <c r="W81" s="138"/>
      <c r="X81" s="182"/>
      <c r="Y81" s="182"/>
      <c r="Z81" s="182"/>
      <c r="AA81" s="182"/>
      <c r="AB81" s="182"/>
      <c r="AC81" s="182"/>
      <c r="AD81" s="182"/>
      <c r="AE81" s="182"/>
      <c r="AF81" s="182"/>
      <c r="AG81" s="182">
        <v>-115.58609199999999</v>
      </c>
      <c r="AH81" s="182">
        <f t="shared" ref="AH81" si="75">SUM(V81:AG81)</f>
        <v>-115.58609199999999</v>
      </c>
      <c r="AI81" s="99"/>
      <c r="AJ81" s="243"/>
      <c r="AK81" s="243"/>
      <c r="AL81" s="243"/>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5"/>
      <c r="BK81" s="245"/>
      <c r="BL81" s="435"/>
    </row>
    <row r="82" spans="2:64" s="185" customFormat="1" ht="26.25" customHeight="1">
      <c r="B82" s="184"/>
      <c r="C82" s="762" t="str">
        <f>IF(Indice_index!$Z$1=1,"Devolução pelo Fundo Europeu de Estabilização Financeira (FEEF) ao Estado português, da rentabilidade das prepaid margins retida aquando do desembolso inicial do empréstimo do PAEF.",C127)</f>
        <v>Return from the European Financial Stabilization Fund to the Portuguese State of the profitability of the prepaid margins retained when the loan was initially disbursed.</v>
      </c>
      <c r="D82" s="1127" t="str">
        <f>IF(Indice_index!$Z$1=1,"Despesa","Expenditure")</f>
        <v>Expenditure</v>
      </c>
      <c r="E82" s="182" t="s">
        <v>34</v>
      </c>
      <c r="F82" s="114"/>
      <c r="G82" s="138"/>
      <c r="H82" s="138"/>
      <c r="I82" s="182"/>
      <c r="J82" s="182"/>
      <c r="K82" s="182"/>
      <c r="L82" s="182"/>
      <c r="M82" s="182"/>
      <c r="N82" s="182"/>
      <c r="O82" s="182"/>
      <c r="P82" s="182"/>
      <c r="Q82" s="182"/>
      <c r="R82" s="182"/>
      <c r="S82" s="182">
        <f t="shared" si="55"/>
        <v>0</v>
      </c>
      <c r="T82" s="182">
        <f t="shared" ref="T82" si="76">SUM(G82:R82)</f>
        <v>0</v>
      </c>
      <c r="U82" s="114"/>
      <c r="V82" s="138"/>
      <c r="W82" s="138"/>
      <c r="X82" s="182"/>
      <c r="Y82" s="182"/>
      <c r="Z82" s="182"/>
      <c r="AA82" s="182"/>
      <c r="AB82" s="182">
        <v>-286.65263454000001</v>
      </c>
      <c r="AC82" s="182"/>
      <c r="AD82" s="182"/>
      <c r="AE82" s="182"/>
      <c r="AF82" s="182"/>
      <c r="AG82" s="182"/>
      <c r="AH82" s="182">
        <f t="shared" si="61"/>
        <v>-286.65263454000001</v>
      </c>
      <c r="AI82" s="99"/>
      <c r="AJ82" s="243"/>
      <c r="AK82" s="243"/>
      <c r="AL82" s="243"/>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5"/>
      <c r="BK82" s="245"/>
      <c r="BL82" s="435"/>
    </row>
    <row r="83" spans="2:64" s="185" customFormat="1" ht="34.5" customHeight="1">
      <c r="B83" s="184"/>
      <c r="C83" s="762" t="str">
        <f>IF(Indice_index!$Z$1=1,"Transferências correntes - compensação faseada às autarquias relativamente às transferências efetivadas em 2018 ao abrigo da Lei de Finanças Locais - art. 5.º da Lei n.º 73/2013, de 3 de setembro, na redação pela Lei n.º 51/2018, 16 de agosto",C122)</f>
        <v>Compensation mechanism between 2019 and 2021 for the part of the transfers not delivered in 2018, due to the maximum growth limitation mechanism for each municipality and parish in the previous version of the Local Finances Law (current transfers)</v>
      </c>
      <c r="D83" s="1127" t="str">
        <f>IF(Indice_index!$Z$1=1,"Despesa","Expenditure")</f>
        <v>Expenditure</v>
      </c>
      <c r="E83" s="138" t="s">
        <v>36</v>
      </c>
      <c r="F83" s="99"/>
      <c r="G83" s="138">
        <v>1.4663520000000001</v>
      </c>
      <c r="H83" s="138"/>
      <c r="I83" s="138"/>
      <c r="J83" s="138">
        <v>8.9561019999999996</v>
      </c>
      <c r="K83" s="138">
        <v>4.8499999999940258E-4</v>
      </c>
      <c r="L83" s="138">
        <v>1.5809999999998325E-3</v>
      </c>
      <c r="M83" s="138">
        <v>5.2107420000000015</v>
      </c>
      <c r="N83" s="138">
        <v>0</v>
      </c>
      <c r="O83" s="138">
        <v>0</v>
      </c>
      <c r="P83" s="138">
        <v>5.2178399999999989</v>
      </c>
      <c r="Q83" s="138"/>
      <c r="R83" s="138"/>
      <c r="S83" s="182">
        <f t="shared" si="55"/>
        <v>20.853102</v>
      </c>
      <c r="T83" s="182">
        <f t="shared" ref="T83" si="77">SUM(G83:R83)</f>
        <v>20.853102</v>
      </c>
      <c r="U83" s="99"/>
      <c r="V83" s="138">
        <v>5.8756139999999997</v>
      </c>
      <c r="W83" s="138"/>
      <c r="X83" s="182"/>
      <c r="Y83" s="182">
        <v>5.8756139999999988</v>
      </c>
      <c r="Z83" s="182"/>
      <c r="AA83" s="182"/>
      <c r="AB83" s="182">
        <v>5.8753380000000011</v>
      </c>
      <c r="AC83" s="182">
        <v>0</v>
      </c>
      <c r="AD83" s="182">
        <v>0</v>
      </c>
      <c r="AE83" s="182">
        <v>5.8782579999999989</v>
      </c>
      <c r="AF83" s="1357"/>
      <c r="AG83" s="1357"/>
      <c r="AH83" s="182">
        <f t="shared" si="61"/>
        <v>23.504823999999996</v>
      </c>
      <c r="AI83" s="99"/>
      <c r="AJ83" s="243"/>
      <c r="AK83" s="243"/>
      <c r="AL83" s="243"/>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5"/>
      <c r="BK83" s="245"/>
      <c r="BL83" s="435"/>
    </row>
    <row r="84" spans="2:64" s="185" customFormat="1" ht="33" customHeight="1">
      <c r="B84" s="184"/>
      <c r="C84" s="762" t="str">
        <f>IF(Indice_index!$Z$1=1,"Participação municípios 7,5% IVA cobrado nos setores do alojamento, restauração, comunicações, eletricidade, água e gás, liquidado na circunscrição territorial - art.º 25.º da Lei n.º 73/2013, de 3/09, na redação atual",C124)</f>
        <v>Municipality participation of 7.5% of the VAT charged in the sectors of accommodation, catering, communications, electricity, water and gas, settled in the territorial area - Article 25 of Law No. 73/2013, of 3/09, in the current wording</v>
      </c>
      <c r="D84" s="1127" t="str">
        <f>IF(Indice_index!$Z$1=1,"Despesa","Expenditure")</f>
        <v>Expenditure</v>
      </c>
      <c r="E84" s="138" t="s">
        <v>36</v>
      </c>
      <c r="F84" s="99"/>
      <c r="G84" s="138"/>
      <c r="H84" s="138"/>
      <c r="I84" s="138"/>
      <c r="J84" s="138">
        <v>20.718792000000001</v>
      </c>
      <c r="K84" s="138">
        <v>5.3289834999999997</v>
      </c>
      <c r="L84" s="138">
        <v>6.3526660200000009</v>
      </c>
      <c r="M84" s="138">
        <v>4.9794180000000026</v>
      </c>
      <c r="N84" s="138">
        <v>0</v>
      </c>
      <c r="O84" s="138">
        <v>0</v>
      </c>
      <c r="P84" s="138">
        <v>14.938254000000001</v>
      </c>
      <c r="Q84" s="138">
        <v>4.9794180000000026</v>
      </c>
      <c r="R84" s="138">
        <v>4.8605344299999942</v>
      </c>
      <c r="S84" s="182">
        <f t="shared" si="55"/>
        <v>62.158065950000001</v>
      </c>
      <c r="T84" s="182">
        <f t="shared" ref="T84" si="78">SUM(G84:R84)</f>
        <v>62.158065950000001</v>
      </c>
      <c r="U84" s="99"/>
      <c r="V84" s="138">
        <v>4.7502959999999996</v>
      </c>
      <c r="W84" s="138">
        <v>4.8432015700000006</v>
      </c>
      <c r="X84" s="182">
        <v>4.7592889100000004</v>
      </c>
      <c r="Y84" s="182">
        <v>4.7482440000000015</v>
      </c>
      <c r="Z84" s="182">
        <v>4.7553652899999967</v>
      </c>
      <c r="AA84" s="182">
        <v>4.7482439999999997</v>
      </c>
      <c r="AB84" s="182">
        <v>6.1929318700000024</v>
      </c>
      <c r="AC84" s="182">
        <v>4.4593050000000005</v>
      </c>
      <c r="AD84" s="182">
        <v>4.4593050000000005</v>
      </c>
      <c r="AE84" s="182">
        <v>4.4593050000000005</v>
      </c>
      <c r="AF84" s="182">
        <v>4.4593050000000005</v>
      </c>
      <c r="AG84" s="182">
        <v>4.3704263599999962</v>
      </c>
      <c r="AH84" s="182">
        <f t="shared" si="61"/>
        <v>57.005217999999999</v>
      </c>
      <c r="AI84" s="99"/>
      <c r="AJ84" s="243"/>
      <c r="AK84" s="243"/>
      <c r="AL84" s="243"/>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5"/>
      <c r="BK84" s="245"/>
      <c r="BL84" s="435"/>
    </row>
    <row r="85" spans="2:64" s="185" customFormat="1" ht="34.5" customHeight="1">
      <c r="B85" s="184"/>
      <c r="C85" s="762" t="str">
        <f>IF(Indice_index!$Z$1=1,"Devolução de contribuições ao BdP pelo FGCAM (Decreto-Lei n.º 106/2019 - transferência da vertente de garantia de depósitos do Fundo de Garantia do Crédito Agrícola Mútuo para o Fundo de Garantia de Depósitos)","Return of contributions to the Portuguese Central Bank by the Mutual Agricultural Credit Guarantee Fund (FGCAM) - Decree-Law no. 106/2019 (transfers the deposits guarantee function of the FGCAM to the Deposits Guarantee Fund)")</f>
        <v>Return of contributions to the Portuguese Central Bank by the Mutual Agricultural Credit Guarantee Fund (FGCAM) - Decree-Law no. 106/2019 (transfers the deposits guarantee function of the FGCAM to the Deposits Guarantee Fund)</v>
      </c>
      <c r="D85" s="1127" t="str">
        <f>IF(Indice_index!$Z$1=1,"Despesa","Expenditure")</f>
        <v>Expenditure</v>
      </c>
      <c r="E85" s="138" t="s">
        <v>37</v>
      </c>
      <c r="F85" s="99"/>
      <c r="G85" s="138">
        <v>81.155993649999999</v>
      </c>
      <c r="H85" s="138"/>
      <c r="I85" s="138"/>
      <c r="J85" s="138"/>
      <c r="K85" s="138"/>
      <c r="L85" s="138"/>
      <c r="M85" s="138"/>
      <c r="N85" s="138"/>
      <c r="O85" s="138"/>
      <c r="P85" s="138"/>
      <c r="Q85" s="138"/>
      <c r="R85" s="138"/>
      <c r="S85" s="182">
        <f t="shared" si="55"/>
        <v>81.155993649999999</v>
      </c>
      <c r="T85" s="182">
        <f t="shared" ref="T85" si="79">SUM(G85:R85)</f>
        <v>81.155993649999999</v>
      </c>
      <c r="U85" s="99"/>
      <c r="V85" s="138"/>
      <c r="W85" s="138"/>
      <c r="X85" s="182"/>
      <c r="Y85" s="182"/>
      <c r="Z85" s="182"/>
      <c r="AA85" s="182"/>
      <c r="AB85" s="182"/>
      <c r="AC85" s="182"/>
      <c r="AD85" s="182"/>
      <c r="AE85" s="182"/>
      <c r="AF85" s="182"/>
      <c r="AG85" s="182"/>
      <c r="AH85" s="182">
        <f t="shared" ref="AH85:AH88" si="80">SUM(V85:AG85)</f>
        <v>0</v>
      </c>
      <c r="AI85" s="99"/>
      <c r="AJ85" s="243"/>
      <c r="AK85" s="243"/>
      <c r="AL85" s="243"/>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5"/>
      <c r="BK85" s="245"/>
      <c r="BL85" s="435"/>
    </row>
    <row r="86" spans="2:64" s="185" customFormat="1" ht="34.5" customHeight="1">
      <c r="B86" s="184"/>
      <c r="C86" s="762"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86" s="1127" t="str">
        <f>IF(Indice_index!$Z$1=1,"Despesa","Expenditure")</f>
        <v>Expenditure</v>
      </c>
      <c r="E86" s="138" t="s">
        <v>37</v>
      </c>
      <c r="F86" s="99"/>
      <c r="G86" s="138"/>
      <c r="H86" s="138"/>
      <c r="I86" s="138">
        <v>44.12</v>
      </c>
      <c r="J86" s="138"/>
      <c r="K86" s="138"/>
      <c r="L86" s="138"/>
      <c r="M86" s="138"/>
      <c r="N86" s="138"/>
      <c r="O86" s="138"/>
      <c r="P86" s="138"/>
      <c r="Q86" s="138"/>
      <c r="R86" s="138">
        <v>45.74</v>
      </c>
      <c r="S86" s="182">
        <f t="shared" si="55"/>
        <v>89.86</v>
      </c>
      <c r="T86" s="182">
        <f>SUM(G86:R86)</f>
        <v>89.86</v>
      </c>
      <c r="U86" s="99"/>
      <c r="V86" s="138"/>
      <c r="W86" s="138"/>
      <c r="X86" s="182"/>
      <c r="Y86" s="182"/>
      <c r="Z86" s="182"/>
      <c r="AA86" s="182"/>
      <c r="AB86" s="182">
        <v>10.34</v>
      </c>
      <c r="AC86" s="182"/>
      <c r="AD86" s="182"/>
      <c r="AE86" s="182"/>
      <c r="AF86" s="182"/>
      <c r="AG86" s="1356"/>
      <c r="AH86" s="182">
        <f t="shared" si="80"/>
        <v>10.34</v>
      </c>
      <c r="AI86" s="99"/>
      <c r="AJ86" s="243"/>
      <c r="AK86" s="243"/>
      <c r="AL86" s="243"/>
      <c r="AM86" s="244"/>
      <c r="AN86" s="244"/>
      <c r="AO86" s="244"/>
      <c r="AP86" s="244"/>
      <c r="AQ86" s="244"/>
      <c r="AR86" s="244"/>
      <c r="AS86" s="244"/>
      <c r="AT86" s="244"/>
      <c r="AU86" s="244"/>
      <c r="AV86" s="244"/>
      <c r="AW86" s="244"/>
      <c r="AX86" s="244"/>
      <c r="AY86" s="244"/>
      <c r="AZ86" s="244"/>
      <c r="BA86" s="244"/>
      <c r="BB86" s="244"/>
      <c r="BC86" s="244"/>
      <c r="BD86" s="244"/>
      <c r="BE86" s="244"/>
      <c r="BF86" s="244"/>
      <c r="BG86" s="244"/>
      <c r="BH86" s="244"/>
      <c r="BI86" s="244"/>
      <c r="BJ86" s="245"/>
      <c r="BK86" s="245"/>
      <c r="BL86" s="435"/>
    </row>
    <row r="87" spans="2:64" s="185" customFormat="1" ht="22.5">
      <c r="B87" s="184"/>
      <c r="C87" s="762" t="str">
        <f>IF(Indice_index!$Z$1=1,"Garantia ao Fundo de Recuperação de Créditos dos investidores não qualificados titulares de papel comercial da ESI e Rio Forte. ","Guarantee given to the Credit Recovery Fund of non-qualified commercial paper investors of Espírito Santo Internacional (ESI) and RioForte holding.")</f>
        <v>Guarantee given to the Credit Recovery Fund of non-qualified commercial paper investors of Espírito Santo Internacional (ESI) and RioForte holding.</v>
      </c>
      <c r="D87" s="1127" t="str">
        <f>IF(Indice_index!$Z$1=1,"Despesa","Expenditure")</f>
        <v>Expenditure</v>
      </c>
      <c r="E87" s="138" t="s">
        <v>39</v>
      </c>
      <c r="F87" s="99"/>
      <c r="G87" s="138"/>
      <c r="H87" s="138"/>
      <c r="I87" s="138"/>
      <c r="J87" s="138"/>
      <c r="K87" s="138"/>
      <c r="L87" s="138">
        <v>76.176901310000005</v>
      </c>
      <c r="M87" s="138">
        <v>0.1053125</v>
      </c>
      <c r="N87" s="138"/>
      <c r="O87" s="138"/>
      <c r="P87" s="138"/>
      <c r="Q87" s="138"/>
      <c r="R87" s="138">
        <v>5.4836189999997599E-2</v>
      </c>
      <c r="S87" s="182">
        <f t="shared" si="55"/>
        <v>76.337050000000005</v>
      </c>
      <c r="T87" s="182">
        <f>SUM(G87:R87)</f>
        <v>76.337050000000005</v>
      </c>
      <c r="U87" s="99"/>
      <c r="V87" s="138"/>
      <c r="W87" s="138"/>
      <c r="X87" s="182"/>
      <c r="Y87" s="182"/>
      <c r="Z87" s="182"/>
      <c r="AA87" s="182"/>
      <c r="AB87" s="182"/>
      <c r="AC87" s="182"/>
      <c r="AD87" s="182"/>
      <c r="AE87" s="182"/>
      <c r="AF87" s="182"/>
      <c r="AG87" s="1356"/>
      <c r="AH87" s="182">
        <f t="shared" si="80"/>
        <v>0</v>
      </c>
      <c r="AI87" s="99"/>
      <c r="AJ87" s="243"/>
      <c r="AK87" s="243"/>
      <c r="AL87" s="243"/>
      <c r="AM87" s="244"/>
      <c r="AN87" s="244"/>
      <c r="AO87" s="244"/>
      <c r="AP87" s="244"/>
      <c r="AQ87" s="244"/>
      <c r="AR87" s="244"/>
      <c r="AS87" s="244"/>
      <c r="AT87" s="244"/>
      <c r="AU87" s="244"/>
      <c r="AV87" s="244"/>
      <c r="AW87" s="244"/>
      <c r="AX87" s="244"/>
      <c r="AY87" s="244"/>
      <c r="AZ87" s="244"/>
      <c r="BA87" s="244"/>
      <c r="BB87" s="244"/>
      <c r="BC87" s="244"/>
      <c r="BD87" s="244"/>
      <c r="BE87" s="244"/>
      <c r="BF87" s="244"/>
      <c r="BG87" s="244"/>
      <c r="BH87" s="244"/>
      <c r="BI87" s="244"/>
      <c r="BJ87" s="245"/>
      <c r="BK87" s="245"/>
      <c r="BL87" s="435"/>
    </row>
    <row r="88" spans="2:64" s="185" customFormat="1" ht="34.5" customHeight="1">
      <c r="B88" s="184"/>
      <c r="C88" s="762" t="str">
        <f>IF(Indice_index!$Z$1=1,"Metropolitano de Lisboa, E.P.E. - pagamentos de valor residual de contrato de leasing operacional de material circulante.","Metropolitano de Lisboa, E.P.E. - residual value payments of a rolling stock operating leasing contract.")</f>
        <v>Metropolitano de Lisboa, E.P.E. - residual value payments of a rolling stock operating leasing contract.</v>
      </c>
      <c r="D88" s="1127" t="str">
        <f>IF(Indice_index!$Z$1=1,"Despesa","Expenditure")</f>
        <v>Expenditure</v>
      </c>
      <c r="E88" s="138" t="s">
        <v>40</v>
      </c>
      <c r="F88" s="99"/>
      <c r="G88" s="138"/>
      <c r="H88" s="138"/>
      <c r="I88" s="138">
        <v>51.4</v>
      </c>
      <c r="J88" s="138"/>
      <c r="K88" s="138"/>
      <c r="L88" s="138"/>
      <c r="M88" s="138"/>
      <c r="N88" s="138"/>
      <c r="O88" s="138"/>
      <c r="P88" s="138"/>
      <c r="Q88" s="138"/>
      <c r="R88" s="138">
        <v>-1.4</v>
      </c>
      <c r="S88" s="182">
        <f t="shared" si="55"/>
        <v>50</v>
      </c>
      <c r="T88" s="182">
        <f t="shared" ref="T88" si="81">SUM(G88:R88)</f>
        <v>50</v>
      </c>
      <c r="U88" s="99"/>
      <c r="V88" s="138"/>
      <c r="W88" s="138"/>
      <c r="X88" s="182"/>
      <c r="Y88" s="182"/>
      <c r="Z88" s="182"/>
      <c r="AA88" s="182"/>
      <c r="AB88" s="182"/>
      <c r="AC88" s="182"/>
      <c r="AD88" s="182">
        <v>52.777777999999998</v>
      </c>
      <c r="AE88" s="182"/>
      <c r="AF88" s="182"/>
      <c r="AG88" s="182"/>
      <c r="AH88" s="182">
        <f t="shared" si="80"/>
        <v>52.777777999999998</v>
      </c>
      <c r="AI88" s="99"/>
      <c r="AJ88" s="243"/>
      <c r="AK88" s="243"/>
      <c r="AL88" s="243"/>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5"/>
      <c r="BK88" s="245"/>
      <c r="BL88" s="435"/>
    </row>
    <row r="89" spans="2:64" s="185" customFormat="1" ht="34.5" customHeight="1">
      <c r="B89" s="184"/>
      <c r="C89" s="762" t="str">
        <f>IF(Indice_index!$Z$1=1,"Transferências de capital - compensação faseada às autarquias relativamente às transferências efetivadas em 2018 ao abrigo da Lei de Finanças Locais - art.º 5.º da Lei n.º 73/2013, de 3 de setembro, na redação pela Lei n.º 51/2018, 16 de agosto",C123)</f>
        <v>Compensation mechanism between 2019 and 2021 for the part of the transfers not delivered in 2018, due to the maximum growth limitation mechanism for each municipality and parish in the previous version of the Local Finances Law (capital transfers)</v>
      </c>
      <c r="D89" s="1127" t="str">
        <f>IF(Indice_index!$Z$1=1,"Despesa","Expenditure")</f>
        <v>Expenditure</v>
      </c>
      <c r="E89" s="138" t="s">
        <v>42</v>
      </c>
      <c r="F89" s="99"/>
      <c r="G89" s="138">
        <v>9.4805960000000002</v>
      </c>
      <c r="H89" s="138">
        <v>9.4805960000000002</v>
      </c>
      <c r="I89" s="138">
        <v>9.4805959999999985</v>
      </c>
      <c r="J89" s="138">
        <v>21.817246999999998</v>
      </c>
      <c r="K89" s="138">
        <v>12.347923000000002</v>
      </c>
      <c r="L89" s="138">
        <v>11.278878999999996</v>
      </c>
      <c r="M89" s="138">
        <v>12.153590000000008</v>
      </c>
      <c r="N89" s="138">
        <v>12.207551999999993</v>
      </c>
      <c r="O89" s="138">
        <v>12.207552000000007</v>
      </c>
      <c r="P89" s="138">
        <v>12.207551999999993</v>
      </c>
      <c r="Q89" s="138">
        <v>12.207551999999993</v>
      </c>
      <c r="R89" s="138">
        <v>12.003792999999973</v>
      </c>
      <c r="S89" s="182">
        <f t="shared" si="55"/>
        <v>146.87342799999996</v>
      </c>
      <c r="T89" s="182">
        <f t="shared" ref="T89" si="82">SUM(G89:R89)</f>
        <v>146.87342799999996</v>
      </c>
      <c r="U89" s="99"/>
      <c r="V89" s="138">
        <v>13.88124</v>
      </c>
      <c r="W89" s="138">
        <v>14.138688</v>
      </c>
      <c r="X89" s="182">
        <v>13.929066999999996</v>
      </c>
      <c r="Y89" s="182">
        <v>13.865551000000004</v>
      </c>
      <c r="Z89" s="182">
        <v>13.901340999999995</v>
      </c>
      <c r="AA89" s="182">
        <v>13.865551000000011</v>
      </c>
      <c r="AB89" s="182">
        <v>13.865550999999996</v>
      </c>
      <c r="AC89" s="182">
        <v>13.865550999999996</v>
      </c>
      <c r="AD89" s="182">
        <v>13.865550999999996</v>
      </c>
      <c r="AE89" s="182">
        <v>13.865551000000011</v>
      </c>
      <c r="AF89" s="182">
        <v>13.865550999999982</v>
      </c>
      <c r="AG89" s="182">
        <v>13.667325999999974</v>
      </c>
      <c r="AH89" s="182">
        <f t="shared" ref="AH89:AH90" si="83">SUM(V89:AG89)</f>
        <v>166.57651899999996</v>
      </c>
      <c r="AI89" s="99"/>
      <c r="AJ89" s="243"/>
      <c r="AK89" s="243"/>
      <c r="AL89" s="243"/>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5"/>
      <c r="BK89" s="245"/>
      <c r="BL89" s="435"/>
    </row>
    <row r="90" spans="2:64" s="185" customFormat="1" ht="34.5" customHeight="1">
      <c r="B90" s="184"/>
      <c r="C90" s="762" t="str">
        <f>IF(Indice_index!$Z$1=1,"Reclassificação, de ativos financeiros para transferências, dos pagamentos realizados pelo Fundo de Resolução (FdR) ao Novo Banco ao abrigo do mecanismo de capitalização contingente a partir da conta de gerência de 2020.",C125)</f>
        <v>Reclassification, from financial assets to transfers, of payments made by the Resolution Fund (FdR) to Novo Banco under the contingent capitalization mechanism from the 2020 final accounts.</v>
      </c>
      <c r="D90" s="1127" t="str">
        <f>IF(Indice_index!$Z$1=1,"Despesa","Expenditure")</f>
        <v>Expenditure</v>
      </c>
      <c r="E90" s="138" t="s">
        <v>43</v>
      </c>
      <c r="F90" s="99"/>
      <c r="G90" s="138"/>
      <c r="H90" s="138"/>
      <c r="I90" s="138"/>
      <c r="J90" s="138"/>
      <c r="K90" s="138"/>
      <c r="L90" s="138"/>
      <c r="M90" s="138"/>
      <c r="N90" s="138"/>
      <c r="O90" s="138"/>
      <c r="P90" s="138"/>
      <c r="Q90" s="138"/>
      <c r="R90" s="138">
        <v>1035.0156119999999</v>
      </c>
      <c r="S90" s="182">
        <f t="shared" si="55"/>
        <v>1035.0156119999999</v>
      </c>
      <c r="T90" s="182">
        <f t="shared" ref="T90" si="84">SUM(G90:R90)</f>
        <v>1035.0156119999999</v>
      </c>
      <c r="U90" s="99"/>
      <c r="V90" s="138"/>
      <c r="W90" s="138"/>
      <c r="X90" s="182"/>
      <c r="Y90" s="182"/>
      <c r="Z90" s="182"/>
      <c r="AA90" s="182">
        <v>317.012629</v>
      </c>
      <c r="AB90" s="182"/>
      <c r="AC90" s="182"/>
      <c r="AD90" s="182"/>
      <c r="AE90" s="182"/>
      <c r="AF90" s="182"/>
      <c r="AG90" s="182">
        <v>112</v>
      </c>
      <c r="AH90" s="182">
        <f t="shared" si="83"/>
        <v>429.012629</v>
      </c>
      <c r="AI90" s="99"/>
      <c r="AJ90" s="243"/>
      <c r="AK90" s="243"/>
      <c r="AL90" s="243"/>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5"/>
      <c r="BK90" s="245"/>
      <c r="BL90" s="435"/>
    </row>
    <row r="91" spans="2:64" s="185" customFormat="1" ht="25.5" customHeight="1">
      <c r="B91" s="184"/>
      <c r="C91" s="1345"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91" s="1346" t="str">
        <f>IF(Indice_index!$Z$1=1,"Despesa","Expenditure")</f>
        <v>Expenditure</v>
      </c>
      <c r="E91" s="928" t="s">
        <v>43</v>
      </c>
      <c r="F91" s="1347"/>
      <c r="G91" s="928"/>
      <c r="H91" s="928"/>
      <c r="I91" s="928"/>
      <c r="J91" s="928"/>
      <c r="K91" s="928"/>
      <c r="L91" s="928"/>
      <c r="M91" s="928"/>
      <c r="N91" s="928"/>
      <c r="O91" s="928"/>
      <c r="P91" s="928"/>
      <c r="Q91" s="928"/>
      <c r="R91" s="928">
        <v>185.86600000000001</v>
      </c>
      <c r="S91" s="1348">
        <f t="shared" si="55"/>
        <v>185.86600000000001</v>
      </c>
      <c r="T91" s="1348">
        <f>SUM(G91:R91)</f>
        <v>185.86600000000001</v>
      </c>
      <c r="U91" s="1347"/>
      <c r="V91" s="928"/>
      <c r="W91" s="928"/>
      <c r="X91" s="1348"/>
      <c r="Y91" s="1348"/>
      <c r="Z91" s="1348"/>
      <c r="AA91" s="1348"/>
      <c r="AB91" s="1348"/>
      <c r="AC91" s="1348"/>
      <c r="AD91" s="1348"/>
      <c r="AE91" s="1348"/>
      <c r="AF91" s="1348">
        <v>21.777260999999999</v>
      </c>
      <c r="AG91" s="1348">
        <v>112.65037024</v>
      </c>
      <c r="AH91" s="1348">
        <f t="shared" si="61"/>
        <v>134.42763124000001</v>
      </c>
      <c r="AI91" s="99"/>
      <c r="AJ91" s="243"/>
      <c r="AK91" s="243"/>
      <c r="AL91" s="243"/>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5"/>
      <c r="BK91" s="245"/>
      <c r="BL91" s="435"/>
    </row>
    <row r="92" spans="2:64" s="185" customFormat="1" ht="4.5" customHeight="1">
      <c r="B92" s="184"/>
      <c r="C92" s="762"/>
      <c r="D92" s="1127"/>
      <c r="E92" s="138"/>
      <c r="F92" s="114"/>
      <c r="G92" s="138"/>
      <c r="H92" s="138"/>
      <c r="I92" s="138"/>
      <c r="J92" s="138"/>
      <c r="K92" s="138"/>
      <c r="L92" s="138"/>
      <c r="M92" s="138"/>
      <c r="N92" s="138"/>
      <c r="O92" s="138"/>
      <c r="P92" s="138"/>
      <c r="Q92" s="138"/>
      <c r="R92" s="138"/>
      <c r="S92" s="182"/>
      <c r="T92" s="182"/>
      <c r="U92" s="114"/>
      <c r="V92" s="138"/>
      <c r="W92" s="138"/>
      <c r="X92" s="182"/>
      <c r="Y92" s="182"/>
      <c r="Z92" s="182"/>
      <c r="AA92" s="182"/>
      <c r="AB92" s="182"/>
      <c r="AC92" s="182"/>
      <c r="AD92" s="182"/>
      <c r="AE92" s="182"/>
      <c r="AF92" s="182"/>
      <c r="AG92" s="182"/>
      <c r="AH92" s="182"/>
      <c r="AI92" s="99"/>
      <c r="AJ92" s="243"/>
      <c r="AK92" s="243"/>
      <c r="AL92" s="243"/>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5"/>
      <c r="BK92" s="245"/>
      <c r="BL92" s="435"/>
    </row>
    <row r="93" spans="2:64" s="183" customFormat="1" ht="23.25" customHeight="1">
      <c r="B93" s="180"/>
      <c r="C93" s="1671" t="str">
        <f>IF(Indice_index!$Z$1=1,"(a) Os valores identificados neste item correspondem aos que foram registados pelas entidades nos sistemas de informação de suporte ao acompanhamento da execução orçamental. "&amp;C109,C110)</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93" s="1671"/>
      <c r="E93" s="1671"/>
      <c r="F93" s="1671"/>
      <c r="G93" s="1671"/>
      <c r="H93" s="1671"/>
      <c r="I93" s="1671"/>
      <c r="J93" s="1671"/>
      <c r="K93" s="1671"/>
      <c r="L93" s="1671"/>
      <c r="M93" s="1671"/>
      <c r="N93" s="1671"/>
      <c r="O93" s="1671"/>
      <c r="P93" s="1671"/>
      <c r="Q93" s="1671"/>
      <c r="R93" s="1671"/>
      <c r="S93" s="1671"/>
      <c r="T93" s="1671"/>
      <c r="U93" s="1671"/>
      <c r="V93" s="1671"/>
      <c r="W93" s="1671"/>
      <c r="X93" s="1671"/>
      <c r="Y93" s="1671"/>
      <c r="Z93" s="1671"/>
      <c r="AA93" s="1671"/>
      <c r="AB93" s="1671"/>
      <c r="AC93" s="1671"/>
      <c r="AD93" s="1671"/>
      <c r="AE93" s="1671"/>
      <c r="AF93" s="1671"/>
      <c r="AG93" s="1671"/>
      <c r="AH93" s="1671"/>
      <c r="AI93" s="99"/>
      <c r="AJ93" s="243"/>
      <c r="AK93" s="243"/>
      <c r="AL93" s="243"/>
      <c r="AM93" s="242"/>
      <c r="AN93" s="242"/>
      <c r="AO93" s="242"/>
      <c r="AP93" s="242"/>
      <c r="AQ93" s="242"/>
      <c r="AR93" s="242"/>
      <c r="AS93" s="242"/>
      <c r="AT93" s="242"/>
      <c r="AU93" s="242"/>
      <c r="AV93" s="242"/>
      <c r="AW93" s="242"/>
      <c r="AX93" s="242"/>
      <c r="AY93" s="242"/>
      <c r="AZ93" s="242"/>
      <c r="BA93" s="242"/>
      <c r="BB93" s="242"/>
      <c r="BC93" s="242"/>
      <c r="BD93" s="242"/>
      <c r="BE93" s="242"/>
      <c r="BF93" s="242"/>
      <c r="BG93" s="242"/>
      <c r="BH93" s="242"/>
      <c r="BI93" s="242"/>
      <c r="BJ93" s="239"/>
      <c r="BK93" s="239"/>
      <c r="BL93" s="435"/>
    </row>
    <row r="94" spans="2:64" s="183" customFormat="1" ht="45" customHeight="1">
      <c r="B94" s="180"/>
      <c r="C94" s="1671" t="str">
        <f>IF(Indice_index!$Z$1=1,"(b) Por força do Decreto-lei n.º 75/2019, de 30 de maio, foi constituída uma nova empresa pública, o Hospital de Braga, E.P.E., com efeitos a 1 de setembro de 2019, "&amp;C114,C115)</f>
        <v>(b) The Decree-Law no. 75/2019, of 30 May, determined the constitution of a new State-owned enterprise, the Braga Hospital, from 1 September 2019 onwards, while previously this health unit was under a management contract concluded under the public-private partnership regime. Accordingly, this new public entity joined the Central Government perimeter in 2020. However, since in 2019 legislative elections took place in October, the 2020 State Budget Law came into force in April 2020, so, for the first three months, the funds of the program contract allocated to that hospital unit should be removed for purposes of comparability.</v>
      </c>
      <c r="D94" s="1671"/>
      <c r="E94" s="1671"/>
      <c r="F94" s="1671"/>
      <c r="G94" s="1671"/>
      <c r="H94" s="1671"/>
      <c r="I94" s="1671"/>
      <c r="J94" s="1671"/>
      <c r="K94" s="1671"/>
      <c r="L94" s="1671"/>
      <c r="M94" s="1671"/>
      <c r="N94" s="1671"/>
      <c r="O94" s="1671"/>
      <c r="P94" s="1671"/>
      <c r="Q94" s="1671"/>
      <c r="R94" s="1671"/>
      <c r="S94" s="1671"/>
      <c r="T94" s="1671"/>
      <c r="U94" s="1671"/>
      <c r="V94" s="1671"/>
      <c r="W94" s="1671"/>
      <c r="X94" s="1671"/>
      <c r="Y94" s="1671"/>
      <c r="Z94" s="1671"/>
      <c r="AA94" s="1671"/>
      <c r="AB94" s="1671"/>
      <c r="AC94" s="1671"/>
      <c r="AD94" s="1671"/>
      <c r="AE94" s="1671"/>
      <c r="AF94" s="1671"/>
      <c r="AG94" s="1671"/>
      <c r="AH94" s="1671"/>
      <c r="AI94" s="99"/>
      <c r="AJ94" s="243"/>
      <c r="AK94" s="243"/>
      <c r="AL94" s="243"/>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39"/>
      <c r="BK94" s="239"/>
      <c r="BL94" s="435"/>
    </row>
    <row r="95" spans="2:64" s="183" customFormat="1" ht="4.5" customHeight="1">
      <c r="B95" s="180"/>
      <c r="C95" s="1349"/>
      <c r="D95" s="1349"/>
      <c r="E95" s="1349"/>
      <c r="F95" s="1349"/>
      <c r="G95" s="1349"/>
      <c r="H95" s="1349"/>
      <c r="I95" s="1349"/>
      <c r="J95" s="1349"/>
      <c r="K95" s="1349"/>
      <c r="L95" s="1349"/>
      <c r="M95" s="1349"/>
      <c r="N95" s="1349"/>
      <c r="O95" s="1349"/>
      <c r="P95" s="1349"/>
      <c r="Q95" s="1349"/>
      <c r="R95" s="1349"/>
      <c r="S95" s="1349"/>
      <c r="T95" s="1349"/>
      <c r="U95" s="1349"/>
      <c r="V95" s="1349"/>
      <c r="W95" s="1349"/>
      <c r="X95" s="1349"/>
      <c r="Y95" s="1349"/>
      <c r="Z95" s="1349"/>
      <c r="AA95" s="1349"/>
      <c r="AB95" s="1349"/>
      <c r="AC95" s="1349"/>
      <c r="AD95" s="1349"/>
      <c r="AE95" s="1349"/>
      <c r="AF95" s="1349"/>
      <c r="AG95" s="1349"/>
      <c r="AH95" s="1349"/>
      <c r="AI95" s="99"/>
      <c r="AJ95" s="243"/>
      <c r="AK95" s="243"/>
      <c r="AL95" s="243"/>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39"/>
      <c r="BK95" s="239"/>
      <c r="BL95" s="435"/>
    </row>
    <row r="96" spans="2:64" s="183" customFormat="1" ht="15" customHeight="1">
      <c r="C96" s="1350" t="str">
        <f>IF(Indice_index!$Z$1=1,"Notas:","Notes:")</f>
        <v>Notes:</v>
      </c>
      <c r="D96" s="1351"/>
      <c r="E96" s="1352"/>
      <c r="F96" s="99"/>
      <c r="G96" s="1351"/>
      <c r="H96" s="1351"/>
      <c r="U96" s="99"/>
      <c r="V96" s="1351"/>
      <c r="W96" s="1351"/>
      <c r="AI96" s="99"/>
      <c r="AJ96" s="243"/>
      <c r="AK96" s="243"/>
      <c r="AL96" s="243"/>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39"/>
      <c r="BK96" s="239"/>
      <c r="BL96" s="435"/>
    </row>
    <row r="97" spans="3:64" s="183" customFormat="1" ht="15" customHeight="1">
      <c r="C97" s="1351"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7" s="1353"/>
      <c r="F97" s="99"/>
      <c r="J97" s="178"/>
      <c r="S97" s="178"/>
      <c r="U97" s="99"/>
      <c r="Y97" s="178"/>
      <c r="AI97" s="99"/>
      <c r="AJ97" s="243"/>
      <c r="AK97" s="243"/>
      <c r="AL97" s="243"/>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39"/>
      <c r="BK97" s="239"/>
      <c r="BL97" s="435"/>
    </row>
    <row r="98" spans="3:64" s="183" customFormat="1" ht="15" customHeight="1">
      <c r="C98" s="1354"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8" s="1353"/>
      <c r="F98" s="99"/>
      <c r="P98" s="178"/>
      <c r="S98" s="178"/>
      <c r="T98" s="1355"/>
      <c r="U98" s="99"/>
      <c r="AH98" s="1355"/>
      <c r="AI98" s="99"/>
      <c r="AJ98" s="243"/>
      <c r="AK98" s="243"/>
      <c r="AL98" s="243"/>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39"/>
      <c r="BK98" s="239"/>
      <c r="BL98" s="435"/>
    </row>
    <row r="99" spans="3:64" s="183" customFormat="1" ht="15" customHeight="1">
      <c r="C99" s="1354"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9" s="1353"/>
      <c r="F99" s="99"/>
      <c r="U99" s="99"/>
      <c r="AI99" s="99"/>
      <c r="AJ99" s="243"/>
      <c r="AK99" s="243"/>
      <c r="AL99" s="243"/>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39"/>
      <c r="BK99" s="239"/>
      <c r="BL99" s="435"/>
    </row>
    <row r="100" spans="3:64" s="183" customFormat="1" ht="4.5" customHeight="1">
      <c r="C100" s="1354"/>
      <c r="E100" s="1353"/>
      <c r="F100" s="99"/>
      <c r="U100" s="99"/>
      <c r="AI100" s="99"/>
      <c r="AJ100" s="243"/>
      <c r="AK100" s="243"/>
      <c r="AL100" s="243"/>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39"/>
      <c r="BK100" s="239"/>
      <c r="BL100" s="435"/>
    </row>
    <row r="101" spans="3:64" s="183" customFormat="1" ht="15" customHeight="1">
      <c r="C101" s="568" t="str">
        <f>IF(Indice_index!$Z$1=1,"Fonte: Direção-Geral do Orçamento","Source: Budget General Directorate")</f>
        <v>Source: Budget General Directorate</v>
      </c>
      <c r="E101" s="1353"/>
      <c r="F101" s="99"/>
      <c r="J101" s="178"/>
      <c r="U101" s="99"/>
      <c r="AI101" s="99"/>
      <c r="AJ101" s="243"/>
      <c r="AK101" s="243"/>
      <c r="AL101" s="243"/>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39"/>
      <c r="BK101" s="239"/>
      <c r="BL101" s="435"/>
    </row>
    <row r="102" spans="3:64" s="183" customFormat="1">
      <c r="C102" s="568"/>
      <c r="D102" s="569"/>
      <c r="E102" s="570"/>
      <c r="F102" s="99"/>
      <c r="G102" s="138"/>
      <c r="H102" s="138"/>
      <c r="I102" s="138"/>
      <c r="J102" s="138"/>
      <c r="K102" s="138"/>
      <c r="L102" s="138"/>
      <c r="M102" s="138"/>
      <c r="N102" s="138"/>
      <c r="O102" s="138"/>
      <c r="P102" s="138"/>
      <c r="Q102" s="138"/>
      <c r="R102" s="138"/>
      <c r="S102" s="138"/>
      <c r="T102" s="138"/>
      <c r="U102" s="99"/>
      <c r="V102" s="138"/>
      <c r="W102" s="138"/>
      <c r="X102" s="138"/>
      <c r="Y102" s="138"/>
      <c r="Z102" s="138"/>
      <c r="AA102" s="138"/>
      <c r="AB102" s="138"/>
      <c r="AC102" s="138"/>
      <c r="AD102" s="138"/>
      <c r="AE102" s="138"/>
      <c r="AF102" s="138"/>
      <c r="AG102" s="138"/>
      <c r="AH102" s="138"/>
      <c r="AI102" s="99"/>
      <c r="AJ102" s="243"/>
      <c r="AK102" s="243"/>
      <c r="AL102" s="243"/>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39"/>
      <c r="BK102" s="239"/>
      <c r="BL102" s="435"/>
    </row>
    <row r="103" spans="3:64" s="246" customFormat="1">
      <c r="D103" s="443"/>
      <c r="E103" s="444"/>
      <c r="F103" s="385"/>
      <c r="G103" s="247">
        <f t="shared" ref="G103:T103" si="85">+G43-G55</f>
        <v>0</v>
      </c>
      <c r="H103" s="247">
        <f t="shared" si="85"/>
        <v>0</v>
      </c>
      <c r="I103" s="247">
        <f t="shared" si="85"/>
        <v>0</v>
      </c>
      <c r="J103" s="247">
        <f t="shared" si="85"/>
        <v>0</v>
      </c>
      <c r="K103" s="247">
        <f t="shared" si="85"/>
        <v>0</v>
      </c>
      <c r="L103" s="247">
        <f t="shared" si="85"/>
        <v>0</v>
      </c>
      <c r="M103" s="247">
        <f t="shared" si="85"/>
        <v>0</v>
      </c>
      <c r="N103" s="247">
        <f t="shared" si="85"/>
        <v>0</v>
      </c>
      <c r="O103" s="247">
        <f t="shared" si="85"/>
        <v>0</v>
      </c>
      <c r="P103" s="247">
        <f t="shared" si="85"/>
        <v>0</v>
      </c>
      <c r="Q103" s="247">
        <f t="shared" si="85"/>
        <v>0</v>
      </c>
      <c r="R103" s="247">
        <f t="shared" si="85"/>
        <v>0</v>
      </c>
      <c r="S103" s="247">
        <f t="shared" si="85"/>
        <v>0</v>
      </c>
      <c r="T103" s="247">
        <f t="shared" si="85"/>
        <v>0</v>
      </c>
      <c r="U103" s="247"/>
      <c r="V103" s="247">
        <f t="shared" ref="V103:AH103" si="86">+V43-V55</f>
        <v>0</v>
      </c>
      <c r="W103" s="247">
        <f t="shared" si="86"/>
        <v>0</v>
      </c>
      <c r="X103" s="247">
        <f t="shared" si="86"/>
        <v>0</v>
      </c>
      <c r="Y103" s="247">
        <f t="shared" si="86"/>
        <v>0</v>
      </c>
      <c r="Z103" s="247">
        <f t="shared" si="86"/>
        <v>0</v>
      </c>
      <c r="AA103" s="247">
        <f t="shared" si="86"/>
        <v>0</v>
      </c>
      <c r="AB103" s="247">
        <f t="shared" si="86"/>
        <v>0</v>
      </c>
      <c r="AC103" s="247">
        <f t="shared" si="86"/>
        <v>0</v>
      </c>
      <c r="AD103" s="247">
        <f t="shared" si="86"/>
        <v>0</v>
      </c>
      <c r="AE103" s="247">
        <f t="shared" si="86"/>
        <v>0</v>
      </c>
      <c r="AF103" s="247">
        <f t="shared" si="86"/>
        <v>0</v>
      </c>
      <c r="AG103" s="247">
        <f t="shared" si="86"/>
        <v>0</v>
      </c>
      <c r="AH103" s="247">
        <f t="shared" si="86"/>
        <v>0</v>
      </c>
      <c r="AI103" s="385"/>
      <c r="AJ103" s="385"/>
      <c r="BL103" s="437"/>
    </row>
    <row r="104" spans="3:64" s="246" customFormat="1">
      <c r="E104" s="1523"/>
      <c r="F104" s="385"/>
      <c r="G104" s="246">
        <f t="shared" ref="G104:T104" si="87">SUM(G56:G74)-G58-SUM(G75:G91)-G43</f>
        <v>0</v>
      </c>
      <c r="H104" s="246">
        <f t="shared" si="87"/>
        <v>0</v>
      </c>
      <c r="I104" s="246">
        <f t="shared" si="87"/>
        <v>0</v>
      </c>
      <c r="J104" s="246">
        <f t="shared" si="87"/>
        <v>0</v>
      </c>
      <c r="K104" s="246">
        <f t="shared" si="87"/>
        <v>0</v>
      </c>
      <c r="L104" s="246">
        <f t="shared" si="87"/>
        <v>0</v>
      </c>
      <c r="M104" s="246">
        <f t="shared" si="87"/>
        <v>0</v>
      </c>
      <c r="N104" s="246">
        <f t="shared" si="87"/>
        <v>0</v>
      </c>
      <c r="O104" s="246">
        <f t="shared" si="87"/>
        <v>0</v>
      </c>
      <c r="P104" s="246">
        <f t="shared" si="87"/>
        <v>0</v>
      </c>
      <c r="Q104" s="246">
        <f t="shared" si="87"/>
        <v>0</v>
      </c>
      <c r="R104" s="246">
        <f t="shared" si="87"/>
        <v>0</v>
      </c>
      <c r="S104" s="246">
        <f t="shared" si="87"/>
        <v>0</v>
      </c>
      <c r="T104" s="246">
        <f t="shared" si="87"/>
        <v>0</v>
      </c>
      <c r="V104" s="246">
        <f t="shared" ref="V104:AH104" si="88">SUM(V56:V74)-V58-SUM(V75:V91)-V43</f>
        <v>0</v>
      </c>
      <c r="W104" s="246">
        <f t="shared" si="88"/>
        <v>0</v>
      </c>
      <c r="X104" s="246">
        <f t="shared" si="88"/>
        <v>0</v>
      </c>
      <c r="Y104" s="246">
        <f t="shared" si="88"/>
        <v>0</v>
      </c>
      <c r="Z104" s="246">
        <f t="shared" si="88"/>
        <v>0</v>
      </c>
      <c r="AA104" s="246">
        <f t="shared" si="88"/>
        <v>0</v>
      </c>
      <c r="AB104" s="246">
        <f t="shared" si="88"/>
        <v>0</v>
      </c>
      <c r="AC104" s="246">
        <f t="shared" si="88"/>
        <v>0</v>
      </c>
      <c r="AD104" s="246">
        <f t="shared" si="88"/>
        <v>0</v>
      </c>
      <c r="AE104" s="246">
        <f t="shared" si="88"/>
        <v>0</v>
      </c>
      <c r="AF104" s="246">
        <f t="shared" si="88"/>
        <v>0</v>
      </c>
      <c r="AG104" s="246">
        <f t="shared" si="88"/>
        <v>0</v>
      </c>
      <c r="AH104" s="246">
        <f t="shared" si="88"/>
        <v>0</v>
      </c>
      <c r="AI104" s="385"/>
      <c r="AJ104" s="385"/>
      <c r="BL104" s="437"/>
    </row>
    <row r="105" spans="3:64" s="353" customFormat="1">
      <c r="E105" s="1524"/>
      <c r="F105" s="1525"/>
      <c r="G105" s="246">
        <f t="shared" ref="G105:T105" si="89">SUM(G56:G74)-G58-G23</f>
        <v>0</v>
      </c>
      <c r="H105" s="246">
        <f t="shared" si="89"/>
        <v>0</v>
      </c>
      <c r="I105" s="246">
        <f t="shared" si="89"/>
        <v>0</v>
      </c>
      <c r="J105" s="246">
        <f t="shared" si="89"/>
        <v>0</v>
      </c>
      <c r="K105" s="246">
        <f t="shared" si="89"/>
        <v>0</v>
      </c>
      <c r="L105" s="246">
        <f t="shared" si="89"/>
        <v>0</v>
      </c>
      <c r="M105" s="246">
        <f t="shared" si="89"/>
        <v>0</v>
      </c>
      <c r="N105" s="246">
        <f t="shared" si="89"/>
        <v>0</v>
      </c>
      <c r="O105" s="246">
        <f t="shared" si="89"/>
        <v>0</v>
      </c>
      <c r="P105" s="246">
        <f t="shared" si="89"/>
        <v>0</v>
      </c>
      <c r="Q105" s="246">
        <f t="shared" si="89"/>
        <v>0</v>
      </c>
      <c r="R105" s="246">
        <f t="shared" si="89"/>
        <v>0</v>
      </c>
      <c r="S105" s="246">
        <f t="shared" si="89"/>
        <v>0</v>
      </c>
      <c r="T105" s="246">
        <f t="shared" si="89"/>
        <v>0</v>
      </c>
      <c r="U105" s="246"/>
      <c r="V105" s="246">
        <f t="shared" ref="V105:AH105" si="90">SUM(V56:V74)-V58-V23</f>
        <v>0</v>
      </c>
      <c r="W105" s="246">
        <f t="shared" si="90"/>
        <v>0</v>
      </c>
      <c r="X105" s="246">
        <f t="shared" si="90"/>
        <v>0</v>
      </c>
      <c r="Y105" s="246">
        <f t="shared" si="90"/>
        <v>0</v>
      </c>
      <c r="Z105" s="246">
        <f t="shared" si="90"/>
        <v>0</v>
      </c>
      <c r="AA105" s="246">
        <f t="shared" si="90"/>
        <v>0</v>
      </c>
      <c r="AB105" s="246">
        <f t="shared" si="90"/>
        <v>0</v>
      </c>
      <c r="AC105" s="246">
        <f t="shared" si="90"/>
        <v>0</v>
      </c>
      <c r="AD105" s="246">
        <f t="shared" si="90"/>
        <v>0</v>
      </c>
      <c r="AE105" s="246">
        <f t="shared" si="90"/>
        <v>0</v>
      </c>
      <c r="AF105" s="246">
        <f t="shared" si="90"/>
        <v>0</v>
      </c>
      <c r="AG105" s="246">
        <f t="shared" si="90"/>
        <v>0</v>
      </c>
      <c r="AH105" s="246">
        <f t="shared" si="90"/>
        <v>0</v>
      </c>
      <c r="AI105" s="1525"/>
      <c r="AJ105" s="385"/>
      <c r="AK105" s="246"/>
      <c r="AL105" s="246"/>
      <c r="AM105" s="246"/>
      <c r="AN105" s="246"/>
      <c r="AO105" s="246"/>
      <c r="AP105" s="246"/>
      <c r="AQ105" s="246"/>
      <c r="AR105" s="246"/>
      <c r="AS105" s="246"/>
      <c r="AT105" s="246"/>
      <c r="AU105" s="246"/>
      <c r="AV105" s="246"/>
      <c r="AW105" s="246"/>
      <c r="AX105" s="246"/>
      <c r="AY105" s="246"/>
      <c r="AZ105" s="246"/>
      <c r="BA105" s="246"/>
      <c r="BB105" s="246"/>
      <c r="BC105" s="246"/>
      <c r="BD105" s="246"/>
      <c r="BE105" s="246"/>
      <c r="BF105" s="246"/>
      <c r="BG105" s="246"/>
      <c r="BH105" s="246"/>
      <c r="BI105" s="246"/>
      <c r="BJ105" s="246"/>
      <c r="BK105" s="246"/>
      <c r="BL105" s="437"/>
    </row>
    <row r="106" spans="3:64" s="353" customFormat="1">
      <c r="E106" s="1524"/>
      <c r="F106" s="1525"/>
      <c r="G106" s="246">
        <f t="shared" ref="G106:T106" si="91">SUM(G75:G91)-G41</f>
        <v>0</v>
      </c>
      <c r="H106" s="246">
        <f t="shared" si="91"/>
        <v>0</v>
      </c>
      <c r="I106" s="246">
        <f t="shared" si="91"/>
        <v>0</v>
      </c>
      <c r="J106" s="246">
        <f t="shared" si="91"/>
        <v>0</v>
      </c>
      <c r="K106" s="246">
        <f t="shared" si="91"/>
        <v>0</v>
      </c>
      <c r="L106" s="246">
        <f t="shared" si="91"/>
        <v>0</v>
      </c>
      <c r="M106" s="246">
        <f t="shared" si="91"/>
        <v>0</v>
      </c>
      <c r="N106" s="246">
        <f t="shared" si="91"/>
        <v>0</v>
      </c>
      <c r="O106" s="246">
        <f t="shared" si="91"/>
        <v>0</v>
      </c>
      <c r="P106" s="246">
        <f t="shared" si="91"/>
        <v>0</v>
      </c>
      <c r="Q106" s="246">
        <f t="shared" si="91"/>
        <v>0</v>
      </c>
      <c r="R106" s="246">
        <f t="shared" si="91"/>
        <v>0</v>
      </c>
      <c r="S106" s="246">
        <f t="shared" si="91"/>
        <v>0</v>
      </c>
      <c r="T106" s="246">
        <f t="shared" si="91"/>
        <v>0</v>
      </c>
      <c r="U106" s="246"/>
      <c r="V106" s="246">
        <f t="shared" ref="V106:AH106" si="92">SUM(V75:V91)-V41</f>
        <v>0</v>
      </c>
      <c r="W106" s="246">
        <f t="shared" si="92"/>
        <v>0</v>
      </c>
      <c r="X106" s="246">
        <f t="shared" si="92"/>
        <v>0</v>
      </c>
      <c r="Y106" s="246">
        <f t="shared" si="92"/>
        <v>0</v>
      </c>
      <c r="Z106" s="246">
        <f t="shared" si="92"/>
        <v>0</v>
      </c>
      <c r="AA106" s="246">
        <f t="shared" si="92"/>
        <v>0</v>
      </c>
      <c r="AB106" s="246">
        <f t="shared" si="92"/>
        <v>0</v>
      </c>
      <c r="AC106" s="246">
        <f t="shared" si="92"/>
        <v>0</v>
      </c>
      <c r="AD106" s="246">
        <f t="shared" si="92"/>
        <v>0</v>
      </c>
      <c r="AE106" s="246">
        <f t="shared" si="92"/>
        <v>0</v>
      </c>
      <c r="AF106" s="246">
        <f t="shared" si="92"/>
        <v>0</v>
      </c>
      <c r="AG106" s="246">
        <f t="shared" si="92"/>
        <v>0</v>
      </c>
      <c r="AH106" s="246">
        <f t="shared" si="92"/>
        <v>0</v>
      </c>
      <c r="AI106" s="1525"/>
      <c r="AJ106" s="385"/>
      <c r="AK106" s="246"/>
      <c r="AL106" s="246"/>
      <c r="AM106" s="246"/>
      <c r="AN106" s="246"/>
      <c r="AO106" s="246"/>
      <c r="AP106" s="246"/>
      <c r="AQ106" s="246"/>
      <c r="AR106" s="246"/>
      <c r="AS106" s="246"/>
      <c r="AT106" s="246"/>
      <c r="AU106" s="246"/>
      <c r="AV106" s="246"/>
      <c r="AW106" s="246"/>
      <c r="AX106" s="246"/>
      <c r="AY106" s="246"/>
      <c r="AZ106" s="246"/>
      <c r="BA106" s="246"/>
      <c r="BB106" s="246"/>
      <c r="BC106" s="246"/>
      <c r="BD106" s="246"/>
      <c r="BE106" s="246"/>
      <c r="BF106" s="246"/>
      <c r="BG106" s="246"/>
      <c r="BH106" s="246"/>
      <c r="BI106" s="246"/>
      <c r="BJ106" s="246"/>
      <c r="BK106" s="246"/>
      <c r="BL106" s="437"/>
    </row>
    <row r="107" spans="3:64" s="1526" customFormat="1">
      <c r="D107" s="1527"/>
      <c r="E107" s="1524"/>
      <c r="F107" s="1525"/>
      <c r="G107" s="1528"/>
      <c r="H107" s="1528"/>
      <c r="I107" s="1528"/>
      <c r="J107" s="1528"/>
      <c r="K107" s="1528"/>
      <c r="L107" s="1528"/>
      <c r="M107" s="1528"/>
      <c r="N107" s="1528"/>
      <c r="O107" s="1528"/>
      <c r="P107" s="1528"/>
      <c r="Q107" s="1528"/>
      <c r="R107" s="1528"/>
      <c r="S107" s="1528"/>
      <c r="T107" s="1528"/>
      <c r="U107" s="1525"/>
      <c r="V107" s="1528"/>
      <c r="W107" s="1528"/>
      <c r="X107" s="1528"/>
      <c r="Y107" s="1528"/>
      <c r="Z107" s="1528"/>
      <c r="AA107" s="1528"/>
      <c r="AB107" s="1528"/>
      <c r="AC107" s="1528"/>
      <c r="AD107" s="1528"/>
      <c r="AE107" s="1528"/>
      <c r="AF107" s="1528"/>
      <c r="AG107" s="1528"/>
      <c r="AH107" s="1528"/>
      <c r="AI107" s="1525"/>
      <c r="AJ107" s="385"/>
      <c r="AK107" s="246"/>
      <c r="AL107" s="246"/>
      <c r="AM107" s="246"/>
      <c r="AN107" s="246"/>
      <c r="AO107" s="246"/>
      <c r="AP107" s="246"/>
      <c r="AQ107" s="247" t="s">
        <v>32</v>
      </c>
      <c r="AR107" s="246"/>
      <c r="AS107" s="246"/>
      <c r="AT107" s="246"/>
      <c r="AU107" s="246"/>
      <c r="AV107" s="246"/>
      <c r="AW107" s="246"/>
      <c r="AX107" s="246"/>
      <c r="AY107" s="246"/>
      <c r="AZ107" s="246"/>
      <c r="BA107" s="246"/>
      <c r="BB107" s="246"/>
      <c r="BC107" s="246"/>
      <c r="BD107" s="246"/>
      <c r="BE107" s="246"/>
      <c r="BF107" s="246"/>
      <c r="BG107" s="246"/>
      <c r="BH107" s="246"/>
      <c r="BI107" s="246"/>
      <c r="BJ107" s="246"/>
      <c r="BK107" s="246"/>
      <c r="BL107" s="437"/>
    </row>
    <row r="108" spans="3:64" s="1526" customFormat="1">
      <c r="C108" s="1529"/>
      <c r="D108" s="1527"/>
      <c r="E108" s="1528"/>
      <c r="F108" s="1528"/>
      <c r="G108" s="1528"/>
      <c r="H108" s="1528"/>
      <c r="I108" s="1528"/>
      <c r="J108" s="1528"/>
      <c r="K108" s="1528"/>
      <c r="L108" s="1528"/>
      <c r="M108" s="1528"/>
      <c r="N108" s="1528"/>
      <c r="O108" s="1528"/>
      <c r="P108" s="1528"/>
      <c r="Q108" s="1528"/>
      <c r="R108" s="1528"/>
      <c r="S108" s="1528"/>
      <c r="T108" s="1528"/>
      <c r="U108" s="1528"/>
      <c r="V108" s="1528"/>
      <c r="W108" s="1528"/>
      <c r="X108" s="1528"/>
      <c r="Y108" s="1528"/>
      <c r="Z108" s="1528"/>
      <c r="AA108" s="1528"/>
      <c r="AB108" s="1528"/>
      <c r="AC108" s="1528"/>
      <c r="AD108" s="1528"/>
      <c r="AE108" s="1528"/>
      <c r="AF108" s="1528"/>
      <c r="AG108" s="1528"/>
      <c r="AH108" s="1528"/>
      <c r="AI108" s="1525"/>
      <c r="AJ108" s="385"/>
      <c r="AK108" s="246"/>
      <c r="AL108" s="246"/>
      <c r="AM108" s="246"/>
      <c r="AN108" s="246"/>
      <c r="AO108" s="246"/>
      <c r="AP108" s="246"/>
      <c r="AQ108" s="247" t="s">
        <v>34</v>
      </c>
      <c r="AR108" s="246"/>
      <c r="AS108" s="246"/>
      <c r="AT108" s="246"/>
      <c r="AU108" s="246"/>
      <c r="AV108" s="246"/>
      <c r="AW108" s="246"/>
      <c r="AX108" s="246"/>
      <c r="AY108" s="246"/>
      <c r="AZ108" s="246"/>
      <c r="BA108" s="246"/>
      <c r="BB108" s="246"/>
      <c r="BC108" s="246"/>
      <c r="BD108" s="246"/>
      <c r="BE108" s="246"/>
      <c r="BF108" s="246"/>
      <c r="BG108" s="246"/>
      <c r="BH108" s="246"/>
      <c r="BI108" s="246"/>
      <c r="BJ108" s="246"/>
      <c r="BK108" s="246"/>
      <c r="BL108" s="437"/>
    </row>
    <row r="109" spans="3:64" s="353" customFormat="1">
      <c r="C109" s="389" t="s">
        <v>73</v>
      </c>
      <c r="D109" s="1527"/>
      <c r="E109" s="1524"/>
      <c r="F109" s="1528"/>
      <c r="G109" s="1528"/>
      <c r="H109" s="1528"/>
      <c r="I109" s="1528"/>
      <c r="J109" s="1528"/>
      <c r="K109" s="1528"/>
      <c r="L109" s="1528"/>
      <c r="M109" s="1528"/>
      <c r="N109" s="1528"/>
      <c r="O109" s="1528"/>
      <c r="P109" s="1528"/>
      <c r="Q109" s="1528"/>
      <c r="R109" s="1528"/>
      <c r="S109" s="1528"/>
      <c r="T109" s="1528"/>
      <c r="U109" s="1528"/>
      <c r="V109" s="1528"/>
      <c r="W109" s="1528"/>
      <c r="X109" s="1528"/>
      <c r="Y109" s="1528"/>
      <c r="Z109" s="1528"/>
      <c r="AA109" s="1528"/>
      <c r="AB109" s="1528"/>
      <c r="AC109" s="1528"/>
      <c r="AD109" s="1528"/>
      <c r="AE109" s="1528"/>
      <c r="AF109" s="1528"/>
      <c r="AG109" s="1528"/>
      <c r="AH109" s="1528"/>
      <c r="AI109" s="1525"/>
      <c r="AJ109" s="385"/>
      <c r="AK109" s="246"/>
      <c r="AL109" s="246"/>
      <c r="AM109" s="246"/>
      <c r="AN109" s="246"/>
      <c r="AO109" s="246"/>
      <c r="AP109" s="246"/>
      <c r="AQ109" s="247" t="s">
        <v>35</v>
      </c>
      <c r="AR109" s="246"/>
      <c r="AS109" s="246"/>
      <c r="AT109" s="246"/>
      <c r="AU109" s="246"/>
      <c r="AV109" s="246"/>
      <c r="AW109" s="246"/>
      <c r="AX109" s="246"/>
      <c r="AY109" s="246"/>
      <c r="AZ109" s="246"/>
      <c r="BA109" s="246"/>
      <c r="BB109" s="246"/>
      <c r="BC109" s="246"/>
      <c r="BD109" s="246"/>
      <c r="BE109" s="246"/>
      <c r="BF109" s="246"/>
      <c r="BG109" s="246"/>
      <c r="BH109" s="246"/>
      <c r="BI109" s="246"/>
      <c r="BJ109" s="246"/>
      <c r="BK109" s="246"/>
      <c r="BL109" s="437"/>
    </row>
    <row r="110" spans="3:64" s="1526" customFormat="1">
      <c r="C110" s="389" t="s">
        <v>72</v>
      </c>
      <c r="E110" s="1530"/>
      <c r="F110" s="1525"/>
      <c r="G110" s="1531"/>
      <c r="H110" s="1531"/>
      <c r="I110" s="1531"/>
      <c r="J110" s="1531"/>
      <c r="K110" s="1531"/>
      <c r="L110" s="1531"/>
      <c r="M110" s="1531"/>
      <c r="N110" s="1531"/>
      <c r="O110" s="1531"/>
      <c r="P110" s="1531"/>
      <c r="Q110" s="1531"/>
      <c r="R110" s="1531"/>
      <c r="S110" s="1531"/>
      <c r="T110" s="1531"/>
      <c r="U110" s="1525"/>
      <c r="V110" s="1531"/>
      <c r="W110" s="1531"/>
      <c r="X110" s="1531"/>
      <c r="Y110" s="1531"/>
      <c r="Z110" s="1531"/>
      <c r="AA110" s="1531"/>
      <c r="AB110" s="1531"/>
      <c r="AC110" s="1531"/>
      <c r="AD110" s="1531"/>
      <c r="AE110" s="1531"/>
      <c r="AF110" s="1531"/>
      <c r="AG110" s="1531"/>
      <c r="AH110" s="1531"/>
      <c r="AI110" s="1525"/>
      <c r="AJ110" s="385"/>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437"/>
    </row>
    <row r="111" spans="3:64" s="1526" customFormat="1">
      <c r="C111" s="389" t="s">
        <v>65</v>
      </c>
      <c r="E111" s="1530"/>
      <c r="F111" s="1525"/>
      <c r="U111" s="1525"/>
      <c r="AI111" s="1525"/>
      <c r="AJ111" s="385"/>
      <c r="AK111" s="246"/>
      <c r="AL111" s="246"/>
      <c r="AM111" s="246"/>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437"/>
    </row>
    <row r="112" spans="3:64" s="1526" customFormat="1">
      <c r="C112" s="389" t="s">
        <v>69</v>
      </c>
      <c r="E112" s="1530"/>
      <c r="F112" s="1525"/>
      <c r="U112" s="1525"/>
      <c r="AI112" s="1525"/>
      <c r="AJ112" s="385"/>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437"/>
    </row>
    <row r="113" spans="3:64" s="1526" customFormat="1">
      <c r="C113" s="389" t="s">
        <v>74</v>
      </c>
      <c r="E113" s="1530"/>
      <c r="F113" s="1525"/>
      <c r="U113" s="1525"/>
      <c r="AI113" s="1525"/>
      <c r="AJ113" s="385"/>
      <c r="AK113" s="246"/>
      <c r="AL113" s="246"/>
      <c r="AM113" s="246"/>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437"/>
    </row>
    <row r="114" spans="3:64" s="1526" customFormat="1" ht="10.5" customHeight="1">
      <c r="C114" s="389" t="s">
        <v>91</v>
      </c>
      <c r="E114" s="1530"/>
      <c r="F114" s="1525"/>
      <c r="U114" s="1525"/>
      <c r="AI114" s="1525"/>
      <c r="AJ114" s="385"/>
      <c r="AK114" s="246"/>
      <c r="AL114" s="246"/>
      <c r="AM114" s="246"/>
      <c r="AN114" s="246"/>
      <c r="AO114" s="246"/>
      <c r="AP114" s="246"/>
      <c r="AQ114" s="246"/>
      <c r="AR114" s="246"/>
      <c r="AS114" s="246"/>
      <c r="AT114" s="246"/>
      <c r="AU114" s="246"/>
      <c r="AV114" s="246"/>
      <c r="AW114" s="246"/>
      <c r="AX114" s="246"/>
      <c r="AY114" s="246"/>
      <c r="AZ114" s="246"/>
      <c r="BA114" s="246"/>
      <c r="BB114" s="246"/>
      <c r="BC114" s="246"/>
      <c r="BD114" s="246"/>
      <c r="BE114" s="246"/>
      <c r="BF114" s="246"/>
      <c r="BG114" s="246"/>
      <c r="BH114" s="246"/>
      <c r="BI114" s="246"/>
      <c r="BJ114" s="246"/>
      <c r="BK114" s="246"/>
      <c r="BL114" s="437"/>
    </row>
    <row r="115" spans="3:64" s="1526" customFormat="1">
      <c r="C115" s="497" t="s">
        <v>92</v>
      </c>
      <c r="E115" s="1530"/>
      <c r="F115" s="1525"/>
      <c r="U115" s="1525"/>
      <c r="AI115" s="1525"/>
      <c r="AJ115" s="385"/>
      <c r="AK115" s="246"/>
      <c r="AL115" s="246"/>
      <c r="AM115" s="246"/>
      <c r="AN115" s="246"/>
      <c r="AO115" s="246"/>
      <c r="AP115" s="246"/>
      <c r="AQ115" s="246"/>
      <c r="AR115" s="246"/>
      <c r="AS115" s="246"/>
      <c r="AT115" s="246"/>
      <c r="AU115" s="246"/>
      <c r="AV115" s="246"/>
      <c r="AW115" s="246"/>
      <c r="AX115" s="246"/>
      <c r="AY115" s="246"/>
      <c r="AZ115" s="246"/>
      <c r="BA115" s="246"/>
      <c r="BB115" s="246"/>
      <c r="BC115" s="246"/>
      <c r="BD115" s="246"/>
      <c r="BE115" s="246"/>
      <c r="BF115" s="246"/>
      <c r="BG115" s="246"/>
      <c r="BH115" s="246"/>
      <c r="BI115" s="246"/>
      <c r="BJ115" s="246"/>
      <c r="BK115" s="246"/>
      <c r="BL115" s="437"/>
    </row>
    <row r="116" spans="3:64" s="1526" customFormat="1">
      <c r="C116" s="1532"/>
      <c r="E116" s="1530"/>
      <c r="F116" s="1525"/>
      <c r="U116" s="1525"/>
      <c r="AI116" s="1525"/>
      <c r="AJ116" s="385"/>
      <c r="AK116" s="246"/>
      <c r="AL116" s="246"/>
      <c r="AM116" s="246"/>
      <c r="AN116" s="246"/>
      <c r="AO116" s="246"/>
      <c r="AP116" s="246"/>
      <c r="AQ116" s="246"/>
      <c r="AR116" s="246"/>
      <c r="AS116" s="246"/>
      <c r="AT116" s="246"/>
      <c r="AU116" s="246"/>
      <c r="AV116" s="246"/>
      <c r="AW116" s="246"/>
      <c r="AX116" s="246"/>
      <c r="AY116" s="246"/>
      <c r="AZ116" s="246"/>
      <c r="BA116" s="246"/>
      <c r="BB116" s="246"/>
      <c r="BC116" s="246"/>
      <c r="BD116" s="246"/>
      <c r="BE116" s="246"/>
      <c r="BF116" s="246"/>
      <c r="BG116" s="246"/>
      <c r="BH116" s="246"/>
      <c r="BI116" s="246"/>
      <c r="BJ116" s="246"/>
      <c r="BK116" s="246"/>
      <c r="BL116" s="437"/>
    </row>
    <row r="117" spans="3:64" s="1526" customFormat="1">
      <c r="C117" s="1532"/>
      <c r="E117" s="1530"/>
      <c r="F117" s="1525"/>
      <c r="U117" s="1525"/>
      <c r="AI117" s="1525"/>
      <c r="AJ117" s="385"/>
      <c r="AK117" s="246"/>
      <c r="AL117" s="246"/>
      <c r="AM117" s="246"/>
      <c r="AN117" s="246"/>
      <c r="AO117" s="246"/>
      <c r="AP117" s="246"/>
      <c r="AQ117" s="246"/>
      <c r="AR117" s="246"/>
      <c r="AS117" s="246"/>
      <c r="AT117" s="246"/>
      <c r="AU117" s="246"/>
      <c r="AV117" s="246"/>
      <c r="AW117" s="246"/>
      <c r="AX117" s="246"/>
      <c r="AY117" s="246"/>
      <c r="AZ117" s="246"/>
      <c r="BA117" s="246"/>
      <c r="BB117" s="246"/>
      <c r="BC117" s="246"/>
      <c r="BD117" s="246"/>
      <c r="BE117" s="246"/>
      <c r="BF117" s="246"/>
      <c r="BG117" s="246"/>
      <c r="BH117" s="246"/>
      <c r="BI117" s="246"/>
      <c r="BJ117" s="246"/>
      <c r="BK117" s="246"/>
      <c r="BL117" s="437"/>
    </row>
    <row r="118" spans="3:64" s="1526" customFormat="1">
      <c r="C118" s="1526" t="s">
        <v>94</v>
      </c>
      <c r="E118" s="1530"/>
      <c r="F118" s="1525"/>
      <c r="U118" s="1525"/>
      <c r="AI118" s="1525"/>
      <c r="AJ118" s="385"/>
      <c r="AK118" s="246"/>
      <c r="AL118" s="246"/>
      <c r="AM118" s="246"/>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437"/>
    </row>
    <row r="119" spans="3:64" s="1526" customFormat="1">
      <c r="C119" s="1532"/>
      <c r="E119" s="1530"/>
      <c r="F119" s="1525"/>
      <c r="U119" s="1525"/>
      <c r="AI119" s="1525"/>
      <c r="AJ119" s="385"/>
      <c r="AK119" s="246"/>
      <c r="AL119" s="246"/>
      <c r="AM119" s="246"/>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437"/>
    </row>
    <row r="120" spans="3:64" s="1526" customFormat="1">
      <c r="C120" s="1532"/>
      <c r="E120" s="1530"/>
      <c r="F120" s="1525"/>
      <c r="U120" s="1525"/>
      <c r="AI120" s="1525"/>
      <c r="AJ120" s="385"/>
      <c r="AK120" s="246"/>
      <c r="AL120" s="246"/>
      <c r="AM120" s="246"/>
      <c r="AN120" s="246"/>
      <c r="AO120" s="246"/>
      <c r="AP120" s="246"/>
      <c r="AQ120" s="246"/>
      <c r="AR120" s="246"/>
      <c r="AS120" s="246"/>
      <c r="AT120" s="246"/>
      <c r="AU120" s="246"/>
      <c r="AV120" s="246"/>
      <c r="AW120" s="246"/>
      <c r="AX120" s="246"/>
      <c r="AY120" s="246"/>
      <c r="AZ120" s="246"/>
      <c r="BA120" s="246"/>
      <c r="BB120" s="246"/>
      <c r="BC120" s="246"/>
      <c r="BD120" s="246"/>
      <c r="BE120" s="246"/>
      <c r="BF120" s="246"/>
      <c r="BG120" s="246"/>
      <c r="BH120" s="246"/>
      <c r="BI120" s="246"/>
      <c r="BJ120" s="246"/>
      <c r="BK120" s="246"/>
      <c r="BL120" s="437"/>
    </row>
    <row r="121" spans="3:64" s="1526" customFormat="1">
      <c r="C121" s="1532"/>
      <c r="E121" s="1530"/>
      <c r="F121" s="1525"/>
      <c r="U121" s="1525"/>
      <c r="AI121" s="1525"/>
      <c r="AJ121" s="385"/>
      <c r="AK121" s="246"/>
      <c r="AL121" s="246"/>
      <c r="AM121" s="246"/>
      <c r="AN121" s="246"/>
      <c r="AO121" s="246"/>
      <c r="AP121" s="246"/>
      <c r="AQ121" s="246"/>
      <c r="AR121" s="246"/>
      <c r="AS121" s="246"/>
      <c r="AT121" s="246"/>
      <c r="AU121" s="246"/>
      <c r="AV121" s="246"/>
      <c r="AW121" s="246"/>
      <c r="AX121" s="246"/>
      <c r="AY121" s="246"/>
      <c r="AZ121" s="246"/>
      <c r="BA121" s="246"/>
      <c r="BB121" s="246"/>
      <c r="BC121" s="246"/>
      <c r="BD121" s="246"/>
      <c r="BE121" s="246"/>
      <c r="BF121" s="246"/>
      <c r="BG121" s="246"/>
      <c r="BH121" s="246"/>
      <c r="BI121" s="246"/>
      <c r="BJ121" s="246"/>
      <c r="BK121" s="246"/>
      <c r="BL121" s="437"/>
    </row>
    <row r="122" spans="3:64" s="1526" customFormat="1">
      <c r="C122" s="1526" t="s">
        <v>71</v>
      </c>
      <c r="E122" s="1530"/>
      <c r="F122" s="1525"/>
      <c r="U122" s="1525"/>
      <c r="AI122" s="1525"/>
      <c r="AJ122" s="385"/>
      <c r="AK122" s="246"/>
      <c r="AL122" s="246"/>
      <c r="AM122" s="246"/>
      <c r="AN122" s="246"/>
      <c r="AO122" s="246"/>
      <c r="AP122" s="246"/>
      <c r="AQ122" s="246"/>
      <c r="AR122" s="246"/>
      <c r="AS122" s="246"/>
      <c r="AT122" s="246"/>
      <c r="AU122" s="246"/>
      <c r="AV122" s="246"/>
      <c r="AW122" s="246"/>
      <c r="AX122" s="246"/>
      <c r="AY122" s="246"/>
      <c r="AZ122" s="246"/>
      <c r="BA122" s="246"/>
      <c r="BB122" s="246"/>
      <c r="BC122" s="246"/>
      <c r="BD122" s="246"/>
      <c r="BE122" s="246"/>
      <c r="BF122" s="246"/>
      <c r="BG122" s="246"/>
      <c r="BH122" s="246"/>
      <c r="BI122" s="246"/>
      <c r="BJ122" s="246"/>
      <c r="BK122" s="246"/>
      <c r="BL122" s="437"/>
    </row>
    <row r="123" spans="3:64" s="1526" customFormat="1">
      <c r="C123" s="1526" t="s">
        <v>70</v>
      </c>
      <c r="E123" s="1530"/>
      <c r="F123" s="1525"/>
      <c r="U123" s="1525"/>
      <c r="AI123" s="1525"/>
      <c r="AJ123" s="385"/>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c r="BF123" s="246"/>
      <c r="BG123" s="246"/>
      <c r="BH123" s="246"/>
      <c r="BI123" s="246"/>
      <c r="BJ123" s="246"/>
      <c r="BK123" s="246"/>
      <c r="BL123" s="437"/>
    </row>
    <row r="124" spans="3:64" s="1526" customFormat="1">
      <c r="C124" s="1526" t="s">
        <v>76</v>
      </c>
      <c r="E124" s="1530"/>
      <c r="F124" s="1525"/>
      <c r="U124" s="1525"/>
      <c r="AI124" s="1525"/>
      <c r="AJ124" s="385"/>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c r="BJ124" s="246"/>
      <c r="BK124" s="246"/>
      <c r="BL124" s="437"/>
    </row>
    <row r="125" spans="3:64" s="1526" customFormat="1">
      <c r="C125" s="1526" t="s">
        <v>95</v>
      </c>
      <c r="E125" s="1530"/>
      <c r="F125" s="1525"/>
      <c r="U125" s="1525"/>
      <c r="AI125" s="1525"/>
      <c r="AJ125" s="385"/>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437"/>
    </row>
    <row r="126" spans="3:64" s="1526" customFormat="1">
      <c r="C126" s="1526" t="s">
        <v>96</v>
      </c>
      <c r="E126" s="1530"/>
      <c r="F126" s="1525"/>
      <c r="U126" s="1525"/>
      <c r="AI126" s="1525"/>
      <c r="AJ126" s="385"/>
      <c r="AK126" s="246"/>
      <c r="AL126" s="246"/>
      <c r="AM126" s="246"/>
      <c r="AN126" s="246"/>
      <c r="AO126" s="246"/>
      <c r="AP126" s="246"/>
      <c r="AQ126" s="246"/>
      <c r="AR126" s="246"/>
      <c r="AS126" s="246"/>
      <c r="AT126" s="246"/>
      <c r="AU126" s="246"/>
      <c r="AV126" s="246"/>
      <c r="AW126" s="246"/>
      <c r="AX126" s="246"/>
      <c r="AY126" s="246"/>
      <c r="AZ126" s="246"/>
      <c r="BA126" s="246"/>
      <c r="BB126" s="246"/>
      <c r="BC126" s="246"/>
      <c r="BD126" s="246"/>
      <c r="BE126" s="246"/>
      <c r="BF126" s="246"/>
      <c r="BG126" s="246"/>
      <c r="BH126" s="246"/>
      <c r="BI126" s="246"/>
      <c r="BJ126" s="246"/>
      <c r="BK126" s="246"/>
      <c r="BL126" s="437"/>
    </row>
    <row r="127" spans="3:64" s="1526" customFormat="1">
      <c r="C127" s="1526" t="s">
        <v>101</v>
      </c>
      <c r="E127" s="1530"/>
      <c r="F127" s="1525"/>
      <c r="U127" s="1525"/>
      <c r="AI127" s="1525"/>
      <c r="AJ127" s="385"/>
      <c r="AK127" s="246"/>
      <c r="AL127" s="246"/>
      <c r="AM127" s="246"/>
      <c r="AN127" s="246"/>
      <c r="AO127" s="246"/>
      <c r="AP127" s="246"/>
      <c r="AQ127" s="246"/>
      <c r="AR127" s="246"/>
      <c r="AS127" s="246"/>
      <c r="AT127" s="246"/>
      <c r="AU127" s="246"/>
      <c r="AV127" s="246"/>
      <c r="AW127" s="246"/>
      <c r="AX127" s="246"/>
      <c r="AY127" s="246"/>
      <c r="AZ127" s="246"/>
      <c r="BA127" s="246"/>
      <c r="BB127" s="246"/>
      <c r="BC127" s="246"/>
      <c r="BD127" s="246"/>
      <c r="BE127" s="246"/>
      <c r="BF127" s="246"/>
      <c r="BG127" s="246"/>
      <c r="BH127" s="246"/>
      <c r="BI127" s="246"/>
      <c r="BJ127" s="246"/>
      <c r="BK127" s="246"/>
      <c r="BL127" s="437"/>
    </row>
    <row r="128" spans="3:64" s="1526" customFormat="1">
      <c r="C128" s="1526" t="s">
        <v>114</v>
      </c>
      <c r="E128" s="1530"/>
      <c r="F128" s="1525"/>
      <c r="U128" s="1525"/>
      <c r="AI128" s="1525"/>
      <c r="AJ128" s="385"/>
      <c r="AK128" s="246"/>
      <c r="AL128" s="246"/>
      <c r="AM128" s="246"/>
      <c r="AN128" s="246"/>
      <c r="AO128" s="246"/>
      <c r="AP128" s="246"/>
      <c r="AQ128" s="246"/>
      <c r="AR128" s="246"/>
      <c r="AS128" s="246"/>
      <c r="AT128" s="246"/>
      <c r="AU128" s="246"/>
      <c r="AV128" s="246"/>
      <c r="AW128" s="246"/>
      <c r="AX128" s="246"/>
      <c r="AY128" s="246"/>
      <c r="AZ128" s="246"/>
      <c r="BA128" s="246"/>
      <c r="BB128" s="246"/>
      <c r="BC128" s="246"/>
      <c r="BD128" s="246"/>
      <c r="BE128" s="246"/>
      <c r="BF128" s="246"/>
      <c r="BG128" s="246"/>
      <c r="BH128" s="246"/>
      <c r="BI128" s="246"/>
      <c r="BJ128" s="246"/>
      <c r="BK128" s="246"/>
      <c r="BL128" s="437"/>
    </row>
    <row r="129" spans="3:64" s="1526" customFormat="1">
      <c r="C129" s="1526" t="s">
        <v>116</v>
      </c>
      <c r="E129" s="1530"/>
      <c r="F129" s="1525"/>
      <c r="U129" s="1525"/>
      <c r="AI129" s="1525"/>
      <c r="AJ129" s="385"/>
      <c r="AK129" s="246"/>
      <c r="AL129" s="246"/>
      <c r="AM129" s="246"/>
      <c r="AN129" s="246"/>
      <c r="AO129" s="246"/>
      <c r="AP129" s="246"/>
      <c r="AQ129" s="246"/>
      <c r="AR129" s="246"/>
      <c r="AS129" s="246"/>
      <c r="AT129" s="246"/>
      <c r="AU129" s="246"/>
      <c r="AV129" s="246"/>
      <c r="AW129" s="246"/>
      <c r="AX129" s="246"/>
      <c r="AY129" s="246"/>
      <c r="AZ129" s="246"/>
      <c r="BA129" s="246"/>
      <c r="BB129" s="246"/>
      <c r="BC129" s="246"/>
      <c r="BD129" s="246"/>
      <c r="BE129" s="246"/>
      <c r="BF129" s="246"/>
      <c r="BG129" s="246"/>
      <c r="BH129" s="246"/>
      <c r="BI129" s="246"/>
      <c r="BJ129" s="246"/>
      <c r="BK129" s="246"/>
      <c r="BL129" s="437"/>
    </row>
    <row r="130" spans="3:64" s="1526" customFormat="1">
      <c r="E130" s="1530"/>
      <c r="F130" s="1525"/>
      <c r="U130" s="1525"/>
      <c r="AI130" s="1525"/>
      <c r="AJ130" s="385"/>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c r="BJ130" s="246"/>
      <c r="BK130" s="246"/>
      <c r="BL130" s="437"/>
    </row>
    <row r="131" spans="3:64" s="1526" customFormat="1">
      <c r="E131" s="1530"/>
      <c r="F131" s="1525"/>
      <c r="U131" s="1525"/>
      <c r="AI131" s="1525"/>
      <c r="AJ131" s="385"/>
      <c r="AK131" s="246"/>
      <c r="AL131" s="246"/>
      <c r="AM131" s="246"/>
      <c r="AN131" s="246"/>
      <c r="AO131" s="246"/>
      <c r="AP131" s="246"/>
      <c r="AQ131" s="246"/>
      <c r="AR131" s="246"/>
      <c r="AS131" s="246"/>
      <c r="AT131" s="246"/>
      <c r="AU131" s="246"/>
      <c r="AV131" s="246"/>
      <c r="AW131" s="246"/>
      <c r="AX131" s="246"/>
      <c r="AY131" s="246"/>
      <c r="AZ131" s="246"/>
      <c r="BA131" s="246"/>
      <c r="BB131" s="246"/>
      <c r="BC131" s="246"/>
      <c r="BD131" s="246"/>
      <c r="BE131" s="246"/>
      <c r="BF131" s="246"/>
      <c r="BG131" s="246"/>
      <c r="BH131" s="246"/>
      <c r="BI131" s="246"/>
      <c r="BJ131" s="246"/>
      <c r="BK131" s="246"/>
      <c r="BL131" s="437"/>
    </row>
    <row r="132" spans="3:64" s="1526" customFormat="1">
      <c r="E132" s="1530"/>
      <c r="F132" s="1525"/>
      <c r="U132" s="1525"/>
      <c r="AI132" s="1525"/>
      <c r="AJ132" s="385"/>
      <c r="AK132" s="246"/>
      <c r="AL132" s="246"/>
      <c r="AM132" s="246"/>
      <c r="AN132" s="246"/>
      <c r="AO132" s="246"/>
      <c r="AP132" s="246"/>
      <c r="AQ132" s="246"/>
      <c r="AR132" s="246"/>
      <c r="AS132" s="246"/>
      <c r="AT132" s="246"/>
      <c r="AU132" s="246"/>
      <c r="AV132" s="246"/>
      <c r="AW132" s="246"/>
      <c r="AX132" s="246"/>
      <c r="AY132" s="246"/>
      <c r="AZ132" s="246"/>
      <c r="BA132" s="246"/>
      <c r="BB132" s="246"/>
      <c r="BC132" s="246"/>
      <c r="BD132" s="246"/>
      <c r="BE132" s="246"/>
      <c r="BF132" s="246"/>
      <c r="BG132" s="246"/>
      <c r="BH132" s="246"/>
      <c r="BI132" s="246"/>
      <c r="BJ132" s="246"/>
      <c r="BK132" s="246"/>
      <c r="BL132" s="437"/>
    </row>
    <row r="133" spans="3:64" s="1526" customFormat="1">
      <c r="E133" s="1530"/>
      <c r="F133" s="1525"/>
      <c r="U133" s="1525"/>
      <c r="AI133" s="1525"/>
      <c r="AJ133" s="385"/>
      <c r="AK133" s="246"/>
      <c r="AL133" s="246"/>
      <c r="AM133" s="246"/>
      <c r="AN133" s="246"/>
      <c r="AO133" s="246"/>
      <c r="AP133" s="246"/>
      <c r="AQ133" s="246"/>
      <c r="AR133" s="246"/>
      <c r="AS133" s="246"/>
      <c r="AT133" s="246"/>
      <c r="AU133" s="246"/>
      <c r="AV133" s="246"/>
      <c r="AW133" s="246"/>
      <c r="AX133" s="246"/>
      <c r="AY133" s="246"/>
      <c r="AZ133" s="246"/>
      <c r="BA133" s="246"/>
      <c r="BB133" s="246"/>
      <c r="BC133" s="246"/>
      <c r="BD133" s="246"/>
      <c r="BE133" s="246"/>
      <c r="BF133" s="246"/>
      <c r="BG133" s="246"/>
      <c r="BH133" s="246"/>
      <c r="BI133" s="246"/>
      <c r="BJ133" s="246"/>
      <c r="BK133" s="246"/>
      <c r="BL133" s="437"/>
    </row>
    <row r="134" spans="3:64" s="1526" customFormat="1">
      <c r="E134" s="1530"/>
      <c r="F134" s="1525"/>
      <c r="U134" s="1525"/>
      <c r="AI134" s="1525"/>
      <c r="AJ134" s="385"/>
      <c r="AK134" s="246"/>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6"/>
      <c r="BK134" s="246"/>
      <c r="BL134" s="437"/>
    </row>
    <row r="135" spans="3:64" s="1526" customFormat="1">
      <c r="E135" s="1530"/>
      <c r="F135" s="1525"/>
      <c r="U135" s="1525"/>
      <c r="AI135" s="1525"/>
      <c r="AJ135" s="385"/>
      <c r="AK135" s="246"/>
      <c r="AL135" s="246"/>
      <c r="AM135" s="246"/>
      <c r="AN135" s="246"/>
      <c r="AO135" s="246"/>
      <c r="AP135" s="246"/>
      <c r="AQ135" s="246"/>
      <c r="AR135" s="246"/>
      <c r="AS135" s="246"/>
      <c r="AT135" s="246"/>
      <c r="AU135" s="246"/>
      <c r="AV135" s="246"/>
      <c r="AW135" s="246"/>
      <c r="AX135" s="246"/>
      <c r="AY135" s="246"/>
      <c r="AZ135" s="246"/>
      <c r="BA135" s="246"/>
      <c r="BB135" s="246"/>
      <c r="BC135" s="246"/>
      <c r="BD135" s="246"/>
      <c r="BE135" s="246"/>
      <c r="BF135" s="246"/>
      <c r="BG135" s="246"/>
      <c r="BH135" s="246"/>
      <c r="BI135" s="246"/>
      <c r="BJ135" s="246"/>
      <c r="BK135" s="246"/>
      <c r="BL135" s="437"/>
    </row>
    <row r="136" spans="3:64" s="1526" customFormat="1">
      <c r="E136" s="1530"/>
      <c r="F136" s="1525"/>
      <c r="U136" s="1525"/>
      <c r="AI136" s="1525"/>
      <c r="AJ136" s="385"/>
      <c r="AK136" s="246"/>
      <c r="AL136" s="246"/>
      <c r="AM136" s="246"/>
      <c r="AN136" s="246"/>
      <c r="AO136" s="246"/>
      <c r="AP136" s="246"/>
      <c r="AQ136" s="246"/>
      <c r="AR136" s="246"/>
      <c r="AS136" s="246"/>
      <c r="AT136" s="246"/>
      <c r="AU136" s="246"/>
      <c r="AV136" s="246"/>
      <c r="AW136" s="246"/>
      <c r="AX136" s="246"/>
      <c r="AY136" s="246"/>
      <c r="AZ136" s="246"/>
      <c r="BA136" s="246"/>
      <c r="BB136" s="246"/>
      <c r="BC136" s="246"/>
      <c r="BD136" s="246"/>
      <c r="BE136" s="246"/>
      <c r="BF136" s="246"/>
      <c r="BG136" s="246"/>
      <c r="BH136" s="246"/>
      <c r="BI136" s="246"/>
      <c r="BJ136" s="246"/>
      <c r="BK136" s="246"/>
      <c r="BL136" s="437"/>
    </row>
    <row r="137" spans="3:64" s="1526" customFormat="1">
      <c r="E137" s="1530"/>
      <c r="F137" s="1525"/>
      <c r="U137" s="1525"/>
      <c r="AI137" s="1525"/>
      <c r="AJ137" s="385"/>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c r="BJ137" s="246"/>
      <c r="BK137" s="246"/>
      <c r="BL137" s="437"/>
    </row>
    <row r="138" spans="3:64" s="1526" customFormat="1">
      <c r="E138" s="1530"/>
      <c r="F138" s="1525"/>
      <c r="U138" s="1525"/>
      <c r="AI138" s="1525"/>
      <c r="AJ138" s="385"/>
      <c r="AK138" s="246"/>
      <c r="AL138" s="246"/>
      <c r="AM138" s="246"/>
      <c r="AN138" s="246"/>
      <c r="AO138" s="246"/>
      <c r="AP138" s="246"/>
      <c r="AQ138" s="246"/>
      <c r="AR138" s="246"/>
      <c r="AS138" s="246"/>
      <c r="AT138" s="246"/>
      <c r="AU138" s="246"/>
      <c r="AV138" s="246"/>
      <c r="AW138" s="246"/>
      <c r="AX138" s="246"/>
      <c r="AY138" s="246"/>
      <c r="AZ138" s="246"/>
      <c r="BA138" s="246"/>
      <c r="BB138" s="246"/>
      <c r="BC138" s="246"/>
      <c r="BD138" s="246"/>
      <c r="BE138" s="246"/>
      <c r="BF138" s="246"/>
      <c r="BG138" s="246"/>
      <c r="BH138" s="246"/>
      <c r="BI138" s="246"/>
      <c r="BJ138" s="246"/>
      <c r="BK138" s="246"/>
      <c r="BL138" s="437"/>
    </row>
    <row r="139" spans="3:64" s="1526" customFormat="1">
      <c r="E139" s="1530"/>
      <c r="F139" s="1525"/>
      <c r="U139" s="1525"/>
      <c r="AI139" s="1525"/>
      <c r="AJ139" s="385"/>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246"/>
      <c r="BF139" s="246"/>
      <c r="BG139" s="246"/>
      <c r="BH139" s="246"/>
      <c r="BI139" s="246"/>
      <c r="BJ139" s="246"/>
      <c r="BK139" s="246"/>
      <c r="BL139" s="437"/>
    </row>
    <row r="140" spans="3:64" s="1526" customFormat="1">
      <c r="E140" s="1530"/>
      <c r="F140" s="1525"/>
      <c r="U140" s="1525"/>
      <c r="AI140" s="1525"/>
      <c r="AJ140" s="385"/>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c r="BJ140" s="246"/>
      <c r="BK140" s="246"/>
      <c r="BL140" s="437"/>
    </row>
    <row r="141" spans="3:64" s="1526" customFormat="1">
      <c r="E141" s="1530"/>
      <c r="F141" s="1525"/>
      <c r="U141" s="1525"/>
      <c r="AI141" s="1525"/>
      <c r="AJ141" s="385"/>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c r="BJ141" s="246"/>
      <c r="BK141" s="246"/>
      <c r="BL141" s="437"/>
    </row>
    <row r="142" spans="3:64" s="1526" customFormat="1">
      <c r="E142" s="1530"/>
      <c r="F142" s="1525"/>
      <c r="U142" s="1525"/>
      <c r="AI142" s="1525"/>
      <c r="AJ142" s="385"/>
      <c r="AK142" s="246"/>
      <c r="AL142" s="246"/>
      <c r="AM142" s="246"/>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437"/>
    </row>
    <row r="143" spans="3:64" s="1526" customFormat="1">
      <c r="E143" s="1530"/>
      <c r="F143" s="1525"/>
      <c r="U143" s="1525"/>
      <c r="AI143" s="1525"/>
      <c r="AJ143" s="385"/>
      <c r="AK143" s="246"/>
      <c r="AL143" s="246"/>
      <c r="AM143" s="246"/>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437"/>
    </row>
    <row r="144" spans="3:64" s="1526" customFormat="1">
      <c r="E144" s="1530"/>
      <c r="F144" s="1525"/>
      <c r="U144" s="1525"/>
      <c r="AI144" s="1525"/>
      <c r="AJ144" s="385"/>
      <c r="AK144" s="246"/>
      <c r="AL144" s="246"/>
      <c r="AM144" s="246"/>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437"/>
    </row>
    <row r="145" spans="5:64" s="1526" customFormat="1">
      <c r="E145" s="1530"/>
      <c r="F145" s="1525"/>
      <c r="U145" s="1525"/>
      <c r="AI145" s="1525"/>
      <c r="AJ145" s="385"/>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c r="BJ145" s="246"/>
      <c r="BK145" s="246"/>
      <c r="BL145" s="437"/>
    </row>
    <row r="146" spans="5:64" s="1526" customFormat="1">
      <c r="E146" s="1530"/>
      <c r="F146" s="1525"/>
      <c r="U146" s="1525"/>
      <c r="AI146" s="1525"/>
      <c r="AJ146" s="385"/>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c r="BJ146" s="246"/>
      <c r="BK146" s="246"/>
      <c r="BL146" s="437"/>
    </row>
    <row r="147" spans="5:64" s="1526" customFormat="1">
      <c r="E147" s="1530"/>
      <c r="F147" s="1525"/>
      <c r="U147" s="1525"/>
      <c r="AI147" s="1525"/>
      <c r="AJ147" s="385"/>
      <c r="AK147" s="246"/>
      <c r="AL147" s="246"/>
      <c r="AM147" s="246"/>
      <c r="AN147" s="246"/>
      <c r="AO147" s="246"/>
      <c r="AP147" s="246"/>
      <c r="AQ147" s="246"/>
      <c r="AR147" s="246"/>
      <c r="AS147" s="246"/>
      <c r="AT147" s="246"/>
      <c r="AU147" s="246"/>
      <c r="AV147" s="246"/>
      <c r="AW147" s="246"/>
      <c r="AX147" s="246"/>
      <c r="AY147" s="246"/>
      <c r="AZ147" s="246"/>
      <c r="BA147" s="246"/>
      <c r="BB147" s="246"/>
      <c r="BC147" s="246"/>
      <c r="BD147" s="246"/>
      <c r="BE147" s="246"/>
      <c r="BF147" s="246"/>
      <c r="BG147" s="246"/>
      <c r="BH147" s="246"/>
      <c r="BI147" s="246"/>
      <c r="BJ147" s="246"/>
      <c r="BK147" s="246"/>
      <c r="BL147" s="437"/>
    </row>
    <row r="148" spans="5:64" s="1526" customFormat="1">
      <c r="E148" s="1530"/>
      <c r="F148" s="1525"/>
      <c r="U148" s="1525"/>
      <c r="AI148" s="1525"/>
      <c r="AJ148" s="385"/>
      <c r="AK148" s="246"/>
      <c r="AL148" s="246"/>
      <c r="AM148" s="246"/>
      <c r="AN148" s="246"/>
      <c r="AO148" s="246"/>
      <c r="AP148" s="246"/>
      <c r="AQ148" s="246"/>
      <c r="AR148" s="246"/>
      <c r="AS148" s="246"/>
      <c r="AT148" s="246"/>
      <c r="AU148" s="246"/>
      <c r="AV148" s="246"/>
      <c r="AW148" s="246"/>
      <c r="AX148" s="246"/>
      <c r="AY148" s="246"/>
      <c r="AZ148" s="246"/>
      <c r="BA148" s="246"/>
      <c r="BB148" s="246"/>
      <c r="BC148" s="246"/>
      <c r="BD148" s="246"/>
      <c r="BE148" s="246"/>
      <c r="BF148" s="246"/>
      <c r="BG148" s="246"/>
      <c r="BH148" s="246"/>
      <c r="BI148" s="246"/>
      <c r="BJ148" s="246"/>
      <c r="BK148" s="246"/>
      <c r="BL148" s="437"/>
    </row>
    <row r="149" spans="5:64" s="1526" customFormat="1">
      <c r="E149" s="1530"/>
      <c r="F149" s="1525"/>
      <c r="U149" s="1525"/>
      <c r="AI149" s="1525"/>
      <c r="AJ149" s="385"/>
      <c r="AK149" s="246"/>
      <c r="AL149" s="246"/>
      <c r="AM149" s="246"/>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437"/>
    </row>
    <row r="150" spans="5:64">
      <c r="E150" s="187"/>
      <c r="AI150" s="99"/>
      <c r="AJ150" s="243"/>
      <c r="AK150" s="242"/>
      <c r="AL150" s="242"/>
      <c r="AM150" s="242"/>
      <c r="AN150" s="242"/>
      <c r="AO150" s="242"/>
      <c r="AP150" s="242"/>
      <c r="AQ150" s="242"/>
      <c r="AR150" s="242"/>
      <c r="AS150" s="242"/>
      <c r="AT150" s="242"/>
      <c r="AU150" s="242"/>
      <c r="AV150" s="242"/>
      <c r="AW150" s="242"/>
      <c r="AX150" s="242"/>
      <c r="AY150" s="242"/>
      <c r="AZ150" s="242"/>
      <c r="BA150" s="242"/>
      <c r="BB150" s="242"/>
      <c r="BC150" s="242"/>
      <c r="BD150" s="242"/>
      <c r="BE150" s="242"/>
      <c r="BF150" s="242"/>
      <c r="BG150" s="242"/>
      <c r="BH150" s="242"/>
      <c r="BI150" s="242"/>
    </row>
    <row r="151" spans="5:64">
      <c r="E151" s="187"/>
      <c r="AI151" s="99"/>
      <c r="AJ151" s="243"/>
      <c r="AK151" s="242"/>
      <c r="AL151" s="242"/>
      <c r="AM151" s="242"/>
      <c r="AN151" s="242"/>
      <c r="AO151" s="242"/>
      <c r="AP151" s="242"/>
      <c r="AQ151" s="242"/>
      <c r="AR151" s="242"/>
      <c r="AS151" s="242"/>
      <c r="AT151" s="242"/>
      <c r="AU151" s="242"/>
      <c r="AV151" s="242"/>
      <c r="AW151" s="242"/>
      <c r="AX151" s="242"/>
      <c r="AY151" s="242"/>
      <c r="AZ151" s="242"/>
      <c r="BA151" s="242"/>
      <c r="BB151" s="242"/>
      <c r="BC151" s="242"/>
      <c r="BD151" s="242"/>
      <c r="BE151" s="242"/>
      <c r="BF151" s="242"/>
      <c r="BG151" s="242"/>
      <c r="BH151" s="242"/>
      <c r="BI151" s="242"/>
    </row>
    <row r="152" spans="5:64">
      <c r="E152" s="187"/>
      <c r="AI152" s="99"/>
      <c r="AJ152" s="243"/>
      <c r="AK152" s="242"/>
      <c r="AL152" s="242"/>
      <c r="AM152" s="242"/>
      <c r="AN152" s="242"/>
      <c r="AO152" s="242"/>
      <c r="AP152" s="242"/>
      <c r="AQ152" s="242"/>
      <c r="AR152" s="242"/>
      <c r="AS152" s="242"/>
      <c r="AT152" s="242"/>
      <c r="AU152" s="242"/>
      <c r="AV152" s="242"/>
      <c r="AW152" s="242"/>
      <c r="AX152" s="242"/>
      <c r="AY152" s="242"/>
      <c r="AZ152" s="242"/>
      <c r="BA152" s="242"/>
      <c r="BB152" s="242"/>
      <c r="BC152" s="242"/>
      <c r="BD152" s="242"/>
      <c r="BE152" s="242"/>
      <c r="BF152" s="242"/>
      <c r="BG152" s="242"/>
      <c r="BH152" s="242"/>
      <c r="BI152" s="242"/>
    </row>
    <row r="153" spans="5:64">
      <c r="E153" s="187"/>
      <c r="AI153" s="99"/>
      <c r="AJ153" s="243"/>
      <c r="AK153" s="242"/>
      <c r="AL153" s="242"/>
      <c r="AM153" s="242"/>
      <c r="AN153" s="242"/>
      <c r="AO153" s="242"/>
      <c r="AP153" s="242"/>
      <c r="AQ153" s="242"/>
      <c r="AR153" s="242"/>
      <c r="AS153" s="242"/>
      <c r="AT153" s="242"/>
      <c r="AU153" s="242"/>
      <c r="AV153" s="242"/>
      <c r="AW153" s="242"/>
      <c r="AX153" s="242"/>
      <c r="AY153" s="242"/>
      <c r="AZ153" s="242"/>
      <c r="BA153" s="242"/>
      <c r="BB153" s="242"/>
      <c r="BC153" s="242"/>
      <c r="BD153" s="242"/>
      <c r="BE153" s="242"/>
      <c r="BF153" s="242"/>
      <c r="BG153" s="242"/>
      <c r="BH153" s="242"/>
      <c r="BI153" s="242"/>
    </row>
    <row r="154" spans="5:64">
      <c r="E154" s="187"/>
      <c r="AI154" s="99"/>
      <c r="AJ154" s="243"/>
      <c r="AK154" s="242"/>
      <c r="AL154" s="242"/>
      <c r="AM154" s="242"/>
      <c r="AN154" s="242"/>
      <c r="AO154" s="242"/>
      <c r="AP154" s="242"/>
      <c r="AQ154" s="242"/>
      <c r="AR154" s="242"/>
      <c r="AS154" s="242"/>
      <c r="AT154" s="242"/>
      <c r="AU154" s="242"/>
      <c r="AV154" s="242"/>
      <c r="AW154" s="242"/>
      <c r="AX154" s="242"/>
      <c r="AY154" s="242"/>
      <c r="AZ154" s="242"/>
      <c r="BA154" s="242"/>
      <c r="BB154" s="242"/>
      <c r="BC154" s="242"/>
      <c r="BD154" s="242"/>
      <c r="BE154" s="242"/>
      <c r="BF154" s="242"/>
      <c r="BG154" s="242"/>
      <c r="BH154" s="242"/>
      <c r="BI154" s="242"/>
    </row>
    <row r="155" spans="5:64">
      <c r="E155" s="187"/>
      <c r="AI155" s="99"/>
      <c r="AJ155" s="243"/>
      <c r="AK155" s="242"/>
      <c r="AL155" s="242"/>
      <c r="AM155" s="242"/>
      <c r="AN155" s="242"/>
      <c r="AO155" s="242"/>
      <c r="AP155" s="242"/>
      <c r="AQ155" s="242"/>
      <c r="AR155" s="242"/>
      <c r="AS155" s="242"/>
      <c r="AT155" s="242"/>
      <c r="AU155" s="242"/>
      <c r="AV155" s="242"/>
      <c r="AW155" s="242"/>
      <c r="AX155" s="242"/>
      <c r="AY155" s="242"/>
      <c r="AZ155" s="242"/>
      <c r="BA155" s="242"/>
      <c r="BB155" s="242"/>
      <c r="BC155" s="242"/>
      <c r="BD155" s="242"/>
      <c r="BE155" s="242"/>
      <c r="BF155" s="242"/>
      <c r="BG155" s="242"/>
      <c r="BH155" s="242"/>
      <c r="BI155" s="242"/>
    </row>
    <row r="156" spans="5:64">
      <c r="E156" s="187"/>
      <c r="AI156" s="99"/>
      <c r="AJ156" s="243"/>
      <c r="AK156" s="242"/>
      <c r="AL156" s="242"/>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c r="BH156" s="242"/>
      <c r="BI156" s="242"/>
    </row>
    <row r="157" spans="5:64">
      <c r="E157" s="187"/>
      <c r="AI157" s="99"/>
      <c r="AJ157" s="243"/>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row>
    <row r="158" spans="5:64">
      <c r="E158" s="187"/>
      <c r="AI158" s="99"/>
      <c r="AJ158" s="243"/>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row>
    <row r="159" spans="5:64">
      <c r="E159" s="187"/>
      <c r="AI159" s="99"/>
      <c r="AJ159" s="243"/>
      <c r="AK159" s="242"/>
      <c r="AL159" s="242"/>
      <c r="AM159" s="242"/>
      <c r="AN159" s="242"/>
      <c r="AO159" s="242"/>
      <c r="AP159" s="242"/>
      <c r="AQ159" s="242"/>
      <c r="AR159" s="242"/>
      <c r="AS159" s="242"/>
      <c r="AT159" s="242"/>
      <c r="AU159" s="242"/>
      <c r="AV159" s="242"/>
      <c r="AW159" s="242"/>
      <c r="AX159" s="242"/>
      <c r="AY159" s="242"/>
      <c r="AZ159" s="242"/>
      <c r="BA159" s="242"/>
      <c r="BB159" s="242"/>
      <c r="BC159" s="242"/>
      <c r="BD159" s="242"/>
      <c r="BE159" s="242"/>
      <c r="BF159" s="242"/>
      <c r="BG159" s="242"/>
      <c r="BH159" s="242"/>
      <c r="BI159" s="242"/>
    </row>
    <row r="160" spans="5:64">
      <c r="E160" s="187"/>
      <c r="AI160" s="99"/>
      <c r="AJ160" s="243"/>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row>
    <row r="161" spans="5:61">
      <c r="E161" s="187"/>
      <c r="AI161" s="99"/>
      <c r="AJ161" s="243"/>
      <c r="AK161" s="242"/>
      <c r="AL161" s="242"/>
      <c r="AM161" s="242"/>
      <c r="AN161" s="242"/>
      <c r="AO161" s="242"/>
      <c r="AP161" s="242"/>
      <c r="AQ161" s="242"/>
      <c r="AR161" s="242"/>
      <c r="AS161" s="242"/>
      <c r="AT161" s="242"/>
      <c r="AU161" s="242"/>
      <c r="AV161" s="242"/>
      <c r="AW161" s="242"/>
      <c r="AX161" s="242"/>
      <c r="AY161" s="242"/>
      <c r="AZ161" s="242"/>
      <c r="BA161" s="242"/>
      <c r="BB161" s="242"/>
      <c r="BC161" s="242"/>
      <c r="BD161" s="242"/>
      <c r="BE161" s="242"/>
      <c r="BF161" s="242"/>
      <c r="BG161" s="242"/>
      <c r="BH161" s="242"/>
      <c r="BI161" s="242"/>
    </row>
    <row r="162" spans="5:61">
      <c r="E162" s="187"/>
      <c r="AI162" s="99"/>
      <c r="AJ162" s="243"/>
      <c r="AK162" s="242"/>
      <c r="AL162" s="242"/>
      <c r="AM162" s="242"/>
      <c r="AN162" s="242"/>
      <c r="AO162" s="242"/>
      <c r="AP162" s="242"/>
      <c r="AQ162" s="242"/>
      <c r="AR162" s="242"/>
      <c r="AS162" s="242"/>
      <c r="AT162" s="242"/>
      <c r="AU162" s="242"/>
      <c r="AV162" s="242"/>
      <c r="AW162" s="242"/>
      <c r="AX162" s="242"/>
      <c r="AY162" s="242"/>
      <c r="AZ162" s="242"/>
      <c r="BA162" s="242"/>
      <c r="BB162" s="242"/>
      <c r="BC162" s="242"/>
      <c r="BD162" s="242"/>
      <c r="BE162" s="242"/>
      <c r="BF162" s="242"/>
      <c r="BG162" s="242"/>
      <c r="BH162" s="242"/>
      <c r="BI162" s="242"/>
    </row>
    <row r="163" spans="5:61">
      <c r="E163" s="187"/>
      <c r="AI163" s="99"/>
      <c r="AJ163" s="243"/>
    </row>
    <row r="164" spans="5:61">
      <c r="E164" s="187"/>
      <c r="AI164" s="99"/>
      <c r="AJ164" s="243"/>
    </row>
    <row r="165" spans="5:61">
      <c r="E165" s="187"/>
      <c r="AI165" s="99"/>
      <c r="AJ165" s="243"/>
    </row>
    <row r="166" spans="5:61">
      <c r="E166" s="187"/>
      <c r="AI166" s="99"/>
      <c r="AJ166" s="243"/>
    </row>
    <row r="167" spans="5:61">
      <c r="AI167" s="99"/>
      <c r="AJ167" s="243"/>
    </row>
    <row r="168" spans="5:61">
      <c r="AI168" s="99"/>
      <c r="AJ168" s="243"/>
    </row>
    <row r="169" spans="5:61">
      <c r="AI169" s="99"/>
      <c r="AJ169" s="243"/>
    </row>
    <row r="170" spans="5:61">
      <c r="AI170" s="99"/>
      <c r="AJ170" s="243"/>
    </row>
    <row r="171" spans="5:61">
      <c r="AI171" s="99"/>
      <c r="AJ171" s="243"/>
    </row>
    <row r="172" spans="5:61">
      <c r="AI172" s="99"/>
      <c r="AJ172" s="243"/>
    </row>
    <row r="173" spans="5:61">
      <c r="AI173" s="99"/>
      <c r="AJ173" s="243"/>
    </row>
    <row r="174" spans="5:61">
      <c r="AI174" s="99"/>
      <c r="AJ174" s="243"/>
    </row>
    <row r="175" spans="5:61">
      <c r="AI175" s="99"/>
      <c r="AJ175" s="243"/>
    </row>
    <row r="176" spans="5:61">
      <c r="AI176" s="99"/>
      <c r="AJ176" s="243"/>
    </row>
    <row r="177" spans="35:36">
      <c r="AI177" s="99"/>
      <c r="AJ177" s="243"/>
    </row>
    <row r="178" spans="35:36">
      <c r="AI178" s="99"/>
      <c r="AJ178" s="243"/>
    </row>
    <row r="179" spans="35:36">
      <c r="AI179" s="99"/>
      <c r="AJ179" s="243"/>
    </row>
    <row r="180" spans="35:36">
      <c r="AI180" s="99"/>
      <c r="AJ180" s="243"/>
    </row>
    <row r="181" spans="35:36">
      <c r="AI181" s="99"/>
      <c r="AJ181" s="243"/>
    </row>
    <row r="182" spans="35:36">
      <c r="AI182" s="99"/>
      <c r="AJ182" s="243"/>
    </row>
    <row r="183" spans="35:36">
      <c r="AI183" s="99"/>
      <c r="AJ183" s="243"/>
    </row>
    <row r="184" spans="35:36">
      <c r="AI184" s="99"/>
      <c r="AJ184" s="243"/>
    </row>
    <row r="185" spans="35:36">
      <c r="AI185" s="99"/>
      <c r="AJ185" s="243"/>
    </row>
    <row r="186" spans="35:36">
      <c r="AI186" s="99"/>
      <c r="AJ186" s="243"/>
    </row>
    <row r="187" spans="35:36">
      <c r="AI187" s="99"/>
      <c r="AJ187" s="243"/>
    </row>
    <row r="188" spans="35:36">
      <c r="AI188" s="99"/>
      <c r="AJ188" s="243"/>
    </row>
    <row r="189" spans="35:36">
      <c r="AI189" s="99"/>
      <c r="AJ189" s="243"/>
    </row>
    <row r="190" spans="35:36">
      <c r="AI190" s="99"/>
      <c r="AJ190" s="243"/>
    </row>
    <row r="191" spans="35:36">
      <c r="AI191" s="99"/>
      <c r="AJ191" s="243"/>
    </row>
    <row r="192" spans="35:36">
      <c r="AI192" s="99"/>
      <c r="AJ192" s="243"/>
    </row>
    <row r="193" spans="35:36">
      <c r="AI193" s="99"/>
      <c r="AJ193" s="243"/>
    </row>
    <row r="194" spans="35:36">
      <c r="AI194" s="99"/>
      <c r="AJ194" s="243"/>
    </row>
    <row r="195" spans="35:36">
      <c r="AI195" s="99"/>
      <c r="AJ195" s="243"/>
    </row>
    <row r="196" spans="35:36">
      <c r="AI196" s="99"/>
      <c r="AJ196" s="243"/>
    </row>
    <row r="197" spans="35:36">
      <c r="AI197" s="99"/>
      <c r="AJ197" s="243"/>
    </row>
    <row r="198" spans="35:36">
      <c r="AI198" s="99"/>
      <c r="AJ198" s="243"/>
    </row>
    <row r="199" spans="35:36">
      <c r="AI199" s="99"/>
      <c r="AJ199" s="243"/>
    </row>
    <row r="200" spans="35:36">
      <c r="AI200" s="99"/>
      <c r="AJ200" s="243"/>
    </row>
    <row r="201" spans="35:36">
      <c r="AI201" s="99"/>
      <c r="AJ201" s="243"/>
    </row>
    <row r="202" spans="35:36">
      <c r="AI202" s="99"/>
      <c r="AJ202" s="243"/>
    </row>
    <row r="203" spans="35:36">
      <c r="AI203" s="99"/>
      <c r="AJ203" s="243"/>
    </row>
    <row r="204" spans="35:36">
      <c r="AI204" s="99"/>
      <c r="AJ204" s="243"/>
    </row>
    <row r="205" spans="35:36">
      <c r="AI205" s="99"/>
      <c r="AJ205" s="243"/>
    </row>
    <row r="206" spans="35:36">
      <c r="AI206" s="99"/>
      <c r="AJ206" s="243"/>
    </row>
    <row r="207" spans="35:36">
      <c r="AI207" s="99"/>
      <c r="AJ207" s="243"/>
    </row>
    <row r="208" spans="35:36">
      <c r="AI208" s="99"/>
      <c r="AJ208" s="243"/>
    </row>
    <row r="209" spans="35:36">
      <c r="AI209" s="99"/>
      <c r="AJ209" s="243"/>
    </row>
    <row r="210" spans="35:36">
      <c r="AI210" s="99"/>
      <c r="AJ210" s="243"/>
    </row>
    <row r="211" spans="35:36">
      <c r="AI211" s="99"/>
      <c r="AJ211" s="243"/>
    </row>
    <row r="212" spans="35:36">
      <c r="AI212" s="99"/>
      <c r="AJ212" s="243"/>
    </row>
    <row r="213" spans="35:36">
      <c r="AI213" s="99"/>
      <c r="AJ213" s="243"/>
    </row>
    <row r="214" spans="35:36">
      <c r="AI214" s="99"/>
      <c r="AJ214" s="243"/>
    </row>
    <row r="215" spans="35:36">
      <c r="AI215" s="99"/>
      <c r="AJ215" s="243"/>
    </row>
    <row r="216" spans="35:36">
      <c r="AI216" s="99"/>
      <c r="AJ216" s="243"/>
    </row>
    <row r="217" spans="35:36">
      <c r="AI217" s="99"/>
      <c r="AJ217" s="243"/>
    </row>
    <row r="218" spans="35:36">
      <c r="AI218" s="99"/>
      <c r="AJ218" s="243"/>
    </row>
    <row r="219" spans="35:36">
      <c r="AI219" s="99"/>
      <c r="AJ219" s="243"/>
    </row>
    <row r="220" spans="35:36">
      <c r="AI220" s="99"/>
      <c r="AJ220" s="243"/>
    </row>
    <row r="221" spans="35:36">
      <c r="AI221" s="99"/>
      <c r="AJ221" s="243"/>
    </row>
    <row r="222" spans="35:36">
      <c r="AI222" s="99"/>
      <c r="AJ222" s="243"/>
    </row>
    <row r="223" spans="35:36">
      <c r="AI223" s="99"/>
      <c r="AJ223" s="243"/>
    </row>
    <row r="224" spans="35:36">
      <c r="AI224" s="99"/>
      <c r="AJ224" s="243"/>
    </row>
    <row r="225" spans="12:36">
      <c r="AI225" s="99"/>
      <c r="AJ225" s="243"/>
    </row>
    <row r="226" spans="12:36">
      <c r="AI226" s="99"/>
      <c r="AJ226" s="243"/>
    </row>
    <row r="227" spans="12:36">
      <c r="AI227" s="99"/>
      <c r="AJ227" s="243"/>
    </row>
    <row r="228" spans="12:36">
      <c r="AI228" s="99"/>
      <c r="AJ228" s="243"/>
    </row>
    <row r="229" spans="12:36">
      <c r="AI229" s="99"/>
      <c r="AJ229" s="243"/>
    </row>
    <row r="230" spans="12:36">
      <c r="AI230" s="99"/>
      <c r="AJ230" s="243"/>
    </row>
    <row r="231" spans="12:36">
      <c r="AI231" s="99"/>
      <c r="AJ231" s="243"/>
    </row>
    <row r="232" spans="12:36">
      <c r="AI232" s="99"/>
      <c r="AJ232" s="243"/>
    </row>
    <row r="233" spans="12:36">
      <c r="AI233" s="99"/>
      <c r="AJ233" s="243"/>
    </row>
    <row r="234" spans="12:36">
      <c r="L234" s="186" t="s">
        <v>21</v>
      </c>
      <c r="AI234" s="99"/>
      <c r="AJ234" s="243"/>
    </row>
    <row r="235" spans="12:36">
      <c r="L235" s="186" t="s">
        <v>22</v>
      </c>
      <c r="AI235" s="99"/>
      <c r="AJ235" s="243"/>
    </row>
    <row r="236" spans="12:36">
      <c r="L236" s="186" t="s">
        <v>23</v>
      </c>
      <c r="AI236" s="99"/>
      <c r="AJ236" s="243"/>
    </row>
    <row r="237" spans="12:36">
      <c r="L237" s="186" t="s">
        <v>24</v>
      </c>
      <c r="AI237" s="99"/>
      <c r="AJ237" s="243"/>
    </row>
    <row r="238" spans="12:36">
      <c r="L238" s="186" t="s">
        <v>25</v>
      </c>
      <c r="AI238" s="99"/>
      <c r="AJ238" s="243"/>
    </row>
    <row r="239" spans="12:36">
      <c r="L239" s="186" t="s">
        <v>26</v>
      </c>
      <c r="AI239" s="99"/>
      <c r="AJ239" s="243"/>
    </row>
    <row r="240" spans="12:36">
      <c r="L240" s="186" t="s">
        <v>64</v>
      </c>
      <c r="AI240" s="99"/>
      <c r="AJ240" s="243"/>
    </row>
    <row r="241" spans="12:36">
      <c r="L241" s="186" t="s">
        <v>27</v>
      </c>
      <c r="AI241" s="99"/>
      <c r="AJ241" s="243"/>
    </row>
    <row r="242" spans="12:36">
      <c r="L242" s="186" t="s">
        <v>28</v>
      </c>
      <c r="AI242" s="99"/>
      <c r="AJ242" s="243"/>
    </row>
    <row r="243" spans="12:36">
      <c r="L243" s="186" t="s">
        <v>29</v>
      </c>
      <c r="AI243" s="99"/>
      <c r="AJ243" s="243"/>
    </row>
    <row r="244" spans="12:36">
      <c r="L244" s="186" t="s">
        <v>30</v>
      </c>
      <c r="AI244" s="99"/>
      <c r="AJ244" s="243"/>
    </row>
    <row r="245" spans="12:36">
      <c r="L245" s="186" t="s">
        <v>31</v>
      </c>
      <c r="AI245" s="99"/>
      <c r="AJ245" s="243"/>
    </row>
    <row r="246" spans="12:36">
      <c r="L246" s="186" t="s">
        <v>32</v>
      </c>
    </row>
    <row r="247" spans="12:36">
      <c r="L247" s="186" t="s">
        <v>33</v>
      </c>
    </row>
    <row r="248" spans="12:36">
      <c r="L248" s="186" t="s">
        <v>34</v>
      </c>
    </row>
    <row r="249" spans="12:36">
      <c r="L249" s="186" t="s">
        <v>35</v>
      </c>
    </row>
    <row r="250" spans="12:36">
      <c r="L250" s="186" t="s">
        <v>36</v>
      </c>
    </row>
    <row r="251" spans="12:36">
      <c r="L251" s="186" t="s">
        <v>37</v>
      </c>
    </row>
    <row r="252" spans="12:36">
      <c r="L252" s="186" t="s">
        <v>38</v>
      </c>
    </row>
    <row r="253" spans="12:36">
      <c r="L253" s="186" t="s">
        <v>39</v>
      </c>
    </row>
    <row r="254" spans="12:36">
      <c r="L254" s="186" t="s">
        <v>40</v>
      </c>
    </row>
    <row r="255" spans="12:36">
      <c r="L255" s="186" t="s">
        <v>41</v>
      </c>
    </row>
    <row r="256" spans="12:36">
      <c r="L256" s="186" t="s">
        <v>42</v>
      </c>
    </row>
    <row r="257" spans="12:12">
      <c r="L257" s="186" t="s">
        <v>43</v>
      </c>
    </row>
    <row r="258" spans="12:12">
      <c r="L258" s="186" t="s">
        <v>44</v>
      </c>
    </row>
  </sheetData>
  <mergeCells count="6">
    <mergeCell ref="C94:AH94"/>
    <mergeCell ref="G5:T5"/>
    <mergeCell ref="V5:AH5"/>
    <mergeCell ref="G53:T53"/>
    <mergeCell ref="V53:AH53"/>
    <mergeCell ref="C93:AH93"/>
  </mergeCells>
  <conditionalFormatting sqref="K8:K11 K13:K15 K17">
    <cfRule type="cellIs" dxfId="114" priority="97" operator="equal">
      <formula>0</formula>
    </cfRule>
  </conditionalFormatting>
  <conditionalFormatting sqref="K24 K26:K28 K30:K35 K37:K39">
    <cfRule type="cellIs" dxfId="113" priority="98" operator="equal">
      <formula>0</formula>
    </cfRule>
  </conditionalFormatting>
  <conditionalFormatting sqref="K25">
    <cfRule type="cellIs" dxfId="112" priority="96" operator="equal">
      <formula>0</formula>
    </cfRule>
  </conditionalFormatting>
  <conditionalFormatting sqref="L24 L26:L28 L30:L35 L37:L39">
    <cfRule type="cellIs" dxfId="111" priority="95" operator="equal">
      <formula>0</formula>
    </cfRule>
  </conditionalFormatting>
  <conditionalFormatting sqref="L8:L11 L13:L15 L17">
    <cfRule type="cellIs" dxfId="110" priority="94" operator="equal">
      <formula>0</formula>
    </cfRule>
  </conditionalFormatting>
  <conditionalFormatting sqref="L25">
    <cfRule type="cellIs" dxfId="109" priority="93" operator="equal">
      <formula>0</formula>
    </cfRule>
  </conditionalFormatting>
  <conditionalFormatting sqref="N25">
    <cfRule type="cellIs" dxfId="108" priority="87" operator="equal">
      <formula>0</formula>
    </cfRule>
  </conditionalFormatting>
  <conditionalFormatting sqref="G55:T55">
    <cfRule type="cellIs" dxfId="107" priority="86" operator="equal">
      <formula>0</formula>
    </cfRule>
  </conditionalFormatting>
  <conditionalFormatting sqref="G12:R12 T12">
    <cfRule type="cellIs" dxfId="106" priority="84" operator="equal">
      <formula>0</formula>
    </cfRule>
  </conditionalFormatting>
  <conditionalFormatting sqref="O8">
    <cfRule type="cellIs" dxfId="105" priority="85" operator="equal">
      <formula>0</formula>
    </cfRule>
  </conditionalFormatting>
  <conditionalFormatting sqref="G16:R16 T16">
    <cfRule type="cellIs" dxfId="104" priority="83" operator="equal">
      <formula>0</formula>
    </cfRule>
  </conditionalFormatting>
  <conditionalFormatting sqref="L47:L48">
    <cfRule type="cellIs" dxfId="103" priority="74" operator="equal">
      <formula>0</formula>
    </cfRule>
  </conditionalFormatting>
  <conditionalFormatting sqref="N47:N48">
    <cfRule type="cellIs" dxfId="102" priority="72" operator="equal">
      <formula>0</formula>
    </cfRule>
  </conditionalFormatting>
  <conditionalFormatting sqref="G19:N23 O19:R22 T19:T22">
    <cfRule type="cellIs" dxfId="101" priority="118" operator="equal">
      <formula>0</formula>
    </cfRule>
  </conditionalFormatting>
  <conditionalFormatting sqref="O23:Q23 G24:J24 G8:H11 G25:H25 G26:J28 G13:H15 G17:H17 G30:J35 G37:J39">
    <cfRule type="cellIs" dxfId="100" priority="117" operator="equal">
      <formula>0</formula>
    </cfRule>
  </conditionalFormatting>
  <conditionalFormatting sqref="R23">
    <cfRule type="cellIs" dxfId="99" priority="108" operator="equal">
      <formula>0</formula>
    </cfRule>
  </conditionalFormatting>
  <conditionalFormatting sqref="I8:J11 I13:J15 I17:J17">
    <cfRule type="cellIs" dxfId="98" priority="116" operator="equal">
      <formula>0</formula>
    </cfRule>
  </conditionalFormatting>
  <conditionalFormatting sqref="O26:Q28 O30:Q35 O37:Q39">
    <cfRule type="cellIs" dxfId="97" priority="115" operator="equal">
      <formula>0</formula>
    </cfRule>
  </conditionalFormatting>
  <conditionalFormatting sqref="O24:Q24">
    <cfRule type="cellIs" dxfId="96" priority="114" operator="equal">
      <formula>0</formula>
    </cfRule>
  </conditionalFormatting>
  <conditionalFormatting sqref="O9:Q11 P8:Q8 O13:Q15 O17:Q17">
    <cfRule type="cellIs" dxfId="95" priority="113" operator="equal">
      <formula>0</formula>
    </cfRule>
  </conditionalFormatting>
  <conditionalFormatting sqref="I25:J25">
    <cfRule type="cellIs" dxfId="94" priority="112" operator="equal">
      <formula>0</formula>
    </cfRule>
  </conditionalFormatting>
  <conditionalFormatting sqref="O25:Q25">
    <cfRule type="cellIs" dxfId="93" priority="111" operator="equal">
      <formula>0</formula>
    </cfRule>
  </conditionalFormatting>
  <conditionalFormatting sqref="T25">
    <cfRule type="cellIs" dxfId="92" priority="99" operator="equal">
      <formula>0</formula>
    </cfRule>
  </conditionalFormatting>
  <conditionalFormatting sqref="T26:T28 T30:T35 T37:T39">
    <cfRule type="cellIs" dxfId="91" priority="102" operator="equal">
      <formula>0</formula>
    </cfRule>
  </conditionalFormatting>
  <conditionalFormatting sqref="T24">
    <cfRule type="cellIs" dxfId="90" priority="101" operator="equal">
      <formula>0</formula>
    </cfRule>
  </conditionalFormatting>
  <conditionalFormatting sqref="T8:T11 T13:T15 T17">
    <cfRule type="cellIs" dxfId="89" priority="100" operator="equal">
      <formula>0</formula>
    </cfRule>
  </conditionalFormatting>
  <conditionalFormatting sqref="R26:R28 R30:R35 R37:R39">
    <cfRule type="cellIs" dxfId="88" priority="107" operator="equal">
      <formula>0</formula>
    </cfRule>
  </conditionalFormatting>
  <conditionalFormatting sqref="R24">
    <cfRule type="cellIs" dxfId="87" priority="106" operator="equal">
      <formula>0</formula>
    </cfRule>
  </conditionalFormatting>
  <conditionalFormatting sqref="R8:R11 R13:R15 R17">
    <cfRule type="cellIs" dxfId="86" priority="105" operator="equal">
      <formula>0</formula>
    </cfRule>
  </conditionalFormatting>
  <conditionalFormatting sqref="R25">
    <cfRule type="cellIs" dxfId="85" priority="104" operator="equal">
      <formula>0</formula>
    </cfRule>
  </conditionalFormatting>
  <conditionalFormatting sqref="T23">
    <cfRule type="cellIs" dxfId="84" priority="103" operator="equal">
      <formula>0</formula>
    </cfRule>
  </conditionalFormatting>
  <conditionalFormatting sqref="N8:N11 N13:N15 N17">
    <cfRule type="cellIs" dxfId="83" priority="88" operator="equal">
      <formula>0</formula>
    </cfRule>
  </conditionalFormatting>
  <conditionalFormatting sqref="M8:M11 M13:M15 M17">
    <cfRule type="cellIs" dxfId="82" priority="91" operator="equal">
      <formula>0</formula>
    </cfRule>
  </conditionalFormatting>
  <conditionalFormatting sqref="M24 M26:M28 M30:M35 M37:M39">
    <cfRule type="cellIs" dxfId="81" priority="92" operator="equal">
      <formula>0</formula>
    </cfRule>
  </conditionalFormatting>
  <conditionalFormatting sqref="M25">
    <cfRule type="cellIs" dxfId="80" priority="90" operator="equal">
      <formula>0</formula>
    </cfRule>
  </conditionalFormatting>
  <conditionalFormatting sqref="N24 N26:N28 N30:N35 N37:N39">
    <cfRule type="cellIs" dxfId="79" priority="89" operator="equal">
      <formula>0</formula>
    </cfRule>
  </conditionalFormatting>
  <conditionalFormatting sqref="G18:R18 T18">
    <cfRule type="cellIs" dxfId="78" priority="82" operator="equal">
      <formula>0</formula>
    </cfRule>
  </conditionalFormatting>
  <conditionalFormatting sqref="G29:R29 T29">
    <cfRule type="cellIs" dxfId="77" priority="81" operator="equal">
      <formula>0</formula>
    </cfRule>
  </conditionalFormatting>
  <conditionalFormatting sqref="G36:R36 T36">
    <cfRule type="cellIs" dxfId="76" priority="80" operator="equal">
      <formula>0</formula>
    </cfRule>
  </conditionalFormatting>
  <conditionalFormatting sqref="G47:J48">
    <cfRule type="cellIs" dxfId="75" priority="79" operator="equal">
      <formula>0</formula>
    </cfRule>
  </conditionalFormatting>
  <conditionalFormatting sqref="O47:Q48">
    <cfRule type="cellIs" dxfId="74" priority="78" operator="equal">
      <formula>0</formula>
    </cfRule>
  </conditionalFormatting>
  <conditionalFormatting sqref="T47:T48">
    <cfRule type="cellIs" dxfId="73" priority="76" operator="equal">
      <formula>0</formula>
    </cfRule>
  </conditionalFormatting>
  <conditionalFormatting sqref="R47:R48">
    <cfRule type="cellIs" dxfId="72" priority="77" operator="equal">
      <formula>0</formula>
    </cfRule>
  </conditionalFormatting>
  <conditionalFormatting sqref="M47:M48">
    <cfRule type="cellIs" dxfId="71" priority="73" operator="equal">
      <formula>0</formula>
    </cfRule>
  </conditionalFormatting>
  <conditionalFormatting sqref="K47:K48">
    <cfRule type="cellIs" dxfId="70" priority="75" operator="equal">
      <formula>0</formula>
    </cfRule>
  </conditionalFormatting>
  <conditionalFormatting sqref="S19:S22">
    <cfRule type="cellIs" dxfId="69" priority="71" operator="equal">
      <formula>0</formula>
    </cfRule>
  </conditionalFormatting>
  <conditionalFormatting sqref="S16">
    <cfRule type="cellIs" dxfId="68" priority="63" operator="equal">
      <formula>0</formula>
    </cfRule>
  </conditionalFormatting>
  <conditionalFormatting sqref="S18">
    <cfRule type="cellIs" dxfId="67" priority="62" operator="equal">
      <formula>0</formula>
    </cfRule>
  </conditionalFormatting>
  <conditionalFormatting sqref="S29">
    <cfRule type="cellIs" dxfId="66" priority="61" operator="equal">
      <formula>0</formula>
    </cfRule>
  </conditionalFormatting>
  <conditionalFormatting sqref="S12">
    <cfRule type="cellIs" dxfId="65" priority="64" operator="equal">
      <formula>0</formula>
    </cfRule>
  </conditionalFormatting>
  <conditionalFormatting sqref="S36">
    <cfRule type="cellIs" dxfId="64" priority="60" operator="equal">
      <formula>0</formula>
    </cfRule>
  </conditionalFormatting>
  <conditionalFormatting sqref="S23">
    <cfRule type="cellIs" dxfId="63" priority="70" operator="equal">
      <formula>0</formula>
    </cfRule>
  </conditionalFormatting>
  <conditionalFormatting sqref="S26:S28 S30:S35 S37:S39">
    <cfRule type="cellIs" dxfId="62" priority="69" operator="equal">
      <formula>0</formula>
    </cfRule>
  </conditionalFormatting>
  <conditionalFormatting sqref="S24">
    <cfRule type="cellIs" dxfId="61" priority="68" operator="equal">
      <formula>0</formula>
    </cfRule>
  </conditionalFormatting>
  <conditionalFormatting sqref="S8:S11 S13:S15 S17">
    <cfRule type="cellIs" dxfId="60" priority="67" operator="equal">
      <formula>0</formula>
    </cfRule>
  </conditionalFormatting>
  <conditionalFormatting sqref="S25">
    <cfRule type="cellIs" dxfId="59" priority="66" operator="equal">
      <formula>0</formula>
    </cfRule>
  </conditionalFormatting>
  <conditionalFormatting sqref="S47:S48">
    <cfRule type="cellIs" dxfId="58" priority="59" operator="equal">
      <formula>0</formula>
    </cfRule>
  </conditionalFormatting>
  <conditionalFormatting sqref="Z8:Z11 Z13:Z15 Z17">
    <cfRule type="cellIs" dxfId="57" priority="37" operator="equal">
      <formula>0</formula>
    </cfRule>
  </conditionalFormatting>
  <conditionalFormatting sqref="Z24 Z26:Z28 Z30:Z35 Z37:Z39">
    <cfRule type="cellIs" dxfId="56" priority="38" operator="equal">
      <formula>0</formula>
    </cfRule>
  </conditionalFormatting>
  <conditionalFormatting sqref="Z25">
    <cfRule type="cellIs" dxfId="55" priority="36" operator="equal">
      <formula>0</formula>
    </cfRule>
  </conditionalFormatting>
  <conditionalFormatting sqref="AA24 AA26:AA28 AA30:AA35 AA37:AA39">
    <cfRule type="cellIs" dxfId="54" priority="35" operator="equal">
      <formula>0</formula>
    </cfRule>
  </conditionalFormatting>
  <conditionalFormatting sqref="AA8:AA11 AA13:AA15 AA17">
    <cfRule type="cellIs" dxfId="53" priority="34" operator="equal">
      <formula>0</formula>
    </cfRule>
  </conditionalFormatting>
  <conditionalFormatting sqref="AA25">
    <cfRule type="cellIs" dxfId="52" priority="33" operator="equal">
      <formula>0</formula>
    </cfRule>
  </conditionalFormatting>
  <conditionalFormatting sqref="AC25">
    <cfRule type="cellIs" dxfId="51" priority="27" operator="equal">
      <formula>0</formula>
    </cfRule>
  </conditionalFormatting>
  <conditionalFormatting sqref="Z55:AG55">
    <cfRule type="cellIs" dxfId="50" priority="26" operator="equal">
      <formula>0</formula>
    </cfRule>
  </conditionalFormatting>
  <conditionalFormatting sqref="V12:AH12">
    <cfRule type="cellIs" dxfId="49" priority="24" operator="equal">
      <formula>0</formula>
    </cfRule>
  </conditionalFormatting>
  <conditionalFormatting sqref="AD8">
    <cfRule type="cellIs" dxfId="48" priority="25" operator="equal">
      <formula>0</formula>
    </cfRule>
  </conditionalFormatting>
  <conditionalFormatting sqref="V16:AH16">
    <cfRule type="cellIs" dxfId="47" priority="23" operator="equal">
      <formula>0</formula>
    </cfRule>
  </conditionalFormatting>
  <conditionalFormatting sqref="AA47:AA48">
    <cfRule type="cellIs" dxfId="46" priority="14" operator="equal">
      <formula>0</formula>
    </cfRule>
  </conditionalFormatting>
  <conditionalFormatting sqref="AC47:AC48">
    <cfRule type="cellIs" dxfId="45" priority="12" operator="equal">
      <formula>0</formula>
    </cfRule>
  </conditionalFormatting>
  <conditionalFormatting sqref="V19:AC23 AD19:AH22">
    <cfRule type="cellIs" dxfId="44" priority="58" operator="equal">
      <formula>0</formula>
    </cfRule>
  </conditionalFormatting>
  <conditionalFormatting sqref="AD23:AF23 V24:Y24 V8:W11 V25:W25 V26:Y28 V13:W15 V17:W17 V30:Y35 V37:Y39">
    <cfRule type="cellIs" dxfId="43" priority="57" operator="equal">
      <formula>0</formula>
    </cfRule>
  </conditionalFormatting>
  <conditionalFormatting sqref="AG23">
    <cfRule type="cellIs" dxfId="42" priority="48" operator="equal">
      <formula>0</formula>
    </cfRule>
  </conditionalFormatting>
  <conditionalFormatting sqref="X8:Y11 X13:Y15 X17:Y17">
    <cfRule type="cellIs" dxfId="41" priority="56" operator="equal">
      <formula>0</formula>
    </cfRule>
  </conditionalFormatting>
  <conditionalFormatting sqref="AD26:AF28 AD30:AF35 AD37:AF39">
    <cfRule type="cellIs" dxfId="40" priority="55" operator="equal">
      <formula>0</formula>
    </cfRule>
  </conditionalFormatting>
  <conditionalFormatting sqref="AD24:AF24">
    <cfRule type="cellIs" dxfId="39" priority="54" operator="equal">
      <formula>0</formula>
    </cfRule>
  </conditionalFormatting>
  <conditionalFormatting sqref="AD9:AF11 AE8:AF8 AD13:AF15 AD17:AF17">
    <cfRule type="cellIs" dxfId="38" priority="53" operator="equal">
      <formula>0</formula>
    </cfRule>
  </conditionalFormatting>
  <conditionalFormatting sqref="X25:Y25">
    <cfRule type="cellIs" dxfId="37" priority="52" operator="equal">
      <formula>0</formula>
    </cfRule>
  </conditionalFormatting>
  <conditionalFormatting sqref="AD25:AF25">
    <cfRule type="cellIs" dxfId="36" priority="51" operator="equal">
      <formula>0</formula>
    </cfRule>
  </conditionalFormatting>
  <conditionalFormatting sqref="V55:Y55">
    <cfRule type="cellIs" dxfId="35" priority="50" operator="equal">
      <formula>0</formula>
    </cfRule>
  </conditionalFormatting>
  <conditionalFormatting sqref="AH55">
    <cfRule type="cellIs" dxfId="34" priority="49" operator="equal">
      <formula>0</formula>
    </cfRule>
  </conditionalFormatting>
  <conditionalFormatting sqref="AH25">
    <cfRule type="cellIs" dxfId="33" priority="39" operator="equal">
      <formula>0</formula>
    </cfRule>
  </conditionalFormatting>
  <conditionalFormatting sqref="AH26:AH28 AH30:AH35 AH37:AH39">
    <cfRule type="cellIs" dxfId="32" priority="42" operator="equal">
      <formula>0</formula>
    </cfRule>
  </conditionalFormatting>
  <conditionalFormatting sqref="AH24">
    <cfRule type="cellIs" dxfId="31" priority="41" operator="equal">
      <formula>0</formula>
    </cfRule>
  </conditionalFormatting>
  <conditionalFormatting sqref="AH8:AH11 AH13:AH15 AH17">
    <cfRule type="cellIs" dxfId="30" priority="40" operator="equal">
      <formula>0</formula>
    </cfRule>
  </conditionalFormatting>
  <conditionalFormatting sqref="AG26:AG28 AG30:AG35 AG37:AG39">
    <cfRule type="cellIs" dxfId="29" priority="47" operator="equal">
      <formula>0</formula>
    </cfRule>
  </conditionalFormatting>
  <conditionalFormatting sqref="AG24">
    <cfRule type="cellIs" dxfId="28" priority="46" operator="equal">
      <formula>0</formula>
    </cfRule>
  </conditionalFormatting>
  <conditionalFormatting sqref="AG8:AG11 AG13:AG15 AG17">
    <cfRule type="cellIs" dxfId="27" priority="45" operator="equal">
      <formula>0</formula>
    </cfRule>
  </conditionalFormatting>
  <conditionalFormatting sqref="AG25">
    <cfRule type="cellIs" dxfId="26" priority="44" operator="equal">
      <formula>0</formula>
    </cfRule>
  </conditionalFormatting>
  <conditionalFormatting sqref="AH23">
    <cfRule type="cellIs" dxfId="25" priority="43" operator="equal">
      <formula>0</formula>
    </cfRule>
  </conditionalFormatting>
  <conditionalFormatting sqref="AC8:AC11 AC13:AC15 AC17">
    <cfRule type="cellIs" dxfId="24" priority="28" operator="equal">
      <formula>0</formula>
    </cfRule>
  </conditionalFormatting>
  <conditionalFormatting sqref="AB8:AB11 AB13:AB15 AB17">
    <cfRule type="cellIs" dxfId="23" priority="31" operator="equal">
      <formula>0</formula>
    </cfRule>
  </conditionalFormatting>
  <conditionalFormatting sqref="AB24 AB26:AB28 AB30:AB35 AB37:AB39">
    <cfRule type="cellIs" dxfId="22" priority="32" operator="equal">
      <formula>0</formula>
    </cfRule>
  </conditionalFormatting>
  <conditionalFormatting sqref="AB25">
    <cfRule type="cellIs" dxfId="21" priority="30" operator="equal">
      <formula>0</formula>
    </cfRule>
  </conditionalFormatting>
  <conditionalFormatting sqref="AC24 AC26:AC28 AC30:AC35 AC37:AC39">
    <cfRule type="cellIs" dxfId="20" priority="29" operator="equal">
      <formula>0</formula>
    </cfRule>
  </conditionalFormatting>
  <conditionalFormatting sqref="V18:AH18">
    <cfRule type="cellIs" dxfId="19" priority="22" operator="equal">
      <formula>0</formula>
    </cfRule>
  </conditionalFormatting>
  <conditionalFormatting sqref="V29:AH29">
    <cfRule type="cellIs" dxfId="18" priority="21" operator="equal">
      <formula>0</formula>
    </cfRule>
  </conditionalFormatting>
  <conditionalFormatting sqref="V36:AH36">
    <cfRule type="cellIs" dxfId="17" priority="20" operator="equal">
      <formula>0</formula>
    </cfRule>
  </conditionalFormatting>
  <conditionalFormatting sqref="V47:Y48">
    <cfRule type="cellIs" dxfId="16" priority="19" operator="equal">
      <formula>0</formula>
    </cfRule>
  </conditionalFormatting>
  <conditionalFormatting sqref="AD47:AF48">
    <cfRule type="cellIs" dxfId="15" priority="18" operator="equal">
      <formula>0</formula>
    </cfRule>
  </conditionalFormatting>
  <conditionalFormatting sqref="AH47:AH48">
    <cfRule type="cellIs" dxfId="14" priority="16" operator="equal">
      <formula>0</formula>
    </cfRule>
  </conditionalFormatting>
  <conditionalFormatting sqref="AG47:AG48">
    <cfRule type="cellIs" dxfId="13" priority="17" operator="equal">
      <formula>0</formula>
    </cfRule>
  </conditionalFormatting>
  <conditionalFormatting sqref="AB47:AB48">
    <cfRule type="cellIs" dxfId="12" priority="13" operator="equal">
      <formula>0</formula>
    </cfRule>
  </conditionalFormatting>
  <conditionalFormatting sqref="Z47:Z48">
    <cfRule type="cellIs" dxfId="11" priority="15" operator="equal">
      <formula>0</formula>
    </cfRule>
  </conditionalFormatting>
  <conditionalFormatting sqref="E24 E26:E28 E30:E35 E37:E39">
    <cfRule type="cellIs" dxfId="10" priority="10" operator="equal">
      <formula>0</formula>
    </cfRule>
  </conditionalFormatting>
  <conditionalFormatting sqref="E8:E11 E13:E15 E17">
    <cfRule type="cellIs" dxfId="9" priority="9" operator="equal">
      <formula>0</formula>
    </cfRule>
  </conditionalFormatting>
  <conditionalFormatting sqref="E25">
    <cfRule type="cellIs" dxfId="8" priority="8" operator="equal">
      <formula>0</formula>
    </cfRule>
  </conditionalFormatting>
  <conditionalFormatting sqref="E12">
    <cfRule type="cellIs" dxfId="7" priority="7" operator="equal">
      <formula>0</formula>
    </cfRule>
  </conditionalFormatting>
  <conditionalFormatting sqref="E16">
    <cfRule type="cellIs" dxfId="6" priority="6" operator="equal">
      <formula>0</formula>
    </cfRule>
  </conditionalFormatting>
  <conditionalFormatting sqref="E19:E23">
    <cfRule type="cellIs" dxfId="5" priority="11" operator="equal">
      <formula>0</formula>
    </cfRule>
  </conditionalFormatting>
  <conditionalFormatting sqref="E18">
    <cfRule type="cellIs" dxfId="4" priority="5" operator="equal">
      <formula>0</formula>
    </cfRule>
  </conditionalFormatting>
  <conditionalFormatting sqref="E29">
    <cfRule type="cellIs" dxfId="3" priority="4" operator="equal">
      <formula>0</formula>
    </cfRule>
  </conditionalFormatting>
  <conditionalFormatting sqref="E36">
    <cfRule type="cellIs" dxfId="2" priority="3"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disablePrompts="1" count="3">
    <dataValidation type="list" allowBlank="1" showInputMessage="1" showErrorMessage="1" sqref="L234:L258 E56:E92" xr:uid="{00000000-0002-0000-1700-000000000000}">
      <formula1>$L$234:$L$258</formula1>
    </dataValidation>
    <dataValidation type="list" allowBlank="1" showInputMessage="1" showErrorMessage="1" sqref="AQ107:AQ109" xr:uid="{00000000-0002-0000-1700-000001000000}">
      <formula1>$AQ$107:$AQ$111</formula1>
    </dataValidation>
    <dataValidation type="list" allowBlank="1" showInputMessage="1" showErrorMessage="1" sqref="E9:E15 E35:E39 E17:E21 E26:E33" xr:uid="{00000000-0002-0000-1700-000002000000}">
      <formula1>#REF!</formula1>
    </dataValidation>
  </dataValidations>
  <printOptions horizontalCentered="1"/>
  <pageMargins left="0.70866141732283472" right="0.70866141732283472" top="0.74803149606299213" bottom="0.74803149606299213" header="0.74803149606299213" footer="0.35433070866141736"/>
  <pageSetup paperSize="9" scale="50" fitToHeight="2" orientation="portrait" r:id="rId1"/>
  <headerFooter differentOddEven="1">
    <oddFooter>&amp;R&amp;G</oddFooter>
    <evenFooter>&amp;L&amp;G</evenFooter>
  </headerFooter>
  <rowBreaks count="1" manualBreakCount="1">
    <brk id="50" min="1" max="33" man="1"/>
  </rowBreaks>
  <ignoredErrors>
    <ignoredError sqref="L16:AH16 L18:AH18 L34:AH34 L36:AH36 G12:AH12 G16:J16 G18:J18 K16:K18 G29:AH29 G34:K36 T70 T61 AH71 T81:T83 T58 T88:T89 T80 AH81" formula="1"/>
    <ignoredError sqref="G105:AH106 S92" formulaRange="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B1:T228"/>
  <sheetViews>
    <sheetView showGridLines="0" zoomScaleNormal="100" zoomScaleSheetLayoutView="100" workbookViewId="0">
      <selection activeCell="B2" sqref="B2"/>
    </sheetView>
  </sheetViews>
  <sheetFormatPr defaultColWidth="9.140625" defaultRowHeight="11.25"/>
  <cols>
    <col min="1" max="1" width="2.42578125" style="189" customWidth="1"/>
    <col min="2" max="2" width="4.42578125" style="189" customWidth="1"/>
    <col min="3" max="3" width="43.5703125" style="189" customWidth="1"/>
    <col min="4" max="4" width="14.42578125" style="189" customWidth="1"/>
    <col min="5" max="7" width="13.85546875" style="189" customWidth="1"/>
    <col min="8" max="8" width="2" style="189" customWidth="1"/>
    <col min="9" max="9" width="15.5703125" style="189" customWidth="1"/>
    <col min="10" max="11" width="13.85546875" style="189" customWidth="1"/>
    <col min="12" max="16384" width="9.140625" style="189"/>
  </cols>
  <sheetData>
    <row r="1" spans="2:15" s="52" customFormat="1" ht="15" customHeight="1">
      <c r="B1" s="51"/>
      <c r="F1" s="188"/>
      <c r="G1" s="188"/>
      <c r="H1" s="188"/>
      <c r="I1" s="188"/>
      <c r="J1" s="188"/>
    </row>
    <row r="2" spans="2:15" ht="24" customHeight="1">
      <c r="B2" s="8"/>
      <c r="C2" s="53" t="str">
        <f>IF(Indice_index!$Z$1=1,"20 - Estimativas de execução consideradas na conta da Administração Central","20 - Estimated amounts in Central Government Account")</f>
        <v>20 - Estimated amounts in Central Government Account</v>
      </c>
      <c r="D2" s="53"/>
      <c r="E2" s="53"/>
      <c r="F2" s="53"/>
      <c r="G2" s="53"/>
      <c r="H2" s="53"/>
      <c r="I2" s="53"/>
      <c r="J2" s="54"/>
    </row>
    <row r="3" spans="2:15" s="191" customFormat="1" ht="15" customHeight="1">
      <c r="B3" s="188"/>
      <c r="C3" s="190"/>
      <c r="F3" s="188"/>
      <c r="G3" s="188"/>
      <c r="H3" s="188"/>
      <c r="I3" s="188"/>
      <c r="J3" s="188"/>
    </row>
    <row r="4" spans="2:15" s="191" customFormat="1" ht="15" customHeight="1">
      <c r="B4" s="188"/>
      <c r="C4" s="192"/>
      <c r="F4" s="188"/>
      <c r="G4" s="188"/>
      <c r="H4" s="188"/>
      <c r="I4" s="188"/>
      <c r="J4" s="188"/>
    </row>
    <row r="5" spans="2:15" s="191" customFormat="1" ht="15" customHeight="1">
      <c r="B5" s="188"/>
      <c r="C5" s="1241" t="str">
        <f>+'4 - Conta AC + SS'!C5</f>
        <v>Period: January to December</v>
      </c>
      <c r="D5" s="1255"/>
      <c r="F5" s="1255"/>
      <c r="G5" s="1255"/>
      <c r="H5" s="1255"/>
      <c r="I5" s="1240" t="str">
        <f>IF(Indice_index!$Z$1=1,"€ Milhões","€ Millions")</f>
        <v>€ Millions</v>
      </c>
    </row>
    <row r="6" spans="2:15" s="191" customFormat="1" ht="79.5" customHeight="1">
      <c r="B6" s="188"/>
      <c r="C6" s="1239"/>
      <c r="D6" s="1254" t="s">
        <v>108</v>
      </c>
      <c r="E6" s="1254" t="s">
        <v>109</v>
      </c>
      <c r="F6" s="1254" t="s">
        <v>85</v>
      </c>
      <c r="G6" s="1254" t="s">
        <v>115</v>
      </c>
      <c r="H6" s="1244"/>
      <c r="I6" s="1254" t="s">
        <v>110</v>
      </c>
    </row>
    <row r="7" spans="2:15" s="191" customFormat="1" ht="15" customHeight="1">
      <c r="B7" s="188"/>
      <c r="C7" s="1238" t="str">
        <f>IF(Indice_index!$Z$1=1,"Receita corrente","Current revenue")</f>
        <v>Current revenue</v>
      </c>
      <c r="D7" s="1253">
        <f>+D8+D9+D10+D12</f>
        <v>0</v>
      </c>
      <c r="E7" s="1253">
        <f>+E8+E9+E10+E12</f>
        <v>0.91898399999999991</v>
      </c>
      <c r="F7" s="1253">
        <f>+F8+F9+F10+F12</f>
        <v>0.4278519999999999</v>
      </c>
      <c r="G7" s="1253">
        <f>+G8+G9+G10+G12</f>
        <v>0.32047599999999954</v>
      </c>
      <c r="H7" s="1253"/>
      <c r="I7" s="1253">
        <f>+I8+I9+I10+I12</f>
        <v>0</v>
      </c>
      <c r="K7" s="193"/>
      <c r="L7" s="193"/>
    </row>
    <row r="8" spans="2:15" s="191" customFormat="1" ht="15" customHeight="1">
      <c r="B8" s="188"/>
      <c r="C8" s="743" t="str">
        <f>IF(Indice_index!$Z$1=1,"Receita fiscal","Tax")</f>
        <v>Tax</v>
      </c>
      <c r="D8" s="1252">
        <v>0</v>
      </c>
      <c r="E8" s="1252">
        <v>0</v>
      </c>
      <c r="F8" s="1252">
        <v>0</v>
      </c>
      <c r="G8" s="1252">
        <v>0</v>
      </c>
      <c r="H8" s="1252"/>
      <c r="I8" s="1252">
        <v>0</v>
      </c>
      <c r="K8" s="193"/>
      <c r="L8" s="193"/>
      <c r="O8" s="191" t="s">
        <v>45</v>
      </c>
    </row>
    <row r="9" spans="2:15" s="191" customFormat="1" ht="15" customHeight="1">
      <c r="B9" s="188"/>
      <c r="C9" s="713" t="str">
        <f>IF(Indice_index!$Z$1=1,"Contribuições para Segurança Social, CGA e ADSE","Social security, CGA and ADSE contributions")</f>
        <v>Social security, CGA and ADSE contributions</v>
      </c>
      <c r="D9" s="1252">
        <v>0</v>
      </c>
      <c r="E9" s="1252">
        <v>0</v>
      </c>
      <c r="F9" s="1252">
        <v>0</v>
      </c>
      <c r="G9" s="1252">
        <v>0</v>
      </c>
      <c r="H9" s="1252"/>
      <c r="I9" s="1252">
        <v>0</v>
      </c>
      <c r="K9" s="193"/>
      <c r="L9" s="193"/>
    </row>
    <row r="10" spans="2:15" s="191" customFormat="1" ht="15" customHeight="1">
      <c r="B10" s="188"/>
      <c r="C10" s="713" t="str">
        <f>IF(Indice_index!$Z$1=1,"Transferências correntes","Current transfers")</f>
        <v>Current transfers</v>
      </c>
      <c r="D10" s="1252">
        <v>0</v>
      </c>
      <c r="E10" s="1252">
        <v>0.88898399999999989</v>
      </c>
      <c r="F10" s="1252">
        <v>0.26260099999999997</v>
      </c>
      <c r="G10" s="1252">
        <v>0</v>
      </c>
      <c r="H10" s="1252"/>
      <c r="I10" s="1252">
        <v>0</v>
      </c>
      <c r="K10" s="193"/>
      <c r="L10" s="193"/>
    </row>
    <row r="11" spans="2:15" s="191" customFormat="1" ht="15" customHeight="1">
      <c r="B11" s="188"/>
      <c r="C11" s="715" t="str">
        <f>IF(Indice_index!$Z$1=1,"das quais: Administração Central","of which: Central Administration")</f>
        <v>of which: Central Administration</v>
      </c>
      <c r="D11" s="1252">
        <v>0</v>
      </c>
      <c r="E11" s="1252">
        <v>0.214559</v>
      </c>
      <c r="F11" s="1252">
        <v>0.23483999999999999</v>
      </c>
      <c r="G11" s="1252">
        <v>0</v>
      </c>
      <c r="H11" s="1252"/>
      <c r="I11" s="1252">
        <v>0</v>
      </c>
      <c r="K11" s="193"/>
      <c r="L11" s="193"/>
    </row>
    <row r="12" spans="2:15" s="191" customFormat="1" ht="15" customHeight="1">
      <c r="B12" s="188"/>
      <c r="C12" s="713" t="str">
        <f>IF(Indice_index!$Z$1=1,"Outras receitas correntes","Other current revenue")</f>
        <v>Other current revenue</v>
      </c>
      <c r="D12" s="1252">
        <v>0</v>
      </c>
      <c r="E12" s="1252">
        <v>0.03</v>
      </c>
      <c r="F12" s="1252">
        <v>0.16525099999999993</v>
      </c>
      <c r="G12" s="1252">
        <v>0.32047599999999954</v>
      </c>
      <c r="H12" s="1252"/>
      <c r="I12" s="1252">
        <v>0</v>
      </c>
      <c r="K12" s="193"/>
      <c r="L12" s="193"/>
    </row>
    <row r="13" spans="2:15" s="191" customFormat="1" ht="15" customHeight="1">
      <c r="B13" s="188"/>
      <c r="C13" s="715" t="str">
        <f>IF(Indice_index!$Z$1=1,"das quais: Administração Central","of which: Central Administration")</f>
        <v>of which: Central Administration</v>
      </c>
      <c r="D13" s="1252">
        <v>0</v>
      </c>
      <c r="E13" s="1252">
        <v>0</v>
      </c>
      <c r="F13" s="1252">
        <v>0</v>
      </c>
      <c r="G13" s="1252">
        <v>0</v>
      </c>
      <c r="H13" s="1252"/>
      <c r="I13" s="1252">
        <v>0</v>
      </c>
      <c r="K13" s="193"/>
      <c r="L13" s="193"/>
    </row>
    <row r="14" spans="2:15" s="191" customFormat="1" ht="15" customHeight="1">
      <c r="B14" s="188"/>
      <c r="C14" s="715" t="str">
        <f>IF(Indice_index!$Z$1=1,"das quais: das quais: Vendas de bens e serviços / Saúde","of which: Sales of goods and services / Health sector")</f>
        <v>of which: Sales of goods and services / Health sector</v>
      </c>
      <c r="D14" s="1252">
        <v>0</v>
      </c>
      <c r="E14" s="1252">
        <v>0</v>
      </c>
      <c r="F14" s="1252">
        <v>0</v>
      </c>
      <c r="G14" s="1252">
        <v>0</v>
      </c>
      <c r="H14" s="1252"/>
      <c r="I14" s="1252">
        <v>0</v>
      </c>
      <c r="K14" s="193"/>
      <c r="L14" s="193"/>
    </row>
    <row r="15" spans="2:15" s="191" customFormat="1" ht="15" customHeight="1">
      <c r="B15" s="188"/>
      <c r="C15" s="1238" t="str">
        <f>IF(Indice_index!$Z$1=1,"Receita de capital","Capital revenue")</f>
        <v>Capital revenue</v>
      </c>
      <c r="D15" s="1253">
        <f>+D16+D17+D19</f>
        <v>0</v>
      </c>
      <c r="E15" s="1253">
        <f>+E16+E17+E19</f>
        <v>0</v>
      </c>
      <c r="F15" s="1253">
        <f>+F16+F17+F19</f>
        <v>0</v>
      </c>
      <c r="G15" s="1253">
        <f>+G16+G17+G19</f>
        <v>0</v>
      </c>
      <c r="H15" s="1253"/>
      <c r="I15" s="1253">
        <f>+I16+I17+I19</f>
        <v>0</v>
      </c>
      <c r="K15" s="193"/>
      <c r="L15" s="193"/>
    </row>
    <row r="16" spans="2:15" s="191" customFormat="1" ht="15" customHeight="1">
      <c r="B16" s="188"/>
      <c r="C16" s="713" t="str">
        <f>IF(Indice_index!$Z$1=1,"Venda de bens de investimento","Sale of investment goods")</f>
        <v>Sale of investment goods</v>
      </c>
      <c r="D16" s="1252">
        <v>0</v>
      </c>
      <c r="E16" s="1252">
        <v>0</v>
      </c>
      <c r="F16" s="1252">
        <v>0</v>
      </c>
      <c r="G16" s="1252">
        <v>0</v>
      </c>
      <c r="H16" s="1252"/>
      <c r="I16" s="1252">
        <v>0</v>
      </c>
      <c r="K16" s="193"/>
      <c r="L16" s="193"/>
    </row>
    <row r="17" spans="2:12" s="191" customFormat="1" ht="15" customHeight="1">
      <c r="B17" s="188"/>
      <c r="C17" s="713" t="str">
        <f>IF(Indice_index!$Z$1=1,"Transferências de capital","Capital transfers")</f>
        <v>Capital transfers</v>
      </c>
      <c r="D17" s="1252">
        <v>0</v>
      </c>
      <c r="E17" s="1252">
        <v>0</v>
      </c>
      <c r="F17" s="1252">
        <v>0</v>
      </c>
      <c r="G17" s="1252">
        <v>0</v>
      </c>
      <c r="H17" s="1252"/>
      <c r="I17" s="1252">
        <v>0</v>
      </c>
      <c r="K17" s="193"/>
      <c r="L17" s="193"/>
    </row>
    <row r="18" spans="2:12" s="191" customFormat="1" ht="15" customHeight="1">
      <c r="B18" s="188"/>
      <c r="C18" s="715" t="str">
        <f>IF(Indice_index!$Z$1=1,"das quais: Administração Central","of which: Central Administration")</f>
        <v>of which: Central Administration</v>
      </c>
      <c r="D18" s="1252">
        <v>0</v>
      </c>
      <c r="E18" s="1252">
        <v>0</v>
      </c>
      <c r="F18" s="1252">
        <v>0</v>
      </c>
      <c r="G18" s="1252">
        <v>0</v>
      </c>
      <c r="H18" s="1252"/>
      <c r="I18" s="1252">
        <v>0</v>
      </c>
      <c r="K18" s="193"/>
      <c r="L18" s="193"/>
    </row>
    <row r="19" spans="2:12" s="191" customFormat="1" ht="15" customHeight="1">
      <c r="B19" s="188"/>
      <c r="C19" s="713" t="str">
        <f>IF(Indice_index!$Z$1=1,"Outras receitas de capital","Other capital revenue")</f>
        <v>Other capital revenue</v>
      </c>
      <c r="D19" s="1252">
        <v>0</v>
      </c>
      <c r="E19" s="1252">
        <v>0</v>
      </c>
      <c r="F19" s="1252">
        <v>0</v>
      </c>
      <c r="G19" s="1252">
        <v>0</v>
      </c>
      <c r="H19" s="1252"/>
      <c r="I19" s="1252">
        <v>0</v>
      </c>
      <c r="K19" s="193"/>
      <c r="L19" s="193"/>
    </row>
    <row r="20" spans="2:12" s="191" customFormat="1" ht="15" customHeight="1">
      <c r="B20" s="188"/>
      <c r="C20" s="1238" t="str">
        <f>IF(Indice_index!$Z$1=1,"Receita efetiva","Effective revenue")</f>
        <v>Effective revenue</v>
      </c>
      <c r="D20" s="1253">
        <f>+D7+D15</f>
        <v>0</v>
      </c>
      <c r="E20" s="1253">
        <f>+E7+E15</f>
        <v>0.91898399999999991</v>
      </c>
      <c r="F20" s="1253">
        <f>+F7+F15</f>
        <v>0.4278519999999999</v>
      </c>
      <c r="G20" s="1253">
        <f>+G7+G15</f>
        <v>0.32047599999999954</v>
      </c>
      <c r="H20" s="1253"/>
      <c r="I20" s="1253">
        <f>+I7+I15</f>
        <v>0</v>
      </c>
      <c r="K20" s="193"/>
      <c r="L20" s="193"/>
    </row>
    <row r="21" spans="2:12" s="191" customFormat="1" ht="4.5" customHeight="1">
      <c r="B21" s="188"/>
      <c r="C21" s="1238"/>
      <c r="D21" s="1253"/>
      <c r="E21" s="1253"/>
      <c r="F21" s="1253"/>
      <c r="G21" s="1253"/>
      <c r="H21" s="1253"/>
      <c r="I21" s="1253"/>
      <c r="K21" s="193"/>
      <c r="L21" s="193"/>
    </row>
    <row r="22" spans="2:12" s="191" customFormat="1" ht="15" customHeight="1">
      <c r="B22" s="188"/>
      <c r="C22" s="1238" t="str">
        <f>IF(Indice_index!$Z$1=1,"Despesa corrente","Current expenditure")</f>
        <v>Current expenditure</v>
      </c>
      <c r="D22" s="1253">
        <f>+D23+D24+D26+D28+D30+D32</f>
        <v>3.7723999999999994E-2</v>
      </c>
      <c r="E22" s="1253">
        <f>+E23+E24+E26+E28+E30+E32</f>
        <v>1.6229579999999999</v>
      </c>
      <c r="F22" s="1253">
        <f>+F23+F24+F26+F28+F30+F32</f>
        <v>0.35012802000000254</v>
      </c>
      <c r="G22" s="1253">
        <f>+G23+G24+G26+G28+G30+G32</f>
        <v>2.6932999999999999E-2</v>
      </c>
      <c r="H22" s="1253"/>
      <c r="I22" s="1253">
        <f>+I23+I24+I26+I28+I30+I32</f>
        <v>60.061356709999998</v>
      </c>
      <c r="K22" s="193"/>
      <c r="L22" s="193"/>
    </row>
    <row r="23" spans="2:12" s="191" customFormat="1" ht="15" customHeight="1">
      <c r="B23" s="188"/>
      <c r="C23" s="713" t="str">
        <f>IF(Indice_index!$Z$1=1,"Despesas com o pessoal","Employees")</f>
        <v>Employees</v>
      </c>
      <c r="D23" s="1252">
        <v>3.7722999999999993E-2</v>
      </c>
      <c r="E23" s="1252">
        <v>0.23543800000000001</v>
      </c>
      <c r="F23" s="1252">
        <v>0.21324299000000252</v>
      </c>
      <c r="G23" s="1252">
        <v>0</v>
      </c>
      <c r="H23" s="1252"/>
      <c r="I23" s="1252">
        <v>32.739761129999998</v>
      </c>
      <c r="K23" s="193"/>
      <c r="L23" s="193"/>
    </row>
    <row r="24" spans="2:12" s="191" customFormat="1" ht="15" customHeight="1">
      <c r="B24" s="188"/>
      <c r="C24" s="713" t="str">
        <f>IF(Indice_index!$Z$1=1,"Aquisição de bens e serviços","Purchase of goods and services")</f>
        <v>Purchase of goods and services</v>
      </c>
      <c r="D24" s="1252">
        <v>9.9999999999999995E-7</v>
      </c>
      <c r="E24" s="1252">
        <v>0.35004200000000002</v>
      </c>
      <c r="F24" s="1252">
        <v>0.11860503000000001</v>
      </c>
      <c r="G24" s="1252">
        <v>0</v>
      </c>
      <c r="H24" s="1252"/>
      <c r="I24" s="1252">
        <v>25.31120194</v>
      </c>
      <c r="K24" s="193"/>
      <c r="L24" s="193"/>
    </row>
    <row r="25" spans="2:12" s="191" customFormat="1" ht="15" customHeight="1">
      <c r="B25" s="188"/>
      <c r="C25" s="715" t="str">
        <f>IF(Indice_index!$Z$1=1,"das quais: das quais: Aquisição de bens e serviços / Saúde","of which: Purchase of goods and services / Health sector")</f>
        <v>of which: Purchase of goods and services / Health sector</v>
      </c>
      <c r="D25" s="1251">
        <v>0</v>
      </c>
      <c r="E25" s="1251">
        <v>0</v>
      </c>
      <c r="F25" s="1251">
        <v>0</v>
      </c>
      <c r="G25" s="1251">
        <v>0</v>
      </c>
      <c r="H25" s="1251"/>
      <c r="I25" s="1251">
        <v>0</v>
      </c>
      <c r="K25" s="193"/>
      <c r="L25" s="193"/>
    </row>
    <row r="26" spans="2:12" s="191" customFormat="1" ht="15" customHeight="1">
      <c r="B26" s="188"/>
      <c r="C26" s="713" t="str">
        <f>IF(Indice_index!$Z$1=1,"Juros e outros encargos","Interests and other charges")</f>
        <v>Interests and other charges</v>
      </c>
      <c r="D26" s="1252">
        <v>0</v>
      </c>
      <c r="E26" s="1252">
        <v>3.3799999999999998E-4</v>
      </c>
      <c r="F26" s="1252">
        <v>1.6000000000000023E-4</v>
      </c>
      <c r="G26" s="1252">
        <v>2.085E-3</v>
      </c>
      <c r="H26" s="1252"/>
      <c r="I26" s="1252">
        <v>4.4470039999999995E-2</v>
      </c>
      <c r="K26" s="193"/>
      <c r="L26" s="193"/>
    </row>
    <row r="27" spans="2:12" s="191" customFormat="1" ht="15" customHeight="1">
      <c r="B27" s="188"/>
      <c r="C27" s="715" t="str">
        <f>IF(Indice_index!$Z$1=1,"dos quais: Administração Central","of which: Central Administration")</f>
        <v>of which: Central Administration</v>
      </c>
      <c r="D27" s="1252">
        <v>0</v>
      </c>
      <c r="E27" s="1252">
        <v>0</v>
      </c>
      <c r="F27" s="1252">
        <v>0</v>
      </c>
      <c r="G27" s="1252">
        <v>0</v>
      </c>
      <c r="H27" s="1252"/>
      <c r="I27" s="1252">
        <v>0</v>
      </c>
      <c r="K27" s="193"/>
      <c r="L27" s="193"/>
    </row>
    <row r="28" spans="2:12" s="191" customFormat="1" ht="15" customHeight="1">
      <c r="B28" s="188"/>
      <c r="C28" s="713" t="str">
        <f>IF(Indice_index!$Z$1=1,"Transferências correntes","Current transfers")</f>
        <v>Current transfers</v>
      </c>
      <c r="D28" s="1252">
        <v>0</v>
      </c>
      <c r="E28" s="1252">
        <v>1.03714</v>
      </c>
      <c r="F28" s="1252">
        <v>0</v>
      </c>
      <c r="G28" s="1252">
        <v>0</v>
      </c>
      <c r="H28" s="1252"/>
      <c r="I28" s="1252">
        <v>0.10292365999999996</v>
      </c>
      <c r="K28" s="193"/>
      <c r="L28" s="193"/>
    </row>
    <row r="29" spans="2:12" s="191" customFormat="1" ht="15" customHeight="1">
      <c r="B29" s="188"/>
      <c r="C29" s="715" t="str">
        <f>IF(Indice_index!$Z$1=1,"das quais: Administração Central","of which: Central Administration")</f>
        <v>of which: Central Administration</v>
      </c>
      <c r="D29" s="1251">
        <v>0</v>
      </c>
      <c r="E29" s="1251">
        <v>0</v>
      </c>
      <c r="F29" s="1251">
        <v>0</v>
      </c>
      <c r="G29" s="1251">
        <v>0</v>
      </c>
      <c r="H29" s="1251"/>
      <c r="I29" s="1251">
        <v>0</v>
      </c>
      <c r="K29" s="193"/>
      <c r="L29" s="193"/>
    </row>
    <row r="30" spans="2:12" s="191" customFormat="1" ht="15" customHeight="1">
      <c r="B30" s="188"/>
      <c r="C30" s="713" t="str">
        <f>IF(Indice_index!$Z$1=1,"Subsídios","Subsidies")</f>
        <v>Subsidies</v>
      </c>
      <c r="D30" s="1252">
        <v>0</v>
      </c>
      <c r="E30" s="1252">
        <v>0</v>
      </c>
      <c r="F30" s="1252">
        <v>8.4999999999999995E-4</v>
      </c>
      <c r="G30" s="1252">
        <v>0</v>
      </c>
      <c r="H30" s="1252"/>
      <c r="I30" s="1252">
        <v>7.4999999999999997E-3</v>
      </c>
      <c r="K30" s="193"/>
      <c r="L30" s="193"/>
    </row>
    <row r="31" spans="2:12" s="191" customFormat="1" ht="15" customHeight="1">
      <c r="B31" s="188"/>
      <c r="C31" s="715" t="str">
        <f>IF(Indice_index!$Z$1=1,"dos quais: Administração Central","of which: Central Administration")</f>
        <v>of which: Central Administration</v>
      </c>
      <c r="D31" s="1251">
        <v>0</v>
      </c>
      <c r="E31" s="1251">
        <v>0</v>
      </c>
      <c r="F31" s="1251">
        <v>0</v>
      </c>
      <c r="G31" s="1251">
        <v>0</v>
      </c>
      <c r="H31" s="1251"/>
      <c r="I31" s="1251">
        <v>0</v>
      </c>
      <c r="K31" s="193"/>
      <c r="L31" s="193"/>
    </row>
    <row r="32" spans="2:12" s="191" customFormat="1" ht="15" customHeight="1">
      <c r="B32" s="188"/>
      <c r="C32" s="713" t="str">
        <f>IF(Indice_index!$Z$1=1,"Outras despesas correntes","Other current expenditure")</f>
        <v>Other current expenditure</v>
      </c>
      <c r="D32" s="1252">
        <v>0</v>
      </c>
      <c r="E32" s="1252">
        <v>0</v>
      </c>
      <c r="F32" s="1252">
        <v>1.7270000000000001E-2</v>
      </c>
      <c r="G32" s="1252">
        <v>2.4847999999999999E-2</v>
      </c>
      <c r="H32" s="1252"/>
      <c r="I32" s="1252">
        <v>1.8554999399999998</v>
      </c>
      <c r="K32" s="193"/>
      <c r="L32" s="193"/>
    </row>
    <row r="33" spans="2:20" s="191" customFormat="1" ht="15" customHeight="1">
      <c r="B33" s="188"/>
      <c r="C33" s="1238" t="str">
        <f>IF(Indice_index!$Z$1=1,"Despesa de capital","Capital expenditure")</f>
        <v>Capital expenditure</v>
      </c>
      <c r="D33" s="1250">
        <f>+D34+D35+D37</f>
        <v>0</v>
      </c>
      <c r="E33" s="1250">
        <f>+E34+E35+E37</f>
        <v>1.0921999999999999E-2</v>
      </c>
      <c r="F33" s="1250">
        <f>+F34+F35+F37</f>
        <v>1.776001000000001E-2</v>
      </c>
      <c r="G33" s="1250">
        <f>+G34+G35+G37</f>
        <v>0</v>
      </c>
      <c r="H33" s="1250"/>
      <c r="I33" s="1250">
        <f>+I34+I35+I37</f>
        <v>24.757597839999995</v>
      </c>
      <c r="K33" s="193"/>
      <c r="L33" s="193"/>
    </row>
    <row r="34" spans="2:20" s="191" customFormat="1" ht="15" customHeight="1">
      <c r="B34" s="188"/>
      <c r="C34" s="713" t="str">
        <f>IF(Indice_index!$Z$1=1,"Investimento","Investment")</f>
        <v>Investment</v>
      </c>
      <c r="D34" s="1252">
        <v>0</v>
      </c>
      <c r="E34" s="1252">
        <v>1.0921999999999999E-2</v>
      </c>
      <c r="F34" s="1252">
        <v>1.776001000000001E-2</v>
      </c>
      <c r="G34" s="1252">
        <v>0</v>
      </c>
      <c r="H34" s="1252"/>
      <c r="I34" s="1252">
        <v>24.757597839999995</v>
      </c>
      <c r="K34" s="193"/>
      <c r="L34" s="193"/>
    </row>
    <row r="35" spans="2:20" s="191" customFormat="1" ht="15" customHeight="1">
      <c r="B35" s="188"/>
      <c r="C35" s="713" t="str">
        <f>IF(Indice_index!$Z$1=1,"Transferências de capital","Capital transfers")</f>
        <v>Capital transfers</v>
      </c>
      <c r="D35" s="1252">
        <v>0</v>
      </c>
      <c r="E35" s="1252">
        <v>0</v>
      </c>
      <c r="F35" s="1252">
        <v>0</v>
      </c>
      <c r="G35" s="1252">
        <v>0</v>
      </c>
      <c r="H35" s="1252"/>
      <c r="I35" s="1252">
        <v>0</v>
      </c>
      <c r="K35" s="193"/>
      <c r="L35" s="193"/>
    </row>
    <row r="36" spans="2:20" s="191" customFormat="1" ht="15" customHeight="1">
      <c r="B36" s="188"/>
      <c r="C36" s="715" t="str">
        <f>IF(Indice_index!$Z$1=1,"das quais: Administração Central","of which: Central Administration")</f>
        <v>of which: Central Administration</v>
      </c>
      <c r="D36" s="1251">
        <v>0</v>
      </c>
      <c r="E36" s="1251">
        <v>0</v>
      </c>
      <c r="F36" s="1251">
        <v>0</v>
      </c>
      <c r="G36" s="1251">
        <v>0</v>
      </c>
      <c r="H36" s="1251"/>
      <c r="I36" s="1251">
        <v>0</v>
      </c>
      <c r="K36" s="193"/>
      <c r="L36" s="193"/>
    </row>
    <row r="37" spans="2:20" s="191" customFormat="1" ht="15" customHeight="1">
      <c r="B37" s="188"/>
      <c r="C37" s="713" t="str">
        <f>IF(Indice_index!$Z$1=1,"Outras despesas de capital","Other capital expenditure")</f>
        <v>Other capital expenditure</v>
      </c>
      <c r="D37" s="1252">
        <v>0</v>
      </c>
      <c r="E37" s="1252">
        <v>0</v>
      </c>
      <c r="F37" s="1252">
        <v>0</v>
      </c>
      <c r="G37" s="1252">
        <v>0</v>
      </c>
      <c r="H37" s="1252"/>
      <c r="I37" s="1252">
        <v>0</v>
      </c>
      <c r="K37" s="193"/>
      <c r="L37" s="193"/>
    </row>
    <row r="38" spans="2:20" s="191" customFormat="1" ht="15" customHeight="1">
      <c r="B38" s="188"/>
      <c r="C38" s="1238" t="str">
        <f>IF(Indice_index!$Z$1=1,"Despesa efetiva","Effective expenditure")</f>
        <v>Effective expenditure</v>
      </c>
      <c r="D38" s="1250">
        <f>+D22+D33</f>
        <v>3.7723999999999994E-2</v>
      </c>
      <c r="E38" s="1250">
        <f>+E22+E33</f>
        <v>1.63388</v>
      </c>
      <c r="F38" s="1250">
        <f>+F22+F33</f>
        <v>0.36788803000000253</v>
      </c>
      <c r="G38" s="1250">
        <f>+G22+G33</f>
        <v>2.6932999999999999E-2</v>
      </c>
      <c r="H38" s="1250"/>
      <c r="I38" s="1250">
        <f>+I22+I33</f>
        <v>84.818954550000001</v>
      </c>
      <c r="K38" s="193"/>
      <c r="L38" s="193"/>
    </row>
    <row r="39" spans="2:20" s="191" customFormat="1" ht="4.5" customHeight="1">
      <c r="B39" s="188"/>
      <c r="C39" s="1237"/>
      <c r="D39" s="1250"/>
      <c r="E39" s="1250"/>
      <c r="F39" s="1250"/>
      <c r="G39" s="1250"/>
      <c r="H39" s="1250"/>
      <c r="I39" s="1250"/>
      <c r="K39" s="193"/>
      <c r="L39" s="193"/>
    </row>
    <row r="40" spans="2:20" s="191" customFormat="1" ht="15" customHeight="1">
      <c r="B40" s="188"/>
      <c r="C40" s="1236" t="str">
        <f>IF(Indice_index!$Z$1=1,"Saldo global","Overall balance")</f>
        <v>Overall balance</v>
      </c>
      <c r="D40" s="1249">
        <f>+D20-D38</f>
        <v>-3.7723999999999994E-2</v>
      </c>
      <c r="E40" s="1249">
        <f>+E20-E38</f>
        <v>-0.71489600000000009</v>
      </c>
      <c r="F40" s="1249">
        <f>+F20-F38</f>
        <v>5.9963969999997369E-2</v>
      </c>
      <c r="G40" s="1249">
        <f>+G20-G38</f>
        <v>0.29354299999999955</v>
      </c>
      <c r="H40" s="1243"/>
      <c r="I40" s="1249">
        <f>+I20-I38</f>
        <v>-84.818954550000001</v>
      </c>
      <c r="K40" s="193"/>
      <c r="L40" s="193"/>
    </row>
    <row r="41" spans="2:20" s="99" customFormat="1" ht="4.5" customHeight="1">
      <c r="D41" s="1248"/>
      <c r="E41" s="1248"/>
      <c r="F41" s="1248"/>
      <c r="G41" s="1248"/>
      <c r="H41" s="1248"/>
      <c r="I41" s="1248"/>
      <c r="R41" s="52"/>
      <c r="S41" s="52"/>
      <c r="T41" s="52"/>
    </row>
    <row r="42" spans="2:20" s="191" customFormat="1">
      <c r="C42" s="1236" t="str">
        <f>IF(Indice_index!$Z$1=1,"Períodos com ausência de reporte","Months without report")</f>
        <v>Months without report</v>
      </c>
      <c r="D42" s="1247" t="str">
        <f>IF(Indice_index!$Z$1=1,"dezembro","December")</f>
        <v>December</v>
      </c>
      <c r="E42" s="1247" t="str">
        <f>IF(Indice_index!$Z$1=1,"dezembro","December")</f>
        <v>December</v>
      </c>
      <c r="F42" s="1247" t="str">
        <f>IF(Indice_index!$Z$1=1,"dezembro","December")</f>
        <v>December</v>
      </c>
      <c r="G42" s="1247" t="str">
        <f>IF(Indice_index!$Z$1=1,"dezembro","December")</f>
        <v>December</v>
      </c>
      <c r="H42" s="1242"/>
      <c r="I42" s="1247" t="str">
        <f>IF(Indice_index!$Z$1=1,"dezembro","December")</f>
        <v>December</v>
      </c>
    </row>
    <row r="43" spans="2:20" s="191" customFormat="1" ht="3" customHeight="1">
      <c r="C43" s="1241"/>
    </row>
    <row r="44" spans="2:20" s="191" customFormat="1" ht="4.5" customHeight="1">
      <c r="C44" s="1241"/>
    </row>
    <row r="45" spans="2:20" s="55" customFormat="1" ht="15" customHeight="1">
      <c r="C45" s="732" t="str">
        <f>IF(Indice_index!$Z$1=1,"Notas:","Notes:")</f>
        <v>Notes:</v>
      </c>
      <c r="D45" s="60"/>
      <c r="E45" s="1246"/>
      <c r="F45" s="1246"/>
      <c r="G45" s="1246"/>
      <c r="H45" s="1246"/>
      <c r="I45" s="1235"/>
      <c r="J45" s="254"/>
      <c r="K45" s="254"/>
      <c r="Q45" s="52"/>
      <c r="R45" s="52"/>
      <c r="S45" s="52"/>
    </row>
    <row r="46" spans="2:20" s="191" customFormat="1" ht="34.5" customHeight="1">
      <c r="C46" s="1673" t="str">
        <f>IF(Indice_index!$Z$1=1,C96,C97)</f>
        <v>From July's edition onward, estimated amounts correspond to the 2021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673"/>
      <c r="E46" s="1673"/>
      <c r="F46" s="1673"/>
      <c r="G46" s="1673"/>
      <c r="H46" s="1673"/>
      <c r="I46" s="1673"/>
      <c r="J46" s="565"/>
      <c r="K46" s="565"/>
    </row>
    <row r="47" spans="2:20" s="191" customFormat="1" ht="15" customHeight="1">
      <c r="C47" s="1673" t="str">
        <f>+'9 - EPR'!C86:J86</f>
        <v>This estimate is used only in months in which there is a lack of report. In other months, the information considered is that effectively reported by the entities.</v>
      </c>
      <c r="D47" s="1673"/>
      <c r="E47" s="1673"/>
      <c r="F47" s="1673"/>
      <c r="G47" s="1673"/>
      <c r="H47" s="1673"/>
      <c r="I47" s="1673"/>
      <c r="J47" s="492"/>
      <c r="K47" s="390"/>
    </row>
    <row r="48" spans="2:20" s="191" customFormat="1" ht="21.75" customHeight="1">
      <c r="C48" s="1673" t="str">
        <f>IF(Indice_index!$Z$1=1,C55,C56)</f>
        <v>a) Additional 2021 budget implementation data sent by the entities, or the respective coordinating entity, to complete missing information that, due to technical reasons, was not fully transposed from the local to the central budget information systems"</v>
      </c>
      <c r="D48" s="1673"/>
      <c r="E48" s="1673"/>
      <c r="F48" s="1673"/>
      <c r="G48" s="1673"/>
      <c r="H48" s="1673"/>
      <c r="I48" s="1673"/>
      <c r="J48" s="633"/>
      <c r="K48" s="633"/>
      <c r="L48" s="633"/>
    </row>
    <row r="49" spans="3:11" s="191" customFormat="1" ht="4.5" customHeight="1">
      <c r="C49" s="1673"/>
      <c r="D49" s="1673"/>
      <c r="E49" s="1673"/>
      <c r="F49" s="1673"/>
      <c r="G49" s="1245"/>
      <c r="H49" s="1245"/>
      <c r="I49" s="1113"/>
      <c r="J49" s="492"/>
      <c r="K49" s="450"/>
    </row>
    <row r="50" spans="3:11" s="191" customFormat="1" ht="15" customHeight="1">
      <c r="C50" s="1114" t="str">
        <f>IF(Indice_index!$Z$1=1,"Fonte: Direção-Geral do Orçamento","Source: Budget General Directorate")</f>
        <v>Source: Budget General Directorate</v>
      </c>
      <c r="D50" s="1114"/>
      <c r="E50" s="1114"/>
      <c r="F50" s="1114"/>
      <c r="G50" s="1114"/>
      <c r="H50" s="1114"/>
      <c r="I50" s="1114"/>
      <c r="J50" s="493"/>
    </row>
    <row r="51" spans="3:11" s="191" customFormat="1"/>
    <row r="52" spans="3:11" s="191" customFormat="1"/>
    <row r="53" spans="3:11" s="191" customFormat="1"/>
    <row r="54" spans="3:11" s="545" customFormat="1"/>
    <row r="55" spans="3:11" s="449" customFormat="1">
      <c r="C55" s="506" t="s">
        <v>111</v>
      </c>
    </row>
    <row r="56" spans="3:11" s="449" customFormat="1">
      <c r="C56" s="506" t="s">
        <v>103</v>
      </c>
    </row>
    <row r="57" spans="3:11" s="545" customFormat="1">
      <c r="C57" s="506" t="s">
        <v>103</v>
      </c>
    </row>
    <row r="58" spans="3:11" s="191" customFormat="1">
      <c r="C58" s="449"/>
    </row>
    <row r="59" spans="3:11" s="191" customFormat="1"/>
    <row r="60" spans="3:11" s="191" customFormat="1"/>
    <row r="61" spans="3:11" s="191" customFormat="1"/>
    <row r="62" spans="3:11" s="191" customFormat="1"/>
    <row r="63" spans="3:11" s="191" customFormat="1"/>
    <row r="64" spans="3:11" s="191" customFormat="1"/>
    <row r="65" s="191" customFormat="1"/>
    <row r="66" s="191" customFormat="1"/>
    <row r="67" s="191" customFormat="1"/>
    <row r="68" s="191" customFormat="1"/>
    <row r="69" s="191" customFormat="1"/>
    <row r="70" s="191" customFormat="1"/>
    <row r="71" s="191" customFormat="1"/>
    <row r="72" s="191" customFormat="1"/>
    <row r="73" s="191" customFormat="1" ht="12" customHeight="1"/>
    <row r="74" s="191" customFormat="1"/>
    <row r="75" s="191" customFormat="1"/>
    <row r="76" s="191" customFormat="1"/>
    <row r="77" s="191" customFormat="1"/>
    <row r="78" s="191" customFormat="1"/>
    <row r="79" s="191" customFormat="1"/>
    <row r="80" s="191" customFormat="1"/>
    <row r="81" spans="3:3" s="191" customFormat="1"/>
    <row r="82" spans="3:3" s="191" customFormat="1"/>
    <row r="83" spans="3:3" s="191" customFormat="1"/>
    <row r="84" spans="3:3" s="191" customFormat="1"/>
    <row r="85" spans="3:3" s="191" customFormat="1"/>
    <row r="86" spans="3:3" s="191" customFormat="1"/>
    <row r="87" spans="3:3" s="191" customFormat="1"/>
    <row r="88" spans="3:3" s="191" customFormat="1"/>
    <row r="89" spans="3:3" s="191" customFormat="1"/>
    <row r="90" spans="3:3" s="191" customFormat="1"/>
    <row r="91" spans="3:3" s="191" customFormat="1"/>
    <row r="92" spans="3:3" s="191" customFormat="1"/>
    <row r="93" spans="3:3" s="191" customFormat="1"/>
    <row r="94" spans="3:3" s="191" customFormat="1"/>
    <row r="95" spans="3:3" s="191" customFormat="1"/>
    <row r="96" spans="3:3" s="191" customFormat="1">
      <c r="C96" s="449" t="s">
        <v>99</v>
      </c>
    </row>
    <row r="97" spans="3:3" s="191" customFormat="1">
      <c r="C97" s="449" t="s">
        <v>100</v>
      </c>
    </row>
    <row r="98" spans="3:3" s="191" customFormat="1"/>
    <row r="99" spans="3:3" s="191" customFormat="1"/>
    <row r="100" spans="3:3" s="191" customFormat="1"/>
    <row r="101" spans="3:3" s="191" customFormat="1"/>
    <row r="102" spans="3:3" s="191" customFormat="1"/>
    <row r="103" spans="3:3" s="191" customFormat="1"/>
    <row r="104" spans="3:3" s="191" customFormat="1"/>
    <row r="105" spans="3:3" s="191" customFormat="1"/>
    <row r="106" spans="3:3" s="191" customFormat="1"/>
    <row r="107" spans="3:3" s="191" customFormat="1"/>
    <row r="108" spans="3:3" s="191" customFormat="1"/>
    <row r="109" spans="3:3" s="191" customFormat="1"/>
    <row r="110" spans="3:3" s="191" customFormat="1"/>
    <row r="111" spans="3:3" s="191" customFormat="1"/>
    <row r="112" spans="3:3" s="191" customFormat="1"/>
    <row r="113" s="191" customFormat="1"/>
    <row r="114" s="191" customFormat="1"/>
    <row r="115" s="191" customFormat="1"/>
    <row r="116" s="191" customFormat="1"/>
    <row r="117" s="191" customFormat="1"/>
    <row r="118" s="191" customFormat="1"/>
    <row r="119" s="191" customFormat="1"/>
    <row r="120" s="191" customFormat="1"/>
    <row r="121" s="191" customFormat="1"/>
    <row r="122" s="191" customFormat="1"/>
    <row r="123" s="191" customFormat="1"/>
    <row r="124" s="191" customFormat="1"/>
    <row r="125" s="191" customFormat="1"/>
    <row r="126" s="191" customFormat="1"/>
    <row r="127" s="191" customFormat="1"/>
    <row r="128" s="191" customFormat="1"/>
    <row r="129" s="191" customFormat="1"/>
    <row r="130" s="191" customFormat="1"/>
    <row r="131" s="191" customFormat="1"/>
    <row r="132" s="191" customFormat="1"/>
    <row r="133" s="191" customFormat="1"/>
    <row r="134" s="191" customFormat="1"/>
    <row r="135" s="191" customFormat="1"/>
    <row r="136" s="191" customFormat="1"/>
    <row r="137" s="191" customFormat="1"/>
    <row r="138" s="191" customFormat="1"/>
    <row r="139" s="191" customFormat="1"/>
    <row r="140" s="191" customFormat="1"/>
    <row r="141" s="191" customFormat="1"/>
    <row r="142" s="191" customFormat="1"/>
    <row r="143" s="191" customFormat="1"/>
    <row r="144" s="191" customFormat="1"/>
    <row r="145" s="191" customFormat="1"/>
    <row r="146" s="191" customFormat="1"/>
    <row r="147" s="191" customFormat="1"/>
    <row r="148" s="191" customFormat="1"/>
    <row r="149" s="191" customFormat="1"/>
    <row r="150" s="191" customFormat="1"/>
    <row r="151" s="191" customFormat="1"/>
    <row r="152" s="191" customFormat="1"/>
    <row r="153" s="191" customFormat="1"/>
    <row r="154" s="191" customFormat="1"/>
    <row r="155" s="191" customFormat="1"/>
    <row r="156" s="191" customFormat="1"/>
    <row r="157" s="191" customFormat="1"/>
    <row r="158" s="191" customFormat="1"/>
    <row r="159" s="191" customFormat="1"/>
    <row r="160" s="191" customFormat="1"/>
    <row r="161" s="191" customFormat="1"/>
    <row r="162" s="191" customFormat="1"/>
    <row r="163" s="191" customFormat="1"/>
    <row r="164" s="191" customFormat="1"/>
    <row r="165" s="191" customFormat="1"/>
    <row r="166" s="191" customFormat="1"/>
    <row r="167" s="191" customFormat="1"/>
    <row r="168" s="191" customFormat="1"/>
    <row r="169" s="191" customFormat="1"/>
    <row r="170" s="191" customFormat="1"/>
    <row r="171" s="191" customFormat="1"/>
    <row r="172" s="191" customFormat="1"/>
    <row r="173" s="191" customFormat="1"/>
    <row r="174" s="191" customFormat="1"/>
    <row r="175" s="191" customFormat="1"/>
    <row r="176" s="191" customFormat="1"/>
    <row r="177" s="191" customFormat="1"/>
    <row r="178" s="191" customFormat="1"/>
    <row r="179" s="191" customFormat="1"/>
    <row r="180" s="191" customFormat="1"/>
    <row r="181" s="191" customFormat="1"/>
    <row r="182" s="191" customFormat="1"/>
    <row r="183" s="191" customFormat="1"/>
    <row r="184" s="191" customFormat="1"/>
    <row r="185" s="191" customFormat="1"/>
    <row r="186" s="191" customFormat="1"/>
    <row r="187" s="191" customFormat="1"/>
    <row r="188" s="191" customFormat="1"/>
    <row r="189" s="191" customFormat="1"/>
    <row r="190" s="191" customFormat="1"/>
    <row r="191" s="191" customFormat="1"/>
    <row r="192" s="191" customFormat="1"/>
    <row r="193" s="191" customFormat="1"/>
    <row r="194" s="191" customFormat="1"/>
    <row r="195" s="191" customFormat="1"/>
    <row r="196" s="191" customFormat="1"/>
    <row r="197" s="191" customFormat="1"/>
    <row r="198" s="191" customFormat="1"/>
    <row r="199" s="191" customFormat="1"/>
    <row r="200" s="191" customFormat="1"/>
    <row r="201" s="191" customFormat="1"/>
    <row r="202" s="191" customFormat="1"/>
    <row r="203" s="191" customFormat="1"/>
    <row r="204" s="191" customFormat="1"/>
    <row r="205" s="191" customFormat="1"/>
    <row r="206" s="191" customFormat="1"/>
    <row r="207" s="191" customFormat="1"/>
    <row r="208" s="191" customFormat="1"/>
    <row r="209" s="191" customFormat="1"/>
    <row r="210" s="191" customFormat="1"/>
    <row r="211" s="191" customFormat="1"/>
    <row r="212" s="191" customFormat="1"/>
    <row r="213" s="191" customFormat="1"/>
    <row r="214" s="191" customFormat="1"/>
    <row r="215" s="191" customFormat="1"/>
    <row r="216" s="191" customFormat="1"/>
    <row r="217" s="191" customFormat="1"/>
    <row r="218" s="191" customFormat="1"/>
    <row r="219" s="191" customFormat="1"/>
    <row r="220" s="191" customFormat="1"/>
    <row r="221" s="191" customFormat="1"/>
    <row r="222" s="191" customFormat="1"/>
    <row r="223" s="191" customFormat="1"/>
    <row r="224" s="191" customFormat="1"/>
    <row r="225" s="191" customFormat="1"/>
    <row r="226" s="191" customFormat="1"/>
    <row r="227" s="191" customFormat="1"/>
    <row r="228" s="191" customFormat="1"/>
  </sheetData>
  <mergeCells count="4">
    <mergeCell ref="C49:F49"/>
    <mergeCell ref="C46:I46"/>
    <mergeCell ref="C47:I47"/>
    <mergeCell ref="C48:I48"/>
  </mergeCells>
  <printOptions horizontalCentered="1"/>
  <pageMargins left="0.70866141732283472" right="0.70866141732283472" top="0.74803149606299213" bottom="0.74803149606299213" header="0.74803149606299213" footer="0.35433070866141736"/>
  <pageSetup paperSize="9" scale="51" orientation="portrait" r:id="rId1"/>
  <headerFooter differentOddEven="1">
    <oddFooter>&amp;R&amp;G</oddFooter>
    <evenFooter>&amp;L&amp;G</evenFooter>
  </headerFooter>
  <ignoredErrors>
    <ignoredError sqref="C12" formula="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pageSetUpPr fitToPage="1"/>
  </sheetPr>
  <dimension ref="B1:M232"/>
  <sheetViews>
    <sheetView showGridLines="0" zoomScaleNormal="100" zoomScaleSheetLayoutView="100" workbookViewId="0">
      <selection activeCell="B2" sqref="B2"/>
    </sheetView>
  </sheetViews>
  <sheetFormatPr defaultColWidth="9.140625" defaultRowHeight="15"/>
  <cols>
    <col min="1" max="1" width="2.42578125" style="189" customWidth="1"/>
    <col min="2" max="2" width="3.5703125" style="189" customWidth="1"/>
    <col min="3" max="3" width="9.85546875" style="189" customWidth="1"/>
    <col min="4" max="4" width="33.140625" style="189" customWidth="1"/>
    <col min="5" max="5" width="80" style="189" customWidth="1"/>
    <col min="6" max="6" width="12.5703125" style="189" customWidth="1"/>
    <col min="7" max="7" width="13.42578125" style="474" customWidth="1"/>
    <col min="8" max="8" width="11.5703125" style="189" customWidth="1"/>
    <col min="9" max="9" width="13.42578125" bestFit="1" customWidth="1"/>
    <col min="12" max="16384" width="9.140625" style="189"/>
  </cols>
  <sheetData>
    <row r="1" spans="2:13" s="52" customFormat="1" ht="15" customHeight="1">
      <c r="B1" s="51"/>
      <c r="G1" s="473"/>
      <c r="I1"/>
      <c r="J1"/>
      <c r="K1"/>
      <c r="L1"/>
    </row>
    <row r="2" spans="2:13" ht="24" customHeight="1">
      <c r="B2" s="8"/>
      <c r="C2" s="53" t="str">
        <f>IF(Indice_index!$Z$1=1,"21 - Utilização condicionada das dotações orçamentais do OE 2021","21 - Frozen allocations from the 2021 State Budget")</f>
        <v>21 - Frozen allocations from the 2021 State Budget</v>
      </c>
      <c r="D2" s="53"/>
      <c r="E2" s="53"/>
      <c r="F2" s="53"/>
      <c r="L2"/>
    </row>
    <row r="3" spans="2:13" s="191" customFormat="1" ht="30" customHeight="1">
      <c r="B3" s="188"/>
      <c r="C3" s="190"/>
      <c r="D3" s="190"/>
      <c r="G3" s="475"/>
      <c r="I3"/>
      <c r="J3"/>
      <c r="K3"/>
      <c r="L3"/>
    </row>
    <row r="4" spans="2:13" s="191" customFormat="1" ht="15" customHeight="1">
      <c r="B4" s="188"/>
      <c r="C4" s="649" t="str">
        <f>IF(Indice_index!$Z$1=1,"Período: novembro","Period: November")</f>
        <v>Period: November</v>
      </c>
      <c r="D4" s="642"/>
      <c r="E4" s="643"/>
      <c r="F4" s="644"/>
      <c r="G4" s="644" t="str">
        <f>IF(Indice_index!$Z$1=1,"€ Milhões","€ Millions")</f>
        <v>€ Millions</v>
      </c>
      <c r="I4"/>
      <c r="J4"/>
      <c r="K4"/>
      <c r="L4"/>
    </row>
    <row r="5" spans="2:13" s="191" customFormat="1">
      <c r="C5" s="1681" t="str">
        <f>IF(Indice_index!$Z$1=1,"Ministério","Ministry")</f>
        <v>Ministry</v>
      </c>
      <c r="D5" s="1681" t="str">
        <f>IF(Indice_index!$Z$1=1,"Programa Orçamental","Budgetary program")</f>
        <v>Budgetary program</v>
      </c>
      <c r="E5" s="1681" t="str">
        <f>IF(Indice_index!$Z$1=1,"Medida","Measure")</f>
        <v>Measure</v>
      </c>
      <c r="F5" s="1687">
        <v>2021</v>
      </c>
      <c r="G5" s="1687"/>
      <c r="I5"/>
      <c r="J5"/>
      <c r="K5"/>
      <c r="L5"/>
    </row>
    <row r="6" spans="2:13" s="191" customFormat="1" ht="30" customHeight="1">
      <c r="C6" s="1682"/>
      <c r="D6" s="1682"/>
      <c r="E6" s="1682"/>
      <c r="F6" s="645" t="str">
        <f>IF(Indice_index!$Z$1=1,"Cativos iniciais","Initial frozen allocations")</f>
        <v>Initial frozen allocations</v>
      </c>
      <c r="G6" s="646" t="str">
        <f>IF(Indice_index!$Z$1=1,"Cativos atuais","Current frozen allocations")</f>
        <v>Current frozen allocations</v>
      </c>
      <c r="I6"/>
      <c r="J6"/>
      <c r="K6"/>
      <c r="L6"/>
    </row>
    <row r="7" spans="2:13" s="191" customFormat="1">
      <c r="C7" s="1683"/>
      <c r="D7" s="1683"/>
      <c r="E7" s="1683"/>
      <c r="F7" s="647" t="s">
        <v>79</v>
      </c>
      <c r="G7" s="648" t="s">
        <v>78</v>
      </c>
      <c r="I7"/>
      <c r="J7"/>
      <c r="K7"/>
      <c r="L7"/>
    </row>
    <row r="8" spans="2:13" s="191" customFormat="1" ht="15" customHeight="1">
      <c r="C8" s="650" t="str">
        <f>IF(Indice_index!$Z$1=1,"EGE","GCS")</f>
        <v>GCS</v>
      </c>
      <c r="D8" s="650" t="str">
        <f>IF(Indice_index!$Z$1=1,"P001 - Órgãos de Soberania","P001 - Sovereignty Entities")</f>
        <v>P001 - Sovereignty Entities</v>
      </c>
      <c r="E8" s="651" t="str">
        <f>IF(Indice_index!$Z$1=1,"001 - Serv. Gerais da A.P. - Administração geral","001 - General public services - General Administration")</f>
        <v>001 - General public services - General Administration</v>
      </c>
      <c r="F8" s="652">
        <v>9.4291450000000001</v>
      </c>
      <c r="G8" s="652">
        <v>2.3446259999999999</v>
      </c>
      <c r="H8" s="631"/>
      <c r="I8"/>
      <c r="J8"/>
      <c r="K8"/>
      <c r="L8" s="466"/>
      <c r="M8" s="466"/>
    </row>
    <row r="9" spans="2:13" s="191" customFormat="1" ht="15" customHeight="1">
      <c r="C9" s="650"/>
      <c r="D9" s="650"/>
      <c r="E9" s="651" t="str">
        <f>IF(Indice_index!$Z$1=1,"012 - Segurança e ordem públicas - Sistema judiciário","012 - Public safety and order - Judicial system")</f>
        <v>012 - Public safety and order - Judicial system</v>
      </c>
      <c r="F9" s="653">
        <v>1.926823</v>
      </c>
      <c r="G9" s="653">
        <v>0.98166600000000004</v>
      </c>
      <c r="H9" s="631"/>
      <c r="I9"/>
      <c r="J9"/>
      <c r="K9"/>
      <c r="L9" s="466"/>
      <c r="M9" s="466"/>
    </row>
    <row r="10" spans="2:13" s="191" customFormat="1" ht="15" customHeight="1">
      <c r="C10" s="650"/>
      <c r="D10" s="654"/>
      <c r="E10" s="651" t="str">
        <f>IF(Indice_index!$Z$1=1,"038 - Serviços culturais, recreativos e religiosos - Comunicação social","038 - Cultural, recreational and religious services - Media")</f>
        <v>038 - Cultural, recreational and religious services - Media</v>
      </c>
      <c r="F10" s="653">
        <v>0.306201</v>
      </c>
      <c r="G10" s="653">
        <v>0</v>
      </c>
      <c r="H10" s="631"/>
      <c r="I10"/>
      <c r="J10"/>
      <c r="K10"/>
      <c r="L10" s="466"/>
      <c r="M10" s="466"/>
    </row>
    <row r="11" spans="2:13" s="191" customFormat="1" ht="15" customHeight="1">
      <c r="C11" s="650"/>
      <c r="D11" s="650"/>
      <c r="E11" s="651" t="str">
        <f>IF(Indice_index!$Z$1=1,"095 - Contingência Covid 2019 - Prevenção, contenção, mitigação e tratamento","095 - Covid 2019 Contingency - Prevention, Containment, Mitigation and Treatment")</f>
        <v>095 - Covid 2019 Contingency - Prevention, Containment, Mitigation and Treatment</v>
      </c>
      <c r="F11" s="653">
        <v>1.4388E-2</v>
      </c>
      <c r="G11" s="653">
        <v>1.523E-3</v>
      </c>
      <c r="H11" s="631"/>
      <c r="I11"/>
      <c r="J11"/>
      <c r="K11"/>
      <c r="L11" s="466"/>
      <c r="M11" s="466"/>
    </row>
    <row r="12" spans="2:13" s="191" customFormat="1" ht="15" customHeight="1">
      <c r="C12" s="650"/>
      <c r="D12" s="654"/>
      <c r="E12" s="651" t="str">
        <f>IF(Indice_index!$Z$1=1,"096 - Contingência Covid 2019 - Garantir Normalidade","096 - Covid Contingency 2019 - Ensure Normality")</f>
        <v>096 - Covid Contingency 2019 - Ensure Normality</v>
      </c>
      <c r="F12" s="653">
        <v>7.4999999999999993E-5</v>
      </c>
      <c r="G12" s="653">
        <v>0</v>
      </c>
      <c r="H12" s="631"/>
      <c r="I12"/>
      <c r="J12"/>
      <c r="K12"/>
      <c r="L12" s="466"/>
      <c r="M12" s="466"/>
    </row>
    <row r="13" spans="2:13" s="191" customFormat="1" ht="15" customHeight="1">
      <c r="C13" s="654"/>
      <c r="D13" s="655"/>
      <c r="E13" s="656" t="str">
        <f>D8</f>
        <v>P001 - Sovereignty Entities</v>
      </c>
      <c r="F13" s="657">
        <f>SUM(F8:F12)</f>
        <v>11.676632000000001</v>
      </c>
      <c r="G13" s="657">
        <f>SUM(G8:G12)</f>
        <v>3.3278150000000002</v>
      </c>
      <c r="H13" s="631"/>
      <c r="I13"/>
      <c r="J13"/>
      <c r="K13"/>
      <c r="L13" s="466"/>
      <c r="M13" s="466"/>
    </row>
    <row r="14" spans="2:13" s="191" customFormat="1" ht="15" customHeight="1">
      <c r="C14" s="650" t="str">
        <f>IF(Indice_index!$Z$1=1,"PCM","PRP")</f>
        <v>PRP</v>
      </c>
      <c r="D14" s="650" t="str">
        <f>IF(Indice_index!$Z$1=1,"P002 - Governação","P002 - Government")</f>
        <v>P002 - Government</v>
      </c>
      <c r="E14" s="651" t="str">
        <f>IF(Indice_index!$Z$1=1,"001 - Serv. Gerais da A.P. - Administração geral","001 - General public services - General Administration")</f>
        <v>001 - General public services - General Administration</v>
      </c>
      <c r="F14" s="652">
        <v>11.572729000000001</v>
      </c>
      <c r="G14" s="652">
        <v>2.9751530000000002</v>
      </c>
      <c r="H14" s="631"/>
      <c r="I14"/>
      <c r="J14"/>
      <c r="K14"/>
      <c r="L14" s="466"/>
      <c r="M14" s="466"/>
    </row>
    <row r="15" spans="2:13" s="191" customFormat="1" ht="15" customHeight="1">
      <c r="C15" s="650"/>
      <c r="D15" s="650"/>
      <c r="E15" s="651" t="str">
        <f>IF(Indice_index!$Z$1=1,"011 - Segurança e ordem públicas - Forças de segurança","011 - Public safety and order - Security forces")</f>
        <v>011 - Public safety and order - Security forces</v>
      </c>
      <c r="F15" s="653">
        <v>1.0662199999999999</v>
      </c>
      <c r="G15" s="653">
        <v>0.51622000000000001</v>
      </c>
      <c r="H15" s="631"/>
      <c r="I15"/>
      <c r="J15"/>
      <c r="K15"/>
      <c r="L15" s="466"/>
      <c r="M15" s="466"/>
    </row>
    <row r="16" spans="2:13" s="191" customFormat="1" ht="15" customHeight="1">
      <c r="C16" s="650"/>
      <c r="D16" s="650"/>
      <c r="E16" s="651" t="str">
        <f>IF(Indice_index!$Z$1=1,"014 - Segurança e ordem públicas - Protecção civil e luta contra incêndios","014 - Public safety and order - Civil Protection and  fire fighting")</f>
        <v>014 - Public safety and order - Civil Protection and  fire fighting</v>
      </c>
      <c r="F16" s="653">
        <v>1.5889470000000001</v>
      </c>
      <c r="G16" s="653">
        <v>1.61659</v>
      </c>
      <c r="H16" s="631"/>
      <c r="I16"/>
      <c r="J16"/>
      <c r="K16"/>
      <c r="L16" s="466"/>
      <c r="M16" s="466"/>
    </row>
    <row r="17" spans="3:13" s="191" customFormat="1" ht="15" customHeight="1">
      <c r="C17" s="650"/>
      <c r="D17" s="650"/>
      <c r="E17" s="651" t="str">
        <f>IF(Indice_index!$Z$1=1,"024 - Segurança e acção social - Administração e regulamentação","024 - Social Security and Action - Administration and regulations")</f>
        <v>024 - Social Security and Action - Administration and regulations</v>
      </c>
      <c r="F17" s="653">
        <v>4.5888999999999999E-2</v>
      </c>
      <c r="G17" s="653">
        <v>4.5888999999999999E-2</v>
      </c>
      <c r="H17" s="631"/>
      <c r="I17"/>
      <c r="J17"/>
      <c r="K17"/>
      <c r="L17" s="466"/>
      <c r="M17" s="466"/>
    </row>
    <row r="18" spans="3:13" s="191" customFormat="1" ht="15" customHeight="1">
      <c r="C18" s="650"/>
      <c r="D18" s="650"/>
      <c r="E18" s="651"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8" s="653">
        <v>5.1249999999999997E-2</v>
      </c>
      <c r="G18" s="653">
        <v>0</v>
      </c>
      <c r="H18" s="631"/>
      <c r="I18"/>
      <c r="J18"/>
      <c r="K18"/>
      <c r="L18" s="466"/>
      <c r="M18" s="466"/>
    </row>
    <row r="19" spans="3:13" s="191" customFormat="1" ht="15" customHeight="1">
      <c r="C19" s="650"/>
      <c r="D19" s="650"/>
      <c r="E19" s="651" t="str">
        <f>IF(Indice_index!$Z$1=1,"095 - Contingência Covid 2019 - Prevenção, contenção, mitigação e tratamento","095 - Covid 2019 Contingency - Prevention, Containment, Mitigation and Treatment")</f>
        <v>095 - Covid 2019 Contingency - Prevention, Containment, Mitigation and Treatment</v>
      </c>
      <c r="F19" s="653">
        <v>6.417E-3</v>
      </c>
      <c r="G19" s="653">
        <v>6.417E-3</v>
      </c>
      <c r="H19" s="631"/>
      <c r="I19"/>
      <c r="J19"/>
      <c r="K19"/>
      <c r="L19" s="466"/>
      <c r="M19" s="466"/>
    </row>
    <row r="20" spans="3:13" s="191" customFormat="1" ht="15" customHeight="1">
      <c r="C20" s="650"/>
      <c r="D20" s="650"/>
      <c r="E20" s="651" t="str">
        <f>IF(Indice_index!$Z$1=1,"096 - Contingência Covid 2019 - Garantir Normalidade","096 - Covid Contingency 2019 - Ensure Normality")</f>
        <v>096 - Covid Contingency 2019 - Ensure Normality</v>
      </c>
      <c r="F20" s="653">
        <v>7.2791999999999996E-2</v>
      </c>
      <c r="G20" s="653">
        <v>6.0546999999999997E-2</v>
      </c>
      <c r="H20" s="631"/>
      <c r="I20"/>
      <c r="J20"/>
      <c r="K20"/>
      <c r="L20" s="466"/>
      <c r="M20" s="466"/>
    </row>
    <row r="21" spans="3:13" s="191" customFormat="1" ht="15" customHeight="1">
      <c r="C21" s="654"/>
      <c r="D21" s="655"/>
      <c r="E21" s="658" t="str">
        <f>C14</f>
        <v>PRP</v>
      </c>
      <c r="F21" s="657">
        <f>SUM(F14:F20)</f>
        <v>14.404244000000002</v>
      </c>
      <c r="G21" s="657">
        <f>SUM(G14:G20)</f>
        <v>5.2208159999999992</v>
      </c>
      <c r="H21" s="631"/>
      <c r="I21"/>
      <c r="J21"/>
      <c r="K21"/>
      <c r="L21" s="466"/>
      <c r="M21" s="466"/>
    </row>
    <row r="22" spans="3:13" s="191" customFormat="1" ht="15" customHeight="1">
      <c r="C22" s="654" t="str">
        <f>IF(Indice_index!$Z$1=1,"MEAP","SPAM")</f>
        <v>SPAM</v>
      </c>
      <c r="D22" s="650" t="str">
        <f>IF(Indice_index!$Z$1=1,"P002 - Governação","P002 - Government")</f>
        <v>P002 - Government</v>
      </c>
      <c r="E22" s="651" t="str">
        <f>IF(Indice_index!$Z$1=1,"001 - Serv. Gerais da A.P. - Administração geral","001 - General public services - General Administration")</f>
        <v>001 - General public services - General Administration</v>
      </c>
      <c r="F22" s="652">
        <v>5.1042180000000004</v>
      </c>
      <c r="G22" s="652">
        <v>3.6468729999999998</v>
      </c>
      <c r="H22" s="631"/>
      <c r="I22"/>
      <c r="J22"/>
      <c r="K22"/>
      <c r="L22" s="466"/>
      <c r="M22" s="466"/>
    </row>
    <row r="23" spans="3:13" s="191" customFormat="1" ht="15" customHeight="1">
      <c r="C23" s="654"/>
      <c r="D23" s="650"/>
      <c r="E23" s="651" t="str">
        <f>IF(Indice_index!$Z$1=1,"027 - Segurança e acção social - Acção social","027 - Social Security and Action - Social Action")</f>
        <v>027 - Social Security and Action - Social Action</v>
      </c>
      <c r="F23" s="653">
        <v>1.3423860000000001</v>
      </c>
      <c r="G23" s="653">
        <v>1.34843</v>
      </c>
      <c r="H23" s="631"/>
      <c r="I23"/>
      <c r="J23"/>
      <c r="K23"/>
      <c r="L23" s="466"/>
      <c r="M23" s="466"/>
    </row>
    <row r="24" spans="3:13" s="191" customFormat="1" ht="15" customHeight="1">
      <c r="C24" s="654"/>
      <c r="D24" s="650"/>
      <c r="E24" s="659" t="str">
        <f>IF(Indice_index!$Z$1=1,"028 - Habitação e serv. Colectivos - Administração e regulamentação","028 - Housing and Common services - Administration and regulations")</f>
        <v>028 - Housing and Common services - Administration and regulations</v>
      </c>
      <c r="F24" s="653">
        <v>0.51890899999999995</v>
      </c>
      <c r="G24" s="653">
        <v>0.49313299999999999</v>
      </c>
      <c r="H24" s="631"/>
      <c r="I24"/>
      <c r="J24"/>
      <c r="K24"/>
      <c r="L24" s="466"/>
      <c r="M24" s="466"/>
    </row>
    <row r="25" spans="3:13" s="191" customFormat="1" ht="15" customHeight="1">
      <c r="C25" s="654"/>
      <c r="D25" s="650"/>
      <c r="E25" s="659" t="str">
        <f>IF(Indice_index!$Z$1=1,"031 - Habitação e serv. Colectivos - Ordenamento do território","031 - Housing and Common services - Land-use")</f>
        <v>031 - Housing and Common services - Land-use</v>
      </c>
      <c r="F25" s="653">
        <v>0.24</v>
      </c>
      <c r="G25" s="653">
        <v>0.24</v>
      </c>
      <c r="H25" s="631"/>
      <c r="I25"/>
      <c r="J25"/>
      <c r="K25"/>
      <c r="L25" s="466"/>
      <c r="M25" s="466"/>
    </row>
    <row r="26" spans="3:13" s="191" customFormat="1" ht="15" customHeight="1">
      <c r="C26" s="654"/>
      <c r="D26" s="650"/>
      <c r="E26" s="659" t="str">
        <f>IF(Indice_index!$Z$1=1,"095 - Contingência Covid 2019 - Prevenção, contenção, mitigação e tratamento","095 - Covid 2019 Contingency - Prevention, Containment, Mitigation and Treatment")</f>
        <v>095 - Covid 2019 Contingency - Prevention, Containment, Mitigation and Treatment</v>
      </c>
      <c r="F26" s="653">
        <v>7.1365999999999999E-2</v>
      </c>
      <c r="G26" s="653">
        <v>1.261E-3</v>
      </c>
      <c r="H26" s="631"/>
      <c r="I26"/>
      <c r="J26"/>
      <c r="K26"/>
      <c r="L26" s="466"/>
      <c r="M26" s="466"/>
    </row>
    <row r="27" spans="3:13" s="191" customFormat="1" ht="15" customHeight="1">
      <c r="C27" s="654"/>
      <c r="D27" s="650"/>
      <c r="E27" s="659" t="str">
        <f>IF(Indice_index!$Z$1=1,"096 - Contingência Covid 2019 - Garantir Normalidade","096 - Covid Contingency 2019 - Ensure Normality")</f>
        <v>096 - Covid Contingency 2019 - Ensure Normality</v>
      </c>
      <c r="F27" s="653">
        <v>5.5891999999999997E-2</v>
      </c>
      <c r="G27" s="653">
        <v>1.727E-3</v>
      </c>
      <c r="H27" s="631"/>
      <c r="I27"/>
      <c r="J27"/>
      <c r="K27"/>
      <c r="L27" s="466"/>
      <c r="M27" s="466"/>
    </row>
    <row r="28" spans="3:13" s="191" customFormat="1" ht="15" customHeight="1">
      <c r="C28" s="654"/>
      <c r="D28" s="655"/>
      <c r="E28" s="658" t="str">
        <f>C22</f>
        <v>SPAM</v>
      </c>
      <c r="F28" s="657">
        <f>SUM(F22:F27)</f>
        <v>7.332771000000001</v>
      </c>
      <c r="G28" s="657">
        <f>SUM(G22:G27)</f>
        <v>5.7314240000000005</v>
      </c>
      <c r="H28" s="631"/>
      <c r="I28"/>
      <c r="J28"/>
      <c r="K28"/>
      <c r="L28" s="466"/>
      <c r="M28" s="466"/>
    </row>
    <row r="29" spans="3:13" s="191" customFormat="1" ht="15" customHeight="1">
      <c r="C29" s="654" t="str">
        <f>IF(Indice_index!$Z$1=1,"MP","MP")</f>
        <v>MP</v>
      </c>
      <c r="D29" s="650" t="str">
        <f>IF(Indice_index!$Z$1=1,"P002 - Governação","P002 - Government")</f>
        <v>P002 - Government</v>
      </c>
      <c r="E29" s="651" t="str">
        <f>IF(Indice_index!$Z$1=1,"001 - Serv. Gerais da A.P. - Administração geral","001 - General public services - General Administration")</f>
        <v>001 - General public services - General Administration</v>
      </c>
      <c r="F29" s="653">
        <v>3.8086000000000002E-2</v>
      </c>
      <c r="G29" s="653">
        <v>3.8086000000000002E-2</v>
      </c>
      <c r="H29" s="631"/>
      <c r="I29"/>
      <c r="J29"/>
      <c r="K29"/>
      <c r="L29" s="466"/>
      <c r="M29" s="466"/>
    </row>
    <row r="30" spans="3:13" s="191" customFormat="1" ht="15" customHeight="1">
      <c r="C30" s="654"/>
      <c r="D30" s="655"/>
      <c r="E30" s="658" t="str">
        <f>C29</f>
        <v>MP</v>
      </c>
      <c r="F30" s="657">
        <f>SUM(F29:F29)</f>
        <v>3.8086000000000002E-2</v>
      </c>
      <c r="G30" s="657">
        <f>SUM(G29:G29)</f>
        <v>3.8086000000000002E-2</v>
      </c>
      <c r="H30" s="631"/>
      <c r="I30"/>
      <c r="J30"/>
      <c r="K30"/>
      <c r="L30" s="466"/>
      <c r="M30" s="466"/>
    </row>
    <row r="31" spans="3:13" s="191" customFormat="1" ht="15" customHeight="1">
      <c r="C31" s="654" t="str">
        <f>IF(Indice_index!$Z$1=1,"MCT","MTC")</f>
        <v>MTC</v>
      </c>
      <c r="D31" s="650" t="str">
        <f>IF(Indice_index!$Z$1=1,"P002 - Governação","P002 - Government")</f>
        <v>P002 - Government</v>
      </c>
      <c r="E31" s="651" t="str">
        <f>IF(Indice_index!$Z$1=1,"001 - Serv. Gerais da A.P. - Administração geral","001 - General public services - General Administration")</f>
        <v>001 - General public services - General Administration</v>
      </c>
      <c r="F31" s="653">
        <v>0.56905600000000001</v>
      </c>
      <c r="G31" s="653">
        <v>0.14754100000000001</v>
      </c>
      <c r="H31" s="631"/>
      <c r="I31"/>
      <c r="J31"/>
      <c r="K31"/>
      <c r="L31" s="466"/>
      <c r="M31" s="466"/>
    </row>
    <row r="32" spans="3:13" s="191" customFormat="1" ht="15" customHeight="1">
      <c r="C32" s="654"/>
      <c r="D32" s="650"/>
      <c r="E32" s="659" t="str">
        <f>IF(Indice_index!$Z$1=1,"028 - Habitação e serv. Colectivos - Administração e regulamentação","028 - Housing and Common services - Administration and regulations")</f>
        <v>028 - Housing and Common services - Administration and regulations</v>
      </c>
      <c r="F32" s="653">
        <v>1.209579</v>
      </c>
      <c r="G32" s="653">
        <v>1.9847E-2</v>
      </c>
      <c r="H32" s="631"/>
      <c r="I32"/>
      <c r="J32"/>
      <c r="K32"/>
      <c r="L32" s="466"/>
      <c r="M32" s="466"/>
    </row>
    <row r="33" spans="3:13" s="191" customFormat="1" ht="15" customHeight="1">
      <c r="C33" s="654"/>
      <c r="D33" s="650"/>
      <c r="E33" s="659"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33" s="653">
        <v>2.1188210000000001</v>
      </c>
      <c r="G33" s="653">
        <v>0.04</v>
      </c>
      <c r="H33" s="631"/>
      <c r="I33"/>
      <c r="J33"/>
      <c r="K33"/>
      <c r="L33" s="466"/>
      <c r="M33" s="466"/>
    </row>
    <row r="34" spans="3:13" s="191" customFormat="1" ht="15" customHeight="1">
      <c r="C34" s="654"/>
      <c r="D34" s="650"/>
      <c r="E34" s="659" t="str">
        <f>IF(Indice_index!$Z$1=1,"095 - Contingência Covid 2019 - Prevenção, contenção, mitigação e tratamento","095 - Covid 2019 Contingency - Prevention, Containment, Mitigation and Treatment")</f>
        <v>095 - Covid 2019 Contingency - Prevention, Containment, Mitigation and Treatment</v>
      </c>
      <c r="F34" s="653">
        <v>1.9310000000000001E-2</v>
      </c>
      <c r="G34" s="653">
        <v>0</v>
      </c>
      <c r="H34" s="631"/>
      <c r="I34"/>
      <c r="J34"/>
      <c r="K34"/>
      <c r="L34" s="466"/>
      <c r="M34" s="466"/>
    </row>
    <row r="35" spans="3:13" s="191" customFormat="1" ht="15" customHeight="1">
      <c r="C35" s="654"/>
      <c r="D35" s="650"/>
      <c r="E35" s="659" t="str">
        <f>IF(Indice_index!$Z$1=1,"096 - Contingência Covid 2019 - Garantir Normalidade","096 - Covid Contingency 2019 - Ensure Normality")</f>
        <v>096 - Covid Contingency 2019 - Ensure Normality</v>
      </c>
      <c r="F35" s="653">
        <v>2.1210000000000001E-3</v>
      </c>
      <c r="G35" s="653">
        <v>0</v>
      </c>
      <c r="H35" s="631"/>
      <c r="I35"/>
      <c r="J35"/>
      <c r="K35"/>
      <c r="L35" s="466"/>
      <c r="M35" s="466"/>
    </row>
    <row r="36" spans="3:13" s="191" customFormat="1" ht="15" customHeight="1">
      <c r="C36" s="654"/>
      <c r="D36" s="660"/>
      <c r="E36" s="658" t="str">
        <f>C31</f>
        <v>MTC</v>
      </c>
      <c r="F36" s="657">
        <f>SUM(F31:F35)</f>
        <v>3.9188869999999998</v>
      </c>
      <c r="G36" s="657">
        <f>SUM(G31:G35)</f>
        <v>0.20738800000000002</v>
      </c>
      <c r="H36" s="631"/>
      <c r="I36"/>
      <c r="J36"/>
      <c r="K36"/>
      <c r="L36" s="466"/>
      <c r="M36" s="466"/>
    </row>
    <row r="37" spans="3:13" s="191" customFormat="1" ht="15" customHeight="1">
      <c r="C37" s="654"/>
      <c r="D37" s="655"/>
      <c r="E37" s="661" t="str">
        <f>D31</f>
        <v>P002 - Government</v>
      </c>
      <c r="F37" s="657">
        <f>SUM(F21,F28,F30,F36)</f>
        <v>25.693988000000004</v>
      </c>
      <c r="G37" s="657">
        <f>SUM(G21,G28,G30,G36)</f>
        <v>11.197714</v>
      </c>
      <c r="H37" s="631"/>
      <c r="I37"/>
      <c r="J37"/>
      <c r="K37"/>
      <c r="L37" s="466"/>
      <c r="M37" s="466"/>
    </row>
    <row r="38" spans="3:13" s="191" customFormat="1" ht="15" customHeight="1">
      <c r="C38" s="654" t="str">
        <f>IF(Indice_index!$Z$1=1,"METD","MEDT")</f>
        <v>MEDT</v>
      </c>
      <c r="D38" s="650" t="str">
        <f>IF(Indice_index!$Z$1=1,"P003 - Economia","P003 - Economy")</f>
        <v>P003 - Economy</v>
      </c>
      <c r="E38" s="659" t="str">
        <f>IF(Indice_index!$Z$1=1,"061 - Comércio e turismo - Comércio","061 - Trade and tourism - Trade")</f>
        <v>061 - Trade and tourism - Trade</v>
      </c>
      <c r="F38" s="653">
        <v>8.9449999999999998E-3</v>
      </c>
      <c r="G38" s="653">
        <v>9.9889999999999996E-3</v>
      </c>
      <c r="H38" s="631"/>
      <c r="I38"/>
      <c r="J38"/>
      <c r="K38"/>
      <c r="L38" s="466"/>
      <c r="M38" s="466"/>
    </row>
    <row r="39" spans="3:13" s="191" customFormat="1" ht="15" customHeight="1">
      <c r="C39" s="654"/>
      <c r="D39" s="650"/>
      <c r="E39" s="659" t="str">
        <f>IF(Indice_index!$Z$1=1,"062 - Comércio e turismo - Turismo","062 - Trade and tourism - Tourism")</f>
        <v>062 - Trade and tourism - Tourism</v>
      </c>
      <c r="F39" s="653">
        <v>3.1411920000000002</v>
      </c>
      <c r="G39" s="653">
        <v>3.0086029999999999</v>
      </c>
      <c r="H39" s="631"/>
      <c r="I39"/>
      <c r="J39"/>
      <c r="K39"/>
      <c r="L39" s="466"/>
      <c r="M39" s="466"/>
    </row>
    <row r="40" spans="3:13" s="191" customFormat="1" ht="15" customHeight="1">
      <c r="C40" s="654"/>
      <c r="D40" s="650"/>
      <c r="E40" s="659" t="str">
        <f>IF(Indice_index!$Z$1=1,"063 - Outras funções económicas - Administração e regulamentação","063 - Outher economic functions - Administration e regulation")</f>
        <v>063 - Outher economic functions - Administration e regulation</v>
      </c>
      <c r="F40" s="653">
        <v>2.7290399999999999</v>
      </c>
      <c r="G40" s="653">
        <v>1.7526790000000001</v>
      </c>
      <c r="H40" s="631"/>
      <c r="I40"/>
      <c r="J40"/>
      <c r="K40"/>
      <c r="L40" s="466"/>
      <c r="M40" s="466"/>
    </row>
    <row r="41" spans="3:13" s="191" customFormat="1" ht="15" customHeight="1">
      <c r="C41" s="654"/>
      <c r="D41" s="650"/>
      <c r="E41" s="659" t="str">
        <f>IF(Indice_index!$Z$1=1,"065 - Outras funções económicas - Diversas não especificadas","065 - Other economic functions - Various unspecified")</f>
        <v>065 - Other economic functions - Various unspecified</v>
      </c>
      <c r="F41" s="653">
        <v>7.9535119999999999</v>
      </c>
      <c r="G41" s="653">
        <v>7.9582850000000001</v>
      </c>
      <c r="H41" s="631"/>
      <c r="I41"/>
      <c r="J41"/>
      <c r="K41"/>
      <c r="L41" s="466"/>
      <c r="M41" s="466"/>
    </row>
    <row r="42" spans="3:13" s="191" customFormat="1" ht="15" customHeight="1">
      <c r="C42" s="654"/>
      <c r="D42" s="650"/>
      <c r="E42" s="659" t="str">
        <f>IF(Indice_index!$Z$1=1,"068 - Outras funções - Diversas não especificadas","068 - Other functions - Various unspecified")</f>
        <v>068 - Other functions - Various unspecified</v>
      </c>
      <c r="F42" s="653">
        <v>0.39325100000000002</v>
      </c>
      <c r="G42" s="653">
        <v>0.39325100000000002</v>
      </c>
      <c r="H42" s="631"/>
      <c r="I42"/>
      <c r="J42"/>
      <c r="K42"/>
      <c r="L42" s="466"/>
      <c r="M42" s="466"/>
    </row>
    <row r="43" spans="3:13" s="191" customFormat="1" ht="15" customHeight="1">
      <c r="C43" s="654"/>
      <c r="D43" s="650"/>
      <c r="E43" s="659"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43" s="653">
        <v>1.2849999999999999E-3</v>
      </c>
      <c r="G43" s="653">
        <v>0</v>
      </c>
      <c r="H43" s="631"/>
      <c r="I43"/>
      <c r="J43"/>
      <c r="K43"/>
      <c r="L43" s="466"/>
      <c r="M43" s="466"/>
    </row>
    <row r="44" spans="3:13" s="191" customFormat="1" ht="15" customHeight="1">
      <c r="C44" s="654"/>
      <c r="D44" s="650"/>
      <c r="E44" s="659" t="str">
        <f>IF(Indice_index!$Z$1=1,"083 - Segurança e Ação Social - Integração da pessoa com deficiência","083 - Social Security and Action - Integration of the handicapped person")</f>
        <v>083 - Social Security and Action - Integration of the handicapped person</v>
      </c>
      <c r="F44" s="653">
        <v>1.2849999999999999E-3</v>
      </c>
      <c r="G44" s="653">
        <v>1.2849999999999999E-3</v>
      </c>
      <c r="H44" s="631"/>
      <c r="I44"/>
      <c r="J44"/>
      <c r="K44"/>
      <c r="L44" s="466"/>
      <c r="M44" s="466"/>
    </row>
    <row r="45" spans="3:13" s="191" customFormat="1" ht="15" customHeight="1">
      <c r="C45" s="654"/>
      <c r="D45" s="650"/>
      <c r="E45" s="659" t="str">
        <f>IF(Indice_index!$Z$1=1,"086 - Comércio e Turismo - Imposto especial de jogo","086 - Trade and tourism - Special gambling tax")</f>
        <v>086 - Trade and tourism - Special gambling tax</v>
      </c>
      <c r="F45" s="653">
        <v>2.8429660000000001</v>
      </c>
      <c r="G45" s="653">
        <v>2.8429660000000001</v>
      </c>
      <c r="H45" s="631"/>
      <c r="I45"/>
      <c r="J45"/>
      <c r="K45"/>
      <c r="L45" s="466"/>
      <c r="M45" s="466"/>
    </row>
    <row r="46" spans="3:13" s="191" customFormat="1" ht="15" customHeight="1">
      <c r="C46" s="654"/>
      <c r="D46" s="650"/>
      <c r="E46" s="659" t="str">
        <f>IF(Indice_index!$Z$1=1,"095 - Contingência Covid 2019 - Prevenção, contenção, mitigação e tratamento","095 - Covid 2019 Contingency - Prevention, Containment, Mitigation and Treatment")</f>
        <v>095 - Covid 2019 Contingency - Prevention, Containment, Mitigation and Treatment</v>
      </c>
      <c r="F46" s="653">
        <v>8.6690000000000003E-2</v>
      </c>
      <c r="G46" s="653">
        <v>4.1644E-2</v>
      </c>
      <c r="H46" s="631"/>
      <c r="I46"/>
      <c r="J46"/>
      <c r="K46"/>
      <c r="L46" s="466"/>
      <c r="M46" s="466"/>
    </row>
    <row r="47" spans="3:13" s="191" customFormat="1" ht="15" customHeight="1">
      <c r="C47" s="654"/>
      <c r="D47" s="650"/>
      <c r="E47" s="659" t="str">
        <f>IF(Indice_index!$Z$1=1,"096 - Contingência Covid 2019 - Garantir Normalidade","096 - Covid Contingency 2019 - Ensure Normality")</f>
        <v>096 - Covid Contingency 2019 - Ensure Normality</v>
      </c>
      <c r="F47" s="653">
        <v>4.6462000000000003E-2</v>
      </c>
      <c r="G47" s="653">
        <v>1.0841E-2</v>
      </c>
      <c r="H47" s="631"/>
      <c r="I47"/>
      <c r="J47"/>
      <c r="K47"/>
      <c r="L47" s="466"/>
      <c r="M47" s="466"/>
    </row>
    <row r="48" spans="3:13" s="191" customFormat="1" ht="15" customHeight="1">
      <c r="C48" s="654"/>
      <c r="D48" s="655"/>
      <c r="E48" s="661" t="str">
        <f>D38</f>
        <v>P003 - Economy</v>
      </c>
      <c r="F48" s="657">
        <f>SUM(F38:F47)</f>
        <v>17.204628</v>
      </c>
      <c r="G48" s="657">
        <f>SUM(G38:G47)</f>
        <v>16.019542999999999</v>
      </c>
      <c r="H48" s="631"/>
      <c r="I48"/>
      <c r="J48"/>
      <c r="K48"/>
      <c r="L48" s="466"/>
      <c r="M48" s="466"/>
    </row>
    <row r="49" spans="3:13" s="191" customFormat="1" ht="15" customHeight="1">
      <c r="C49" s="654" t="str">
        <f>IF(Indice_index!$Z$1=1,"MNE","MFA")</f>
        <v>MFA</v>
      </c>
      <c r="D49" s="650" t="str">
        <f>IF(Indice_index!$Z$1=1,"P004 - Representação Externa","P004 - Foreign Affairs")</f>
        <v>P004 - Foreign Affairs</v>
      </c>
      <c r="E49" s="651" t="str">
        <f>IF(Indice_index!$Z$1=1,"002 - Serv. Gerais da A.P. - Negócios estrangeiros","002 - General public services - Foreign affairs")</f>
        <v>002 - General public services - Foreign affairs</v>
      </c>
      <c r="F49" s="652">
        <v>25.112763999999999</v>
      </c>
      <c r="G49" s="652">
        <v>23.771640000000001</v>
      </c>
      <c r="H49" s="631"/>
      <c r="I49"/>
      <c r="J49"/>
      <c r="K49"/>
      <c r="L49" s="466"/>
      <c r="M49" s="466"/>
    </row>
    <row r="50" spans="3:13" s="191" customFormat="1" ht="15" customHeight="1">
      <c r="C50" s="654"/>
      <c r="D50" s="650"/>
      <c r="E50" s="651" t="str">
        <f>IF(Indice_index!$Z$1=1,"003 - Serv. Gerais da A.P. - Cooperação económica externa","003 - General public services - External economic cooperation")</f>
        <v>003 - General public services - External economic cooperation</v>
      </c>
      <c r="F50" s="653">
        <v>3.9245000000000002E-2</v>
      </c>
      <c r="G50" s="653">
        <v>3.9245000000000002E-2</v>
      </c>
      <c r="H50" s="631"/>
      <c r="I50"/>
      <c r="J50"/>
      <c r="K50"/>
      <c r="L50" s="466"/>
      <c r="M50" s="466"/>
    </row>
    <row r="51" spans="3:13" s="191" customFormat="1" ht="15" customHeight="1">
      <c r="C51" s="654"/>
      <c r="D51" s="650"/>
      <c r="E51" s="651" t="str">
        <f>IF(Indice_index!$Z$1=1,"065 - Outras funções económicas - Diversas não especificadas","065 - Other economic functions - Various unspecified")</f>
        <v>065 - Other economic functions - Various unspecified</v>
      </c>
      <c r="F51" s="653">
        <v>5.4285579999999998</v>
      </c>
      <c r="G51" s="653">
        <v>3.441103</v>
      </c>
      <c r="H51" s="631"/>
      <c r="I51"/>
      <c r="J51"/>
      <c r="K51"/>
      <c r="L51" s="466"/>
      <c r="M51" s="466"/>
    </row>
    <row r="52" spans="3:13" s="191" customFormat="1" ht="15" customHeight="1">
      <c r="C52" s="654"/>
      <c r="D52" s="650"/>
      <c r="E52" s="659" t="str">
        <f>IF(Indice_index!$Z$1=1,"095 - Contingência Covid 2019 - Prevenção, contenção, mitigação e tratamento","095 - Covid 2019 Contingency - Prevention, Containment, Mitigation and Treatment")</f>
        <v>095 - Covid 2019 Contingency - Prevention, Containment, Mitigation and Treatment</v>
      </c>
      <c r="F52" s="653">
        <v>0.71297100000000002</v>
      </c>
      <c r="G52" s="653">
        <v>0.71297100000000002</v>
      </c>
      <c r="H52" s="631"/>
      <c r="I52"/>
      <c r="J52"/>
      <c r="K52"/>
      <c r="L52" s="466"/>
      <c r="M52" s="466"/>
    </row>
    <row r="53" spans="3:13" s="191" customFormat="1" ht="15" customHeight="1">
      <c r="C53" s="654"/>
      <c r="D53" s="650"/>
      <c r="E53" s="659" t="str">
        <f>IF(Indice_index!$Z$1=1,"096 - Contingência Covid 2019 - Garantir Normalidade","096 - Covid Contingency 2019 - Ensure Normality")</f>
        <v>096 - Covid Contingency 2019 - Ensure Normality</v>
      </c>
      <c r="F53" s="653">
        <v>4.3017E-2</v>
      </c>
      <c r="G53" s="653">
        <v>4.3017E-2</v>
      </c>
      <c r="H53" s="631"/>
      <c r="I53"/>
      <c r="J53"/>
      <c r="K53"/>
      <c r="L53" s="466"/>
      <c r="M53" s="466"/>
    </row>
    <row r="54" spans="3:13" s="191" customFormat="1" ht="15" customHeight="1">
      <c r="C54" s="654"/>
      <c r="D54" s="655"/>
      <c r="E54" s="661" t="str">
        <f>D49</f>
        <v>P004 - Foreign Affairs</v>
      </c>
      <c r="F54" s="657">
        <f>SUM(F49:F53)</f>
        <v>31.336554999999997</v>
      </c>
      <c r="G54" s="657">
        <f t="shared" ref="G54" si="0">SUM(G49:G53)</f>
        <v>28.007976000000003</v>
      </c>
      <c r="H54" s="631"/>
      <c r="I54"/>
      <c r="J54"/>
      <c r="K54"/>
      <c r="L54" s="466"/>
      <c r="M54" s="466"/>
    </row>
    <row r="55" spans="3:13" s="191" customFormat="1" ht="15" customHeight="1">
      <c r="C55" s="654" t="str">
        <f>IF(Indice_index!$Z$1=1,"MF","MF")</f>
        <v>MF</v>
      </c>
      <c r="D55" s="650" t="str">
        <f>IF(Indice_index!$Z$1=1,"P005 - Finanças","P005 - Finance and Public Administration")</f>
        <v>P005 - Finance and Public Administration</v>
      </c>
      <c r="E55" s="651" t="str">
        <f>IF(Indice_index!$Z$1=1,"001 - Serv. Gerais da A.P. - Administração geral","001 - General public services - General Administration")</f>
        <v>001 - General public services - General Administration</v>
      </c>
      <c r="F55" s="652">
        <v>49.170408000000002</v>
      </c>
      <c r="G55" s="652">
        <v>26.168393500000001</v>
      </c>
      <c r="H55" s="631"/>
      <c r="I55"/>
      <c r="J55"/>
      <c r="K55"/>
      <c r="L55" s="466"/>
      <c r="M55" s="466"/>
    </row>
    <row r="56" spans="3:13" s="191" customFormat="1" ht="15" customHeight="1">
      <c r="C56" s="654"/>
      <c r="D56" s="650"/>
      <c r="E56" s="651" t="str">
        <f>IF(Indice_index!$Z$1=1,"003 - Serv. Gerais da A.P. - Cooperação económica externa","003 - General public services - External economic cooperation")</f>
        <v>003 - General public services - External economic cooperation</v>
      </c>
      <c r="F56" s="653">
        <v>4.3853999999999997E-2</v>
      </c>
      <c r="G56" s="653">
        <v>4.3853999999999997E-2</v>
      </c>
      <c r="H56" s="631"/>
      <c r="I56"/>
      <c r="J56"/>
      <c r="K56"/>
      <c r="L56" s="466"/>
      <c r="M56" s="466"/>
    </row>
    <row r="57" spans="3:13" s="191" customFormat="1" ht="15" customHeight="1">
      <c r="C57" s="654"/>
      <c r="D57" s="650"/>
      <c r="E57" s="651" t="str">
        <f>IF(Indice_index!$Z$1=1,"065 - Outras funções económicas - Diversas não especificadas","065 - Other economic functions - Various unspecified")</f>
        <v>065 - Other economic functions - Various unspecified</v>
      </c>
      <c r="F57" s="653">
        <v>49.695844999999998</v>
      </c>
      <c r="G57" s="653">
        <v>40.512718</v>
      </c>
      <c r="H57" s="631"/>
      <c r="I57"/>
      <c r="J57"/>
      <c r="K57"/>
      <c r="L57" s="466"/>
      <c r="M57" s="466"/>
    </row>
    <row r="58" spans="3:13" s="191" customFormat="1" ht="15" customHeight="1">
      <c r="C58" s="654"/>
      <c r="D58" s="650"/>
      <c r="E58" s="659" t="str">
        <f>IF(Indice_index!$Z$1=1,"095 - Contingência Covid 2019 - Prevenção, contenção, mitigação e tratamento","095 - Covid 2019 Contingency - Prevention, Containment, Mitigation and Treatment")</f>
        <v>095 - Covid 2019 Contingency - Prevention, Containment, Mitigation and Treatment</v>
      </c>
      <c r="F58" s="653">
        <v>0.289466</v>
      </c>
      <c r="G58" s="653">
        <v>5.6008000000000002E-2</v>
      </c>
      <c r="H58" s="631"/>
      <c r="I58"/>
      <c r="J58"/>
      <c r="K58"/>
      <c r="L58" s="466"/>
      <c r="M58" s="466"/>
    </row>
    <row r="59" spans="3:13" s="191" customFormat="1" ht="15" customHeight="1">
      <c r="C59" s="654"/>
      <c r="D59" s="650"/>
      <c r="E59" s="659" t="str">
        <f>IF(Indice_index!$Z$1=1,"096 - Contingência Covid 2019 - Garantir Normalidade","096 - Covid Contingency 2019 - Ensure Normality")</f>
        <v>096 - Covid Contingency 2019 - Ensure Normality</v>
      </c>
      <c r="F59" s="653">
        <v>0.233212</v>
      </c>
      <c r="G59" s="653">
        <v>0.38629000000000002</v>
      </c>
      <c r="H59" s="631"/>
      <c r="I59"/>
      <c r="J59"/>
      <c r="K59"/>
      <c r="L59" s="466"/>
      <c r="M59" s="466"/>
    </row>
    <row r="60" spans="3:13" s="191" customFormat="1" ht="15" customHeight="1">
      <c r="C60" s="654"/>
      <c r="D60" s="655"/>
      <c r="E60" s="661" t="str">
        <f>D55</f>
        <v>P005 - Finance and Public Administration</v>
      </c>
      <c r="F60" s="657">
        <f>SUM(F55:F59)</f>
        <v>99.43278500000001</v>
      </c>
      <c r="G60" s="657">
        <f>SUM(G55:G59)</f>
        <v>67.167263500000004</v>
      </c>
      <c r="H60" s="631"/>
      <c r="I60"/>
      <c r="J60"/>
      <c r="K60"/>
      <c r="L60" s="466"/>
      <c r="M60" s="466"/>
    </row>
    <row r="61" spans="3:13" s="191" customFormat="1" ht="15" customHeight="1">
      <c r="C61" s="654"/>
      <c r="D61" s="662" t="str">
        <f>IF(Indice_index!$Z$1=1,"P006 - Gestão da Dívida Pública","P006 - Public Debt Management")</f>
        <v>P006 - Public Debt Management</v>
      </c>
      <c r="E61" s="663" t="str">
        <f>IF(Indice_index!$Z$1=1,"066 - Outras funções - Operações da dívida pública","066 - Other functions - Public debt operations")</f>
        <v>066 - Other functions - Public debt operations</v>
      </c>
      <c r="F61" s="653">
        <v>9.8699999999999996E-2</v>
      </c>
      <c r="G61" s="653">
        <v>9.8699999999999996E-2</v>
      </c>
      <c r="H61" s="631"/>
      <c r="I61"/>
      <c r="J61"/>
      <c r="K61"/>
      <c r="L61" s="466"/>
      <c r="M61" s="466"/>
    </row>
    <row r="62" spans="3:13" s="191" customFormat="1" ht="15" customHeight="1">
      <c r="C62" s="654" t="str">
        <f>IF(Indice_index!$Z$1=1,"MDN","MND")</f>
        <v>MND</v>
      </c>
      <c r="D62" s="650" t="str">
        <f>IF(Indice_index!$Z$1=1,"P007 - Defesa","P007 - Defence")</f>
        <v>P007 - Defence</v>
      </c>
      <c r="E62" s="651" t="str">
        <f>IF(Indice_index!$Z$1=1,"004 - Serv. Gerais da A.P. - Investigação científica de carácter geral","004 - General public services - General scientific research")</f>
        <v>004 - General public services - General scientific research</v>
      </c>
      <c r="F62" s="652">
        <v>9.0999999999999998E-2</v>
      </c>
      <c r="G62" s="652">
        <v>1.1375E-2</v>
      </c>
      <c r="H62" s="631"/>
      <c r="I62"/>
      <c r="J62"/>
      <c r="K62"/>
      <c r="L62" s="466"/>
      <c r="M62" s="466"/>
    </row>
    <row r="63" spans="3:13" s="191" customFormat="1" ht="15" customHeight="1">
      <c r="C63" s="654"/>
      <c r="D63" s="650"/>
      <c r="E63" s="651" t="str">
        <f>IF(Indice_index!$Z$1=1,"005 - Defesa Nacional - Administração e regulamentação","005 - National Defence - Administration and regulations")</f>
        <v>005 - National Defence - Administration and regulations</v>
      </c>
      <c r="F63" s="653">
        <v>6.3276000000000003</v>
      </c>
      <c r="G63" s="653">
        <v>5.0721059999999998</v>
      </c>
      <c r="H63" s="631"/>
      <c r="I63"/>
      <c r="J63"/>
      <c r="K63"/>
      <c r="L63" s="466"/>
      <c r="M63" s="466"/>
    </row>
    <row r="64" spans="3:13" s="191" customFormat="1" ht="15" customHeight="1">
      <c r="C64" s="654"/>
      <c r="D64" s="650"/>
      <c r="E64" s="651" t="str">
        <f>IF(Indice_index!$Z$1=1,"006 - Defesa Nacional - Investigação","006 - National Defence - Research")</f>
        <v>006 - National Defence - Research</v>
      </c>
      <c r="F64" s="653">
        <v>0.12930900000000001</v>
      </c>
      <c r="G64" s="653">
        <v>0.130775</v>
      </c>
      <c r="H64" s="631"/>
      <c r="I64"/>
      <c r="J64"/>
      <c r="K64"/>
      <c r="L64" s="466"/>
      <c r="M64" s="466"/>
    </row>
    <row r="65" spans="3:13" s="191" customFormat="1" ht="15" customHeight="1">
      <c r="C65" s="654"/>
      <c r="D65" s="650"/>
      <c r="E65" s="651" t="str">
        <f>IF(Indice_index!$Z$1=1,"007 - Defesa Nacional - Forças Armadas","007 - National Defence - Armed Forces")</f>
        <v>007 - National Defence - Armed Forces</v>
      </c>
      <c r="F65" s="653">
        <v>55.457625</v>
      </c>
      <c r="G65" s="653">
        <v>35.319290000000002</v>
      </c>
      <c r="H65" s="631"/>
      <c r="I65"/>
      <c r="J65"/>
      <c r="K65"/>
      <c r="L65" s="466"/>
      <c r="M65" s="466"/>
    </row>
    <row r="66" spans="3:13" s="191" customFormat="1" ht="15" customHeight="1">
      <c r="C66" s="654"/>
      <c r="D66" s="650"/>
      <c r="E66" s="651" t="str">
        <f>IF(Indice_index!$Z$1=1,"008 - Defesa Nacional - Cooperação militar externa","008 - National Defence - Foreign military cooperation")</f>
        <v>008 - National Defence - Foreign military cooperation</v>
      </c>
      <c r="F66" s="653">
        <v>1.2460420000000001</v>
      </c>
      <c r="G66" s="653">
        <v>1.460942</v>
      </c>
      <c r="H66" s="631"/>
      <c r="I66"/>
      <c r="J66"/>
      <c r="K66"/>
      <c r="L66" s="466"/>
      <c r="M66" s="466"/>
    </row>
    <row r="67" spans="3:13" s="191" customFormat="1" ht="15" customHeight="1">
      <c r="C67" s="654"/>
      <c r="D67" s="650"/>
      <c r="E67" s="651" t="str">
        <f>IF(Indice_index!$Z$1=1,"014 - Segurança e ordem públicas - Protecção civil e luta contra incêndios","014 - Public safety and order - Civil Protection and  fire fighting")</f>
        <v>014 - Public safety and order - Civil Protection and  fire fighting</v>
      </c>
      <c r="F67" s="653">
        <v>12.599636</v>
      </c>
      <c r="G67" s="653">
        <v>0.113625</v>
      </c>
      <c r="H67" s="631"/>
      <c r="I67"/>
      <c r="J67"/>
      <c r="K67"/>
      <c r="L67" s="466"/>
      <c r="M67" s="466"/>
    </row>
    <row r="68" spans="3:13" s="191" customFormat="1" ht="15" customHeight="1">
      <c r="C68" s="654"/>
      <c r="D68" s="650"/>
      <c r="E68" s="651" t="str">
        <f>IF(Indice_index!$Z$1=1,"017 - Educação - Estabelecimentos de ensino não superior","017 - Education - Non higher educations institutions")</f>
        <v>017 - Education - Non higher educations institutions</v>
      </c>
      <c r="F68" s="653">
        <v>0.145955</v>
      </c>
      <c r="G68" s="653">
        <v>0.145955</v>
      </c>
      <c r="H68" s="631"/>
      <c r="I68"/>
      <c r="J68"/>
      <c r="K68"/>
      <c r="L68" s="466"/>
      <c r="M68" s="466"/>
    </row>
    <row r="69" spans="3:13" s="191" customFormat="1" ht="15" customHeight="1">
      <c r="C69" s="654"/>
      <c r="D69" s="650"/>
      <c r="E69" s="651" t="str">
        <f>IF(Indice_index!$Z$1=1,"018 - Educação - Estabelecimentos de ensino superior","018 - Education - Higher educations institutions")</f>
        <v>018 - Education - Higher educations institutions</v>
      </c>
      <c r="F69" s="653">
        <v>1.7583999999999999E-2</v>
      </c>
      <c r="G69" s="653">
        <v>1.7583999999999999E-2</v>
      </c>
      <c r="H69" s="631"/>
      <c r="I69"/>
      <c r="J69"/>
      <c r="K69"/>
      <c r="L69" s="466"/>
      <c r="M69" s="466"/>
    </row>
    <row r="70" spans="3:13" s="191" customFormat="1" ht="15" customHeight="1">
      <c r="C70" s="654"/>
      <c r="D70" s="650"/>
      <c r="E70" s="651" t="str">
        <f>IF(Indice_index!$Z$1=1,"022 - Saúde - Hospitais e clínicas","022 - Health - Hospitals and clinics")</f>
        <v>022 - Health - Hospitals and clinics</v>
      </c>
      <c r="F70" s="653">
        <v>0.26040200000000002</v>
      </c>
      <c r="G70" s="653">
        <v>0.26040200000000002</v>
      </c>
      <c r="H70" s="631"/>
      <c r="I70"/>
      <c r="J70"/>
      <c r="K70"/>
      <c r="L70" s="466"/>
      <c r="M70" s="466"/>
    </row>
    <row r="71" spans="3:13" s="191" customFormat="1" ht="15" customHeight="1">
      <c r="C71" s="654"/>
      <c r="D71" s="650"/>
      <c r="E71" s="659" t="str">
        <f>IF(Indice_index!$Z$1=1,"027 - Segurança e acção social - Acção social","027 - Social Security and Action - Social Action")</f>
        <v>027 - Social Security and Action - Social Action</v>
      </c>
      <c r="F71" s="653">
        <v>6.5390670000000002</v>
      </c>
      <c r="G71" s="653">
        <v>6.1936999999999999E-2</v>
      </c>
      <c r="H71" s="631"/>
      <c r="I71"/>
      <c r="J71"/>
      <c r="K71"/>
      <c r="L71" s="466"/>
      <c r="M71" s="466"/>
    </row>
    <row r="72" spans="3:13" s="191" customFormat="1" ht="15" customHeight="1">
      <c r="C72" s="654"/>
      <c r="D72" s="650"/>
      <c r="E72" s="651" t="str">
        <f>IF(Indice_index!$Z$1=1,"049 - Industria e energia - Indústrias transformadoras","049 - Industry and energy - Manufacturing industries")</f>
        <v>049 - Industry and energy - Manufacturing industries</v>
      </c>
      <c r="F72" s="653">
        <v>15.520673</v>
      </c>
      <c r="G72" s="653">
        <v>15.520673</v>
      </c>
      <c r="H72" s="631"/>
      <c r="I72"/>
      <c r="J72"/>
      <c r="K72"/>
      <c r="L72" s="466"/>
      <c r="M72" s="466"/>
    </row>
    <row r="73" spans="3:13" s="191" customFormat="1" ht="15" customHeight="1">
      <c r="C73" s="654"/>
      <c r="D73" s="650"/>
      <c r="E73" s="659" t="str">
        <f>IF(Indice_index!$Z$1=1,"095 - Contingência Covid 2019 - Prevenção, contenção, mitigação e tratamento","095 - Covid 2019 Contingency - Prevention, Containment, Mitigation and Treatment")</f>
        <v>095 - Covid 2019 Contingency - Prevention, Containment, Mitigation and Treatment</v>
      </c>
      <c r="F73" s="653">
        <v>0.15746099999999999</v>
      </c>
      <c r="G73" s="653">
        <v>4.8883000000000003E-2</v>
      </c>
      <c r="H73" s="631"/>
      <c r="I73"/>
      <c r="J73"/>
      <c r="K73"/>
      <c r="L73" s="466"/>
      <c r="M73" s="466"/>
    </row>
    <row r="74" spans="3:13" s="191" customFormat="1" ht="15" customHeight="1">
      <c r="C74" s="654"/>
      <c r="D74" s="650"/>
      <c r="E74" s="659" t="str">
        <f>IF(Indice_index!$Z$1=1,"096 - Contingência Covid 2019 - Garantir Normalidade","096 - Covid Contingency 2019 - Ensure Normality")</f>
        <v>096 - Covid Contingency 2019 - Ensure Normality</v>
      </c>
      <c r="F74" s="653">
        <v>1.0281999999999999E-2</v>
      </c>
      <c r="G74" s="653">
        <v>5.3700000000000004E-4</v>
      </c>
      <c r="H74" s="631"/>
      <c r="I74"/>
      <c r="J74"/>
      <c r="K74"/>
      <c r="L74" s="466"/>
      <c r="M74" s="466"/>
    </row>
    <row r="75" spans="3:13" s="191" customFormat="1" ht="15" customHeight="1">
      <c r="C75" s="654"/>
      <c r="D75" s="655"/>
      <c r="E75" s="661" t="str">
        <f>D62</f>
        <v>P007 - Defence</v>
      </c>
      <c r="F75" s="664">
        <f>SUM(F62:F74)</f>
        <v>98.50263600000001</v>
      </c>
      <c r="G75" s="664">
        <f>SUM(G62:G74)</f>
        <v>58.164084000000003</v>
      </c>
      <c r="H75" s="631"/>
      <c r="I75"/>
      <c r="J75"/>
      <c r="K75"/>
      <c r="L75" s="466"/>
      <c r="M75" s="466"/>
    </row>
    <row r="76" spans="3:13" s="191" customFormat="1" ht="15" customHeight="1">
      <c r="C76" s="654" t="str">
        <f>IF(Indice_index!$Z$1=1,"MAI","MIA")</f>
        <v>MIA</v>
      </c>
      <c r="D76" s="650" t="str">
        <f>IF(Indice_index!$Z$1=1,"P008 - Segurança Interna","P008 - Internal Security")</f>
        <v>P008 - Internal Security</v>
      </c>
      <c r="E76" s="659" t="str">
        <f>IF(Indice_index!$Z$1=1,"009 - Segurança e ordem públicas - Administração e regulamentação","009 - Public safety and order - Administration and regulations")</f>
        <v>009 - Public safety and order - Administration and regulations</v>
      </c>
      <c r="F76" s="653">
        <v>6.3738349999999997</v>
      </c>
      <c r="G76" s="653">
        <v>3.5941339999999999</v>
      </c>
      <c r="H76" s="631"/>
      <c r="I76"/>
      <c r="J76"/>
      <c r="K76"/>
      <c r="L76" s="466"/>
      <c r="M76" s="466"/>
    </row>
    <row r="77" spans="3:13" s="191" customFormat="1" ht="15" customHeight="1">
      <c r="C77" s="654"/>
      <c r="D77" s="650"/>
      <c r="E77" s="665" t="str">
        <f>IF(Indice_index!$Z$1=1,"011 - Segurança e ordem públicas - Forças de segurança","011 - Public safety and order - Security forces")</f>
        <v>011 - Public safety and order - Security forces</v>
      </c>
      <c r="F77" s="666">
        <v>26.828285999999999</v>
      </c>
      <c r="G77" s="666">
        <v>21.837752999999999</v>
      </c>
      <c r="H77" s="631"/>
      <c r="I77"/>
      <c r="J77"/>
      <c r="K77"/>
      <c r="L77" s="466"/>
      <c r="M77" s="466"/>
    </row>
    <row r="78" spans="3:13" s="191" customFormat="1" ht="15" customHeight="1">
      <c r="C78" s="654"/>
      <c r="D78" s="650"/>
      <c r="E78" s="665" t="str">
        <f>IF(Indice_index!$Z$1=1,"014 - Segurança e ordem públicas - Protecção civil e luta contra incêndios","014 - Public safety and order - Civil Protection and  fire fighting")</f>
        <v>014 - Public safety and order - Civil Protection and  fire fighting</v>
      </c>
      <c r="F78" s="666">
        <v>1.7789090000000001</v>
      </c>
      <c r="G78" s="666">
        <v>0.44727699999999998</v>
      </c>
      <c r="H78" s="631"/>
      <c r="I78"/>
      <c r="J78"/>
      <c r="K78"/>
      <c r="L78" s="466"/>
      <c r="M78" s="466"/>
    </row>
    <row r="79" spans="3:13" s="191" customFormat="1" ht="15" customHeight="1">
      <c r="C79" s="654"/>
      <c r="D79" s="650"/>
      <c r="E79" s="659" t="str">
        <f>IF(Indice_index!$Z$1=1,"017 - Educação - Estabelecimentos de ensino não superior","017 - Education - Non higher educations institutions")</f>
        <v>017 - Education - Non higher educations institutions</v>
      </c>
      <c r="F79" s="653">
        <v>1.7094400000000001</v>
      </c>
      <c r="G79" s="653">
        <v>0</v>
      </c>
      <c r="H79" s="631"/>
      <c r="I79"/>
      <c r="J79"/>
      <c r="K79"/>
      <c r="L79" s="466"/>
      <c r="M79" s="466"/>
    </row>
    <row r="80" spans="3:13" s="191" customFormat="1" ht="15" customHeight="1">
      <c r="C80" s="654"/>
      <c r="D80" s="650"/>
      <c r="E80" s="659" t="str">
        <f>IF(Indice_index!$Z$1=1,"018 - Educação - Estabelecimentos de ensino superior","018 - Education - Higher educations institutions")</f>
        <v>018 - Education - Higher educations institutions</v>
      </c>
      <c r="F80" s="653">
        <v>0.91472900000000001</v>
      </c>
      <c r="G80" s="653">
        <v>1.5030999999999999E-2</v>
      </c>
      <c r="H80" s="631"/>
      <c r="I80"/>
      <c r="J80"/>
      <c r="K80"/>
      <c r="L80" s="466"/>
      <c r="M80" s="466"/>
    </row>
    <row r="81" spans="3:13" s="191" customFormat="1" ht="15" customHeight="1">
      <c r="C81" s="654"/>
      <c r="D81" s="650"/>
      <c r="E81" s="659" t="str">
        <f>IF(Indice_index!$Z$1=1,"027 - Segurança e acção social - Acção social","027 - Social Security and Action - Social Action")</f>
        <v>027 - Social Security and Action - Social Action</v>
      </c>
      <c r="F81" s="653">
        <v>1.2847930000000001</v>
      </c>
      <c r="G81" s="653">
        <v>1.2320469999999999</v>
      </c>
      <c r="H81" s="631"/>
      <c r="I81"/>
      <c r="J81"/>
      <c r="K81"/>
      <c r="L81" s="466"/>
      <c r="M81" s="466"/>
    </row>
    <row r="82" spans="3:13" s="191" customFormat="1" ht="15" customHeight="1">
      <c r="C82" s="654"/>
      <c r="D82" s="650"/>
      <c r="E82" s="659"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82" s="653">
        <v>9.1430999999999998E-2</v>
      </c>
      <c r="G82" s="653">
        <v>5.8E-5</v>
      </c>
      <c r="H82" s="631"/>
      <c r="I82"/>
      <c r="J82"/>
      <c r="K82"/>
      <c r="L82" s="466"/>
      <c r="M82" s="466"/>
    </row>
    <row r="83" spans="3:13" s="191" customFormat="1" ht="15" customHeight="1">
      <c r="C83" s="654"/>
      <c r="D83" s="650"/>
      <c r="E83" s="667" t="str">
        <f>IF(Indice_index!$Z$1=1,"083 - Segurança e Ação Social - Integração da pessoa com deficiência","083 - Social Security and Action - Integration of the handicapped person")</f>
        <v>083 - Social Security and Action - Integration of the handicapped person</v>
      </c>
      <c r="F83" s="653">
        <v>7.9199999999999995E-4</v>
      </c>
      <c r="G83" s="653">
        <v>0</v>
      </c>
      <c r="H83" s="631"/>
      <c r="I83"/>
      <c r="J83"/>
      <c r="K83"/>
      <c r="L83" s="466"/>
      <c r="M83" s="466"/>
    </row>
    <row r="84" spans="3:13" s="191" customFormat="1" ht="24.75" customHeight="1">
      <c r="C84" s="654"/>
      <c r="D84" s="650"/>
      <c r="E84" s="668"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84" s="653">
        <v>6.272424</v>
      </c>
      <c r="G84" s="653">
        <v>6.272424</v>
      </c>
      <c r="H84" s="631"/>
      <c r="I84"/>
      <c r="J84"/>
      <c r="K84"/>
      <c r="L84" s="466"/>
      <c r="M84" s="466"/>
    </row>
    <row r="85" spans="3:13" s="191" customFormat="1" ht="15" customHeight="1">
      <c r="C85" s="654"/>
      <c r="D85" s="650"/>
      <c r="E85" s="669"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85" s="653">
        <v>1.9375</v>
      </c>
      <c r="G85" s="653">
        <v>1.9375</v>
      </c>
      <c r="H85" s="631"/>
      <c r="I85"/>
      <c r="J85"/>
      <c r="K85"/>
      <c r="L85" s="466"/>
      <c r="M85" s="466"/>
    </row>
    <row r="86" spans="3:13" s="191" customFormat="1" ht="15" customHeight="1">
      <c r="C86" s="654"/>
      <c r="D86" s="650"/>
      <c r="E86" s="669"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86" s="653">
        <v>0.125</v>
      </c>
      <c r="G86" s="653">
        <v>0.125</v>
      </c>
      <c r="H86" s="631"/>
      <c r="I86"/>
      <c r="J86"/>
      <c r="K86"/>
      <c r="L86" s="466"/>
      <c r="M86" s="466"/>
    </row>
    <row r="87" spans="3:13" s="191" customFormat="1" ht="15" customHeight="1">
      <c r="C87" s="654"/>
      <c r="D87" s="650"/>
      <c r="E87" s="669"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87" s="653">
        <v>0.28999999999999998</v>
      </c>
      <c r="G87" s="653">
        <v>0.28999999999999998</v>
      </c>
      <c r="H87" s="631"/>
      <c r="I87"/>
      <c r="J87"/>
      <c r="K87"/>
      <c r="L87" s="466"/>
      <c r="M87" s="466"/>
    </row>
    <row r="88" spans="3:13" s="191" customFormat="1" ht="15" customHeight="1">
      <c r="C88" s="654"/>
      <c r="D88" s="650"/>
      <c r="E88" s="659" t="str">
        <f>IF(Indice_index!$Z$1=1,"095 - Contingência Covid 2019 - Prevenção, contenção, mitigação e tratamento","095 - Covid 2019 Contingency - Prevention, Containment, Mitigation and Treatment")</f>
        <v>095 - Covid 2019 Contingency - Prevention, Containment, Mitigation and Treatment</v>
      </c>
      <c r="F88" s="653">
        <v>0.46963199999999999</v>
      </c>
      <c r="G88" s="653">
        <v>0.30674000000000001</v>
      </c>
      <c r="H88" s="631"/>
      <c r="I88"/>
      <c r="J88"/>
      <c r="K88"/>
      <c r="L88" s="466"/>
      <c r="M88" s="466"/>
    </row>
    <row r="89" spans="3:13" s="191" customFormat="1" ht="15" customHeight="1">
      <c r="C89" s="654"/>
      <c r="D89" s="650"/>
      <c r="E89" s="659" t="str">
        <f>IF(Indice_index!$Z$1=1,"096 - Contingência Covid 2019 - Garantir Normalidade","096 - Covid Contingency 2019 - Ensure Normality")</f>
        <v>096 - Covid Contingency 2019 - Ensure Normality</v>
      </c>
      <c r="F89" s="653">
        <v>0.112326</v>
      </c>
      <c r="G89" s="653">
        <v>0.112326</v>
      </c>
      <c r="H89" s="631"/>
      <c r="I89"/>
      <c r="J89"/>
      <c r="K89"/>
      <c r="L89" s="466"/>
      <c r="M89" s="466"/>
    </row>
    <row r="90" spans="3:13" s="191" customFormat="1" ht="15" customHeight="1">
      <c r="C90" s="654"/>
      <c r="D90" s="650"/>
      <c r="E90" s="668" t="str">
        <f>IF(Indice_index!$Z$1=1,"100 - Iniciativas de  Ação Climática","100 - Climate Action Iniciatives")</f>
        <v>100 - Climate Action Iniciatives</v>
      </c>
      <c r="F90" s="653">
        <v>5.3436999999999998E-2</v>
      </c>
      <c r="G90" s="653">
        <v>5.3436999999999998E-2</v>
      </c>
      <c r="H90" s="631"/>
      <c r="I90"/>
      <c r="J90"/>
      <c r="K90"/>
      <c r="L90" s="466"/>
      <c r="M90" s="466"/>
    </row>
    <row r="91" spans="3:13" s="191" customFormat="1" ht="15" customHeight="1">
      <c r="C91" s="654"/>
      <c r="D91" s="655"/>
      <c r="E91" s="661" t="str">
        <f>D76</f>
        <v>P008 - Internal Security</v>
      </c>
      <c r="F91" s="657">
        <f>SUM(F76:F90)</f>
        <v>48.242533999999999</v>
      </c>
      <c r="G91" s="657">
        <f>SUM(G76:G90)</f>
        <v>36.223727000000004</v>
      </c>
      <c r="H91" s="631"/>
      <c r="I91"/>
      <c r="J91"/>
      <c r="K91"/>
      <c r="L91" s="466"/>
      <c r="M91" s="466"/>
    </row>
    <row r="92" spans="3:13" s="191" customFormat="1" ht="15" customHeight="1">
      <c r="C92" s="654" t="str">
        <f>IF(Indice_index!$Z$1=1,"MJ","MJ")</f>
        <v>MJ</v>
      </c>
      <c r="D92" s="650" t="str">
        <f>IF(Indice_index!$Z$1=1,"P009 - Justiça","P009 - Justice")</f>
        <v>P009 - Justice</v>
      </c>
      <c r="E92" s="651" t="str">
        <f>IF(Indice_index!$Z$1=1,"001 - Serv. Gerais da A.P. - Administração geral","001 - General public services - General Administration")</f>
        <v>001 - General public services - General Administration</v>
      </c>
      <c r="F92" s="652">
        <v>1.1169039999999999</v>
      </c>
      <c r="G92" s="652">
        <v>1.1169039999999999</v>
      </c>
      <c r="H92" s="631"/>
      <c r="I92"/>
      <c r="J92"/>
      <c r="K92"/>
      <c r="L92" s="466"/>
      <c r="M92" s="466"/>
    </row>
    <row r="93" spans="3:13" s="191" customFormat="1" ht="15" customHeight="1">
      <c r="C93" s="654"/>
      <c r="D93" s="650"/>
      <c r="E93" s="659" t="str">
        <f>IF(Indice_index!$Z$1=1,"009 - Segurança e ordem públicas - Administração e regulamentação","009 - Public safety and order - Administration and regulations")</f>
        <v>009 - Public safety and order - Administration and regulations</v>
      </c>
      <c r="F93" s="653">
        <v>15.957697</v>
      </c>
      <c r="G93" s="653">
        <v>17.810486999999998</v>
      </c>
      <c r="H93" s="631"/>
      <c r="I93"/>
      <c r="J93"/>
      <c r="K93"/>
      <c r="L93" s="466"/>
      <c r="M93" s="466"/>
    </row>
    <row r="94" spans="3:13" s="191" customFormat="1" ht="15" customHeight="1">
      <c r="C94" s="654"/>
      <c r="D94" s="650"/>
      <c r="E94" s="659" t="str">
        <f>IF(Indice_index!$Z$1=1,"010 - Segurança e ordem públicas - Investigação","010 - Public safety and order - Research")</f>
        <v>010 - Public safety and order - Research</v>
      </c>
      <c r="F94" s="653">
        <v>2.009306</v>
      </c>
      <c r="G94" s="653">
        <v>0.55909699999999996</v>
      </c>
      <c r="H94" s="631"/>
      <c r="I94"/>
      <c r="J94"/>
      <c r="K94"/>
      <c r="L94" s="466"/>
      <c r="M94" s="466"/>
    </row>
    <row r="95" spans="3:13" s="191" customFormat="1" ht="15" customHeight="1">
      <c r="C95" s="654"/>
      <c r="D95" s="650"/>
      <c r="E95" s="659" t="str">
        <f>IF(Indice_index!$Z$1=1,"012 - Segurança e ordem públicas - Sistema judiciário","012 - Public safety and order - Judicial system")</f>
        <v>012 - Public safety and order - Judicial system</v>
      </c>
      <c r="F95" s="653">
        <v>12.964924999999999</v>
      </c>
      <c r="G95" s="653">
        <v>8.088967349999999</v>
      </c>
      <c r="H95" s="631"/>
      <c r="I95"/>
      <c r="J95"/>
      <c r="K95"/>
      <c r="L95" s="466"/>
      <c r="M95" s="466"/>
    </row>
    <row r="96" spans="3:13" s="191" customFormat="1" ht="15" customHeight="1">
      <c r="C96" s="654"/>
      <c r="D96" s="650"/>
      <c r="E96" s="659" t="str">
        <f>IF(Indice_index!$Z$1=1,"013 - Segurança e ordem públicas - Sistema prisional, de reinserção social e de menores","013 - Public safety and order - Prison, social reintegration and of minors system")</f>
        <v>013 - Public safety and order - Prison, social reintegration and of minors system</v>
      </c>
      <c r="F96" s="653">
        <v>13.813948999999999</v>
      </c>
      <c r="G96" s="653">
        <v>1.355318</v>
      </c>
      <c r="H96" s="631"/>
      <c r="I96"/>
      <c r="J96"/>
      <c r="K96"/>
      <c r="L96" s="466"/>
      <c r="M96" s="466"/>
    </row>
    <row r="97" spans="3:13" s="191" customFormat="1" ht="15" customHeight="1">
      <c r="C97" s="654"/>
      <c r="D97" s="650"/>
      <c r="E97" s="659" t="str">
        <f>IF(Indice_index!$Z$1=1,"063 - Outras funções económicas - Administração e regulamentação","063 - Outher economic functions - Administration e regulation")</f>
        <v>063 - Outher economic functions - Administration e regulation</v>
      </c>
      <c r="F97" s="653">
        <v>1.517201</v>
      </c>
      <c r="G97" s="653">
        <v>0.86941100000000004</v>
      </c>
      <c r="H97" s="631"/>
      <c r="I97"/>
      <c r="J97"/>
      <c r="K97"/>
      <c r="L97" s="466"/>
      <c r="M97" s="466"/>
    </row>
    <row r="98" spans="3:13" s="191" customFormat="1" ht="15" customHeight="1">
      <c r="C98" s="654"/>
      <c r="D98" s="650"/>
      <c r="E98" s="659" t="str">
        <f>IF(Indice_index!$Z$1=1,"065 - Outras funções económicas - Diversas não especificadas","065 - Other economic functions - Various unspecified")</f>
        <v>065 - Other economic functions - Various unspecified</v>
      </c>
      <c r="F98" s="653">
        <v>0.36249999999999999</v>
      </c>
      <c r="G98" s="653">
        <v>0.16250000000000001</v>
      </c>
      <c r="H98" s="631"/>
      <c r="I98"/>
      <c r="J98"/>
      <c r="K98"/>
      <c r="L98" s="466"/>
      <c r="M98" s="466"/>
    </row>
    <row r="99" spans="3:13" s="191" customFormat="1" ht="15" customHeight="1">
      <c r="C99" s="654"/>
      <c r="D99" s="650"/>
      <c r="E99" s="659"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99" s="653">
        <v>4.8515000000000003E-2</v>
      </c>
      <c r="G99" s="653">
        <v>0</v>
      </c>
      <c r="H99" s="631"/>
      <c r="I99"/>
      <c r="J99"/>
      <c r="K99"/>
      <c r="L99" s="466"/>
      <c r="M99" s="466"/>
    </row>
    <row r="100" spans="3:13" s="191" customFormat="1" ht="15" customHeight="1">
      <c r="C100" s="654"/>
      <c r="D100" s="650"/>
      <c r="E100" s="659" t="str">
        <f>IF(Indice_index!$Z$1=1,"095 - Contingência Covid 2019 - Prevenção, contenção, mitigação e tratamento","095 - Covid 2019 Contingency - Prevention, Containment, Mitigation and Treatment")</f>
        <v>095 - Covid 2019 Contingency - Prevention, Containment, Mitigation and Treatment</v>
      </c>
      <c r="F100" s="653">
        <v>0.50002999999999997</v>
      </c>
      <c r="G100" s="653">
        <v>0.37774999999999997</v>
      </c>
      <c r="H100" s="631"/>
      <c r="I100"/>
      <c r="J100"/>
      <c r="K100"/>
      <c r="L100" s="466"/>
      <c r="M100" s="466"/>
    </row>
    <row r="101" spans="3:13" s="191" customFormat="1" ht="15" customHeight="1">
      <c r="C101" s="654"/>
      <c r="D101" s="650"/>
      <c r="E101" s="659" t="str">
        <f>IF(Indice_index!$Z$1=1,"096 - Contingência Covid 2019 - Garantir Normalidade","096 - Covid Contingency 2019 - Ensure Normality")</f>
        <v>096 - Covid Contingency 2019 - Ensure Normality</v>
      </c>
      <c r="F101" s="653">
        <v>0.244534</v>
      </c>
      <c r="G101" s="653">
        <v>0.26954699999999998</v>
      </c>
      <c r="H101" s="631"/>
      <c r="I101"/>
      <c r="J101"/>
      <c r="K101"/>
      <c r="L101" s="466"/>
      <c r="M101" s="466"/>
    </row>
    <row r="102" spans="3:13" s="191" customFormat="1" ht="15" customHeight="1">
      <c r="C102" s="654"/>
      <c r="D102" s="655"/>
      <c r="E102" s="661" t="str">
        <f>D92</f>
        <v>P009 - Justice</v>
      </c>
      <c r="F102" s="664">
        <f>SUM(F92:F101)</f>
        <v>48.535561000000001</v>
      </c>
      <c r="G102" s="664">
        <f>SUM(G92:G101)</f>
        <v>30.609981349999998</v>
      </c>
      <c r="H102" s="631"/>
      <c r="I102"/>
      <c r="J102"/>
      <c r="K102"/>
      <c r="L102" s="466"/>
      <c r="M102" s="466"/>
    </row>
    <row r="103" spans="3:13" s="191" customFormat="1" ht="15" customHeight="1">
      <c r="C103" s="654" t="str">
        <f>IF(Indice_index!$Z$1=1,"MC","MC")</f>
        <v>MC</v>
      </c>
      <c r="D103" s="650" t="str">
        <f>IF(Indice_index!$Z$1=1,"P012 - Cultura","P012 - Culture")</f>
        <v>P012 - Culture</v>
      </c>
      <c r="E103" s="659" t="str">
        <f>IF(Indice_index!$Z$1=1,"036 - Serviços culturais, recreativos e religiosos - Cultura","036 - Cultural, recreational and religious services - Culture")</f>
        <v>036 - Cultural, recreational and religious services - Culture</v>
      </c>
      <c r="F103" s="653">
        <v>27.048166999999999</v>
      </c>
      <c r="G103" s="653">
        <v>16.487407000000001</v>
      </c>
      <c r="H103" s="631"/>
      <c r="I103"/>
      <c r="J103"/>
      <c r="K103"/>
      <c r="L103" s="466"/>
      <c r="M103" s="466"/>
    </row>
    <row r="104" spans="3:13" s="191" customFormat="1" ht="15" customHeight="1">
      <c r="C104" s="654"/>
      <c r="D104" s="650"/>
      <c r="E104" s="651" t="str">
        <f>IF(Indice_index!$Z$1=1,"038 - Serviços culturais, recreativos e religiosos - Comunicação social","038 - Cultural, recreational and religious services - Media")</f>
        <v>038 - Cultural, recreational and religious services - Media</v>
      </c>
      <c r="F104" s="653">
        <v>20.700402</v>
      </c>
      <c r="G104" s="653">
        <v>0</v>
      </c>
      <c r="H104" s="631"/>
      <c r="I104"/>
      <c r="J104"/>
      <c r="K104"/>
      <c r="L104" s="466"/>
      <c r="M104" s="466"/>
    </row>
    <row r="105" spans="3:13" s="191" customFormat="1" ht="15" customHeight="1">
      <c r="C105" s="654"/>
      <c r="D105" s="650"/>
      <c r="E105" s="659" t="str">
        <f>IF(Indice_index!$Z$1=1,"095 - Contingência Covid 2019 - Prevenção, contenção, mitigação e tratamento","095 - Covid 2019 Contingency - Prevention, Containment, Mitigation and Treatment")</f>
        <v>095 - Covid 2019 Contingency - Prevention, Containment, Mitigation and Treatment</v>
      </c>
      <c r="F105" s="653">
        <v>0.789439</v>
      </c>
      <c r="G105" s="653">
        <v>0.78828600000000004</v>
      </c>
      <c r="H105" s="631"/>
      <c r="I105"/>
      <c r="J105"/>
      <c r="K105"/>
      <c r="L105" s="466"/>
      <c r="M105" s="466"/>
    </row>
    <row r="106" spans="3:13" s="191" customFormat="1" ht="15" customHeight="1">
      <c r="C106" s="654"/>
      <c r="D106" s="650"/>
      <c r="E106" s="659" t="str">
        <f>IF(Indice_index!$Z$1=1,"096 - Contingência Covid 2019 - Garantir Normalidade","096 - Covid Contingency 2019 - Ensure Normality")</f>
        <v>096 - Covid Contingency 2019 - Ensure Normality</v>
      </c>
      <c r="F106" s="653">
        <v>7.9231999999999997E-2</v>
      </c>
      <c r="G106" s="653">
        <v>4.9582000000000001E-2</v>
      </c>
      <c r="H106" s="631"/>
      <c r="I106"/>
      <c r="J106"/>
      <c r="K106"/>
      <c r="L106" s="466"/>
      <c r="M106" s="466"/>
    </row>
    <row r="107" spans="3:13" s="191" customFormat="1" ht="15" customHeight="1">
      <c r="C107" s="654"/>
      <c r="D107" s="670"/>
      <c r="E107" s="650" t="str">
        <f>D103</f>
        <v>P012 - Culture</v>
      </c>
      <c r="F107" s="671">
        <f>SUM(F103:F106)</f>
        <v>48.617240000000002</v>
      </c>
      <c r="G107" s="671">
        <f>SUM(G103:G106)</f>
        <v>17.325275000000001</v>
      </c>
      <c r="H107" s="631"/>
      <c r="I107"/>
      <c r="J107"/>
      <c r="K107"/>
      <c r="L107" s="466"/>
      <c r="M107" s="466"/>
    </row>
    <row r="108" spans="3:13" s="191" customFormat="1" ht="15" customHeight="1">
      <c r="C108" s="654"/>
      <c r="D108" s="661"/>
      <c r="E108" s="651" t="str">
        <f>IF(Indice_index!$Z$1=1,"P012 - Cultura, excluindo RTP","P012 - Culture, excluding RTP, the Portuguese public broadcaster")</f>
        <v>P012 - Culture, excluding RTP, the Portuguese public broadcaster</v>
      </c>
      <c r="F108" s="657">
        <v>20.748101999999999</v>
      </c>
      <c r="G108" s="657">
        <f>G107</f>
        <v>17.325275000000001</v>
      </c>
      <c r="H108" s="631"/>
      <c r="I108"/>
      <c r="J108"/>
      <c r="K108"/>
      <c r="L108" s="466"/>
      <c r="M108" s="466"/>
    </row>
    <row r="109" spans="3:13" s="191" customFormat="1" ht="15" customHeight="1">
      <c r="C109" s="654" t="str">
        <f>IF(Indice_index!$Z$1=1,"MCTES","MSHE")</f>
        <v>MSHE</v>
      </c>
      <c r="D109" s="1685" t="str">
        <f>IF(Indice_index!$Z$1=1,"P013 - Ciência, Tecnologia e Ens. Superior","P013 - Science and Higher Education")</f>
        <v>P013 - Science and Higher Education</v>
      </c>
      <c r="E109" s="651" t="str">
        <f>IF(Indice_index!$Z$1=1,"001 - Serv. Gerais da A.P. - Administração geral","001 - General public services - General Administration")</f>
        <v>001 - General public services - General Administration</v>
      </c>
      <c r="F109" s="652">
        <v>0.49701000000000001</v>
      </c>
      <c r="G109" s="652">
        <v>0</v>
      </c>
      <c r="H109" s="631"/>
      <c r="I109"/>
      <c r="J109"/>
      <c r="K109"/>
      <c r="L109" s="466"/>
      <c r="M109" s="466"/>
    </row>
    <row r="110" spans="3:13" s="191" customFormat="1" ht="15" customHeight="1">
      <c r="C110" s="654"/>
      <c r="D110" s="1686"/>
      <c r="E110" s="659" t="str">
        <f>IF(Indice_index!$Z$1=1,"004 - Serv. Gerais da A.P. - Investigação científica de carácter geral","004 - General public services - General scientific research")</f>
        <v>004 - General public services - General scientific research</v>
      </c>
      <c r="F110" s="653">
        <v>9.9788000000000002E-2</v>
      </c>
      <c r="G110" s="653">
        <v>1.4893999999999999E-2</v>
      </c>
      <c r="H110" s="631"/>
      <c r="I110"/>
      <c r="J110"/>
      <c r="K110"/>
      <c r="L110" s="466"/>
      <c r="M110" s="466"/>
    </row>
    <row r="111" spans="3:13" s="191" customFormat="1" ht="15" customHeight="1">
      <c r="C111" s="654"/>
      <c r="D111" s="650"/>
      <c r="E111" s="659" t="str">
        <f>IF(Indice_index!$Z$1=1,"015 - Educação - Administração e regulamentação","015 - Education - Administration and regulations")</f>
        <v>015 - Education - Administration and regulations</v>
      </c>
      <c r="F111" s="653">
        <v>0.311975</v>
      </c>
      <c r="G111" s="653">
        <v>2.391223000000001E-2</v>
      </c>
      <c r="H111" s="631"/>
      <c r="I111"/>
      <c r="J111"/>
      <c r="K111"/>
      <c r="L111" s="466"/>
      <c r="M111" s="466"/>
    </row>
    <row r="112" spans="3:13" s="191" customFormat="1" ht="15" customHeight="1">
      <c r="C112" s="654"/>
      <c r="D112" s="650"/>
      <c r="E112" s="659" t="str">
        <f>IF(Indice_index!$Z$1=1,"016 - Educação – Investigação","016 - Education - Research")</f>
        <v>016 - Education - Research</v>
      </c>
      <c r="F112" s="653">
        <v>4.7953999999999997E-2</v>
      </c>
      <c r="G112" s="653">
        <v>3.2779999999999997E-2</v>
      </c>
      <c r="H112" s="631"/>
      <c r="I112"/>
      <c r="J112"/>
      <c r="K112"/>
      <c r="L112" s="466"/>
      <c r="M112" s="466"/>
    </row>
    <row r="113" spans="3:13" s="191" customFormat="1" ht="15" customHeight="1">
      <c r="C113" s="654"/>
      <c r="D113" s="650"/>
      <c r="E113" s="659" t="str">
        <f>IF(Indice_index!$Z$1=1,"018 - Educação - Estabelecimentos de ensino superior","018 - Education - Higher educations institutions")</f>
        <v>018 - Education - Higher educations institutions</v>
      </c>
      <c r="F113" s="653">
        <v>9.5940000000000001E-3</v>
      </c>
      <c r="G113" s="653">
        <v>2.7284841053187848E-18</v>
      </c>
      <c r="H113" s="631"/>
      <c r="I113"/>
      <c r="J113"/>
      <c r="K113"/>
      <c r="L113" s="466"/>
      <c r="M113" s="466"/>
    </row>
    <row r="114" spans="3:13" s="191" customFormat="1" ht="15" customHeight="1">
      <c r="C114" s="654"/>
      <c r="D114" s="650"/>
      <c r="E114" s="659" t="str">
        <f>IF(Indice_index!$Z$1=1,"019 - Educação - Serviços auxiliares de ensino","019 - Education - Educational ancillary services")</f>
        <v>019 - Education - Educational ancillary services</v>
      </c>
      <c r="F114" s="653">
        <v>8.3030999999999994E-2</v>
      </c>
      <c r="G114" s="653">
        <v>0</v>
      </c>
      <c r="H114" s="631"/>
      <c r="I114"/>
      <c r="J114"/>
      <c r="K114"/>
      <c r="L114" s="466"/>
      <c r="M114" s="466"/>
    </row>
    <row r="115" spans="3:13" s="191" customFormat="1" ht="15" customHeight="1">
      <c r="C115" s="654"/>
      <c r="D115" s="650"/>
      <c r="E115" s="659" t="str">
        <f>IF(Indice_index!$Z$1=1,"095 - Contingência Covid 2019 - Prevenção, contenção, mitigação e tratamento","095 - Covid 2019 Contingency - Prevention, Containment, Mitigation and Treatment")</f>
        <v>095 - Covid 2019 Contingency - Prevention, Containment, Mitigation and Treatment</v>
      </c>
      <c r="F115" s="653">
        <v>5.1180000000000003E-2</v>
      </c>
      <c r="G115" s="653">
        <v>0</v>
      </c>
      <c r="H115" s="631"/>
      <c r="I115"/>
      <c r="J115"/>
      <c r="K115"/>
      <c r="L115" s="466"/>
      <c r="M115" s="466"/>
    </row>
    <row r="116" spans="3:13" s="191" customFormat="1" ht="15" customHeight="1">
      <c r="C116" s="654"/>
      <c r="D116" s="650"/>
      <c r="E116" s="659" t="str">
        <f>IF(Indice_index!$Z$1=1,"096 - Contingência Covid 2019 - Garantir Normalidade","096 - Covid Contingency 2019 - Ensure Normality")</f>
        <v>096 - Covid Contingency 2019 - Ensure Normality</v>
      </c>
      <c r="F116" s="653">
        <v>2.6849999999999999E-3</v>
      </c>
      <c r="G116" s="653">
        <v>0</v>
      </c>
      <c r="H116" s="631"/>
      <c r="I116"/>
      <c r="J116"/>
      <c r="K116"/>
      <c r="L116" s="466"/>
      <c r="M116" s="466"/>
    </row>
    <row r="117" spans="3:13" s="191" customFormat="1" ht="15" customHeight="1">
      <c r="C117" s="654"/>
      <c r="D117" s="670"/>
      <c r="E117" s="650" t="str">
        <f>D109</f>
        <v>P013 - Science and Higher Education</v>
      </c>
      <c r="F117" s="672">
        <f>SUM(F109:F116)</f>
        <v>1.1032170000000001</v>
      </c>
      <c r="G117" s="672">
        <f t="shared" ref="G117" si="1">SUM(G109:G116)</f>
        <v>7.1586230000000001E-2</v>
      </c>
      <c r="H117" s="631"/>
      <c r="I117"/>
      <c r="J117"/>
      <c r="K117"/>
      <c r="L117" s="466"/>
      <c r="M117" s="466"/>
    </row>
    <row r="118" spans="3:13" s="191" customFormat="1" ht="15" customHeight="1">
      <c r="C118" s="654"/>
      <c r="D118" s="661"/>
      <c r="E118" s="651" t="str">
        <f>IF(Indice_index!$Z$1=1,"Instituições de Ensino Superior","Higher Education Institutions")</f>
        <v>Higher Education Institutions</v>
      </c>
      <c r="F118" s="657">
        <v>0</v>
      </c>
      <c r="G118" s="657">
        <v>0</v>
      </c>
      <c r="H118" s="631"/>
      <c r="I118"/>
      <c r="J118"/>
      <c r="K118"/>
      <c r="L118" s="466"/>
      <c r="M118" s="466"/>
    </row>
    <row r="119" spans="3:13" s="191" customFormat="1" ht="15" customHeight="1">
      <c r="C119" s="654" t="str">
        <f>IF(Indice_index!$Z$1=1,"MEd","MEd")</f>
        <v>MEd</v>
      </c>
      <c r="D119" s="1685" t="str">
        <f>IF(Indice_index!$Z$1=1,"P014 - Ensino Básico e Secundário e Adm. Escolar","P014 - Basic and Secondary Education and School Administration")</f>
        <v>P014 - Basic and Secondary Education and School Administration</v>
      </c>
      <c r="E119" s="651" t="str">
        <f>IF(Indice_index!$Z$1=1,"003 - Serv. Gerais da A.P. - Cooperação económica externa","003 - General public services - External economic cooperation")</f>
        <v>003 - General public services - External economic cooperation</v>
      </c>
      <c r="F119" s="652">
        <v>0.62456800000000001</v>
      </c>
      <c r="G119" s="652">
        <v>0.53570200000000001</v>
      </c>
      <c r="H119" s="631"/>
      <c r="I119"/>
      <c r="J119"/>
      <c r="K119"/>
      <c r="L119" s="466"/>
      <c r="M119" s="466"/>
    </row>
    <row r="120" spans="3:13" s="191" customFormat="1" ht="15" customHeight="1">
      <c r="C120" s="654"/>
      <c r="D120" s="1686"/>
      <c r="E120" s="659" t="str">
        <f>IF(Indice_index!$Z$1=1,"015 - Educação - Administração e regulamentação","015 - Education - Administration and regulations")</f>
        <v>015 - Education - Administration and regulations</v>
      </c>
      <c r="F120" s="653">
        <v>12.099042000000001</v>
      </c>
      <c r="G120" s="653">
        <v>9.1132411999999992</v>
      </c>
      <c r="H120" s="631"/>
      <c r="I120"/>
      <c r="J120"/>
      <c r="K120"/>
      <c r="L120" s="466"/>
      <c r="M120" s="466"/>
    </row>
    <row r="121" spans="3:13" s="191" customFormat="1" ht="15" customHeight="1">
      <c r="C121" s="654"/>
      <c r="D121" s="650"/>
      <c r="E121" s="659" t="str">
        <f>IF(Indice_index!$Z$1=1,"017 - Educação - Estabelecimentos de ensino não superior","017 - Education - Non higher educations institutions")</f>
        <v>017 - Education - Non higher educations institutions</v>
      </c>
      <c r="F121" s="653">
        <v>9.8319600000000005</v>
      </c>
      <c r="G121" s="653">
        <v>1.2600061</v>
      </c>
      <c r="H121" s="631"/>
      <c r="I121"/>
      <c r="J121"/>
      <c r="K121"/>
      <c r="L121" s="466"/>
      <c r="M121" s="466"/>
    </row>
    <row r="122" spans="3:13" s="191" customFormat="1" ht="15" customHeight="1">
      <c r="C122" s="654"/>
      <c r="D122" s="650"/>
      <c r="E122" s="659" t="str">
        <f>IF(Indice_index!$Z$1=1,"019 - Educação - Serviços auxiliares de ensino","019 - Education - Educational ancillary services")</f>
        <v>019 - Education - Educational ancillary services</v>
      </c>
      <c r="F122" s="653">
        <v>5.8192950000000003</v>
      </c>
      <c r="G122" s="653">
        <v>3.0991219999999999</v>
      </c>
      <c r="H122" s="631"/>
      <c r="I122"/>
      <c r="J122"/>
      <c r="K122"/>
      <c r="L122" s="466"/>
      <c r="M122" s="466"/>
    </row>
    <row r="123" spans="3:13" s="191" customFormat="1" ht="15" customHeight="1">
      <c r="C123" s="654"/>
      <c r="D123" s="650"/>
      <c r="E123" s="659" t="str">
        <f>IF(Indice_index!$Z$1=1,"037 - Serviços culturais, recreativos e religiosos - Desporto, recreio e lazer","037 - Cultural, recreational and religious services - Sports, recreation and leisure")</f>
        <v>037 - Cultural, recreational and religious services - Sports, recreation and leisure</v>
      </c>
      <c r="F123" s="653">
        <v>0.76096299999999995</v>
      </c>
      <c r="G123" s="653">
        <v>0.66132100000000005</v>
      </c>
      <c r="H123" s="631"/>
      <c r="I123"/>
      <c r="J123"/>
      <c r="K123"/>
      <c r="L123" s="466"/>
      <c r="M123" s="466"/>
    </row>
    <row r="124" spans="3:13" s="191" customFormat="1" ht="15" customHeight="1">
      <c r="C124" s="654"/>
      <c r="D124" s="650"/>
      <c r="E124" s="659" t="str">
        <f>IF(Indice_index!$Z$1=1,"095 - Contingência Covid 2019 - Prevenção, contenção, mitigação e tratamento","095 - Covid 2019 Contingency - Prevention, Containment, Mitigation and Treatment")</f>
        <v>095 - Covid 2019 Contingency - Prevention, Containment, Mitigation and Treatment</v>
      </c>
      <c r="F124" s="653">
        <v>6.2259000000000002E-2</v>
      </c>
      <c r="G124" s="653">
        <v>4.9689999999999998E-2</v>
      </c>
      <c r="H124" s="631"/>
      <c r="I124"/>
      <c r="J124"/>
      <c r="K124"/>
      <c r="L124" s="466"/>
      <c r="M124" s="466"/>
    </row>
    <row r="125" spans="3:13" s="191" customFormat="1" ht="15" customHeight="1">
      <c r="C125" s="654"/>
      <c r="D125" s="650"/>
      <c r="E125" s="659" t="str">
        <f>IF(Indice_index!$Z$1=1,"096 - Contingência Covid 2019 - Garantir Normalidade","096 - Covid Contingency 2019 - Ensure Normality")</f>
        <v>096 - Covid Contingency 2019 - Ensure Normality</v>
      </c>
      <c r="F125" s="653">
        <v>8.5679999999999992E-3</v>
      </c>
      <c r="G125" s="653">
        <v>7.8180000000000003E-3</v>
      </c>
      <c r="H125" s="631"/>
      <c r="I125"/>
      <c r="J125"/>
      <c r="K125"/>
      <c r="L125" s="466"/>
      <c r="M125" s="466"/>
    </row>
    <row r="126" spans="3:13" s="191" customFormat="1" ht="15" customHeight="1">
      <c r="C126" s="654"/>
      <c r="D126" s="670"/>
      <c r="E126" s="650" t="str">
        <f>D119</f>
        <v>P014 - Basic and Secondary Education and School Administration</v>
      </c>
      <c r="F126" s="671">
        <f>SUM(F119:F125)</f>
        <v>29.206655000000005</v>
      </c>
      <c r="G126" s="671">
        <f>SUM(G119:G125)</f>
        <v>14.726900299999999</v>
      </c>
      <c r="H126" s="631"/>
      <c r="I126"/>
      <c r="J126"/>
      <c r="K126"/>
      <c r="L126" s="466"/>
      <c r="M126" s="466"/>
    </row>
    <row r="127" spans="3:13" s="191" customFormat="1" ht="15" customHeight="1">
      <c r="C127" s="654"/>
      <c r="D127" s="661"/>
      <c r="E127" s="651" t="str">
        <f>IF(Indice_index!$Z$1=1,"Estabelecimentos de Educação e Ensino Básico e Secundário","Education establishments and primary and secondary education")</f>
        <v>Education establishments and primary and secondary education</v>
      </c>
      <c r="F127" s="657">
        <v>0</v>
      </c>
      <c r="G127" s="657">
        <v>0</v>
      </c>
      <c r="H127" s="631"/>
      <c r="I127"/>
      <c r="J127"/>
      <c r="K127"/>
      <c r="L127" s="466"/>
      <c r="M127" s="466"/>
    </row>
    <row r="128" spans="3:13" s="191" customFormat="1" ht="15" customHeight="1">
      <c r="C128" s="654" t="str">
        <f>IF(Indice_index!$Z$1=1,"MTSSS","MLSSF")</f>
        <v>MLSSF</v>
      </c>
      <c r="D128" s="1685" t="str">
        <f>IF(Indice_index!$Z$1=1,"P015 - Trabalho, Solidariedade e Seg. Social","P015 - Work, Solidarity and Social Security")</f>
        <v>P015 - Work, Solidarity and Social Security</v>
      </c>
      <c r="E128" s="651" t="str">
        <f>IF(Indice_index!$Z$1=1,"001 - Serv. Gerais da A.P. - Administração geral","001 - General public services - General Administration")</f>
        <v>001 - General public services - General Administration</v>
      </c>
      <c r="F128" s="652">
        <v>5.3149000000000002E-2</v>
      </c>
      <c r="G128" s="652">
        <v>5.3149000000000002E-2</v>
      </c>
      <c r="H128" s="631"/>
      <c r="I128"/>
      <c r="J128"/>
      <c r="K128"/>
      <c r="L128" s="466"/>
      <c r="M128" s="466"/>
    </row>
    <row r="129" spans="3:13" s="191" customFormat="1" ht="15" customHeight="1">
      <c r="C129" s="654"/>
      <c r="D129" s="1686"/>
      <c r="E129" s="659" t="str">
        <f>IF(Indice_index!$Z$1=1,"003 - Serv. Gerais da A.P. - Cooperação económica externa","003 - General public services - External economic cooperation")</f>
        <v>003 - General public services - External economic cooperation</v>
      </c>
      <c r="F129" s="653">
        <v>0.33606799999999998</v>
      </c>
      <c r="G129" s="653">
        <v>0.34900700000000001</v>
      </c>
      <c r="H129" s="631"/>
      <c r="I129"/>
      <c r="J129"/>
      <c r="K129"/>
      <c r="L129" s="466"/>
      <c r="M129" s="466"/>
    </row>
    <row r="130" spans="3:13" s="191" customFormat="1" ht="15" customHeight="1">
      <c r="C130" s="654"/>
      <c r="D130" s="650"/>
      <c r="E130" s="659" t="str">
        <f>IF(Indice_index!$Z$1=1,"024 - Segurança e acção social - Administração e regulamentação","024 - Social Security and Action - Administration and regulations")</f>
        <v>024 - Social Security and Action - Administration and regulations</v>
      </c>
      <c r="F130" s="653">
        <v>0.59371700000000005</v>
      </c>
      <c r="G130" s="653">
        <v>0.56816800000000001</v>
      </c>
      <c r="H130" s="631"/>
      <c r="I130"/>
      <c r="J130"/>
      <c r="K130"/>
      <c r="L130" s="466"/>
      <c r="M130" s="466"/>
    </row>
    <row r="131" spans="3:13" s="191" customFormat="1" ht="15" customHeight="1">
      <c r="C131" s="654"/>
      <c r="D131" s="650"/>
      <c r="E131" s="659" t="str">
        <f>IF(Indice_index!$Z$1=1,"026 - Segurança e acção social - Segurança social","026 - Social Security and Action - Social Security")</f>
        <v>026 - Social Security and Action - Social Security</v>
      </c>
      <c r="F131" s="653">
        <v>9.3975220000000004</v>
      </c>
      <c r="G131" s="653">
        <v>9.3975220000000004</v>
      </c>
      <c r="H131" s="631"/>
      <c r="I131"/>
      <c r="J131"/>
      <c r="K131"/>
      <c r="L131" s="466"/>
      <c r="M131" s="466"/>
    </row>
    <row r="132" spans="3:13" s="191" customFormat="1" ht="15" customHeight="1">
      <c r="C132" s="654"/>
      <c r="D132" s="650"/>
      <c r="E132" s="659" t="str">
        <f>IF(Indice_index!$Z$1=1,"027 - Segurança e acção social - Acção social","027 - Social Security and Action - Social Action")</f>
        <v>027 - Social Security and Action - Social Action</v>
      </c>
      <c r="F132" s="653">
        <v>16.982510999999999</v>
      </c>
      <c r="G132" s="653">
        <v>16.811458999999999</v>
      </c>
      <c r="H132" s="631"/>
      <c r="I132"/>
      <c r="J132"/>
      <c r="K132"/>
      <c r="L132" s="466"/>
      <c r="M132" s="466"/>
    </row>
    <row r="133" spans="3:13" s="191" customFormat="1" ht="15" customHeight="1">
      <c r="C133" s="654"/>
      <c r="D133" s="650"/>
      <c r="E133" s="659" t="str">
        <f>IF(Indice_index!$Z$1=1,"064 - Outras funções económicas - Relações gerais do trabalho","064 - Other economic functions - General labor relations")</f>
        <v>064 - Other economic functions - General labor relations</v>
      </c>
      <c r="F133" s="653">
        <v>14.359382</v>
      </c>
      <c r="G133" s="653">
        <v>16.083539999999999</v>
      </c>
      <c r="H133" s="631"/>
      <c r="I133"/>
      <c r="J133"/>
      <c r="K133"/>
      <c r="L133" s="466"/>
      <c r="M133" s="466"/>
    </row>
    <row r="134" spans="3:13" s="191" customFormat="1" ht="15" customHeight="1">
      <c r="C134" s="654"/>
      <c r="D134" s="650"/>
      <c r="E134" s="659" t="str">
        <f>IF(Indice_index!$Z$1=1,"065 - Outras funções económicas - Diversas não especificadas","065 - Other economic functions - Various unspecified")</f>
        <v>065 - Other economic functions - Various unspecified</v>
      </c>
      <c r="F134" s="653">
        <v>0.14274500000000001</v>
      </c>
      <c r="G134" s="653">
        <v>0.14274500000000001</v>
      </c>
      <c r="H134" s="631"/>
      <c r="I134"/>
      <c r="J134"/>
      <c r="K134"/>
      <c r="L134" s="466"/>
      <c r="M134" s="466"/>
    </row>
    <row r="135" spans="3:13" s="191" customFormat="1" ht="15" customHeight="1">
      <c r="C135" s="654"/>
      <c r="D135" s="650"/>
      <c r="E135" s="659"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35" s="653">
        <v>0.12621399999999999</v>
      </c>
      <c r="G135" s="653">
        <v>0</v>
      </c>
      <c r="H135" s="631"/>
      <c r="I135"/>
      <c r="J135"/>
      <c r="K135"/>
      <c r="L135" s="466"/>
      <c r="M135" s="466"/>
    </row>
    <row r="136" spans="3:13" s="191" customFormat="1" ht="15" customHeight="1">
      <c r="C136" s="654"/>
      <c r="D136" s="650"/>
      <c r="E136" s="659" t="str">
        <f>IF(Indice_index!$Z$1=1,"083 - Segurança e Ação Social - Integração da pessoa com deficiência","083 - Social Security and Action - Integration of the handicapped person")</f>
        <v>083 - Social Security and Action - Integration of the handicapped person</v>
      </c>
      <c r="F136" s="653">
        <v>0.36926199999999998</v>
      </c>
      <c r="G136" s="653">
        <v>0.43664799999999998</v>
      </c>
      <c r="H136" s="631"/>
      <c r="I136"/>
      <c r="J136"/>
      <c r="K136"/>
      <c r="L136" s="466"/>
      <c r="M136" s="466"/>
    </row>
    <row r="137" spans="3:13" s="191" customFormat="1" ht="15" customHeight="1">
      <c r="C137" s="654"/>
      <c r="D137" s="650"/>
      <c r="E137" s="659" t="str">
        <f>IF(Indice_index!$Z$1=1,"095 - Contingência Covid 2019 - Prevenção, contenção, mitigação e tratamento","095 - Covid 2019 Contingency - Prevention, Containment, Mitigation and Treatment")</f>
        <v>095 - Covid 2019 Contingency - Prevention, Containment, Mitigation and Treatment</v>
      </c>
      <c r="F137" s="653">
        <v>2.1504810000000001</v>
      </c>
      <c r="G137" s="653">
        <v>2.151052</v>
      </c>
      <c r="H137" s="631"/>
      <c r="I137"/>
      <c r="J137"/>
      <c r="K137"/>
      <c r="L137" s="466"/>
      <c r="M137" s="466"/>
    </row>
    <row r="138" spans="3:13" s="191" customFormat="1" ht="15" customHeight="1">
      <c r="C138" s="654"/>
      <c r="D138" s="650"/>
      <c r="E138" s="659" t="str">
        <f>IF(Indice_index!$Z$1=1,"096 - Contingência Covid 2019 - Garantir Normalidade","096 - Covid Contingency 2019 - Ensure Normality")</f>
        <v>096 - Covid Contingency 2019 - Ensure Normality</v>
      </c>
      <c r="F138" s="653">
        <v>0.182505</v>
      </c>
      <c r="G138" s="653">
        <v>0.182505</v>
      </c>
      <c r="H138" s="631"/>
      <c r="I138"/>
      <c r="J138"/>
      <c r="K138"/>
      <c r="L138" s="466"/>
      <c r="M138" s="466"/>
    </row>
    <row r="139" spans="3:13" s="191" customFormat="1" ht="15" customHeight="1">
      <c r="C139" s="654"/>
      <c r="D139" s="655"/>
      <c r="E139" s="661" t="str">
        <f>D128</f>
        <v>P015 - Work, Solidarity and Social Security</v>
      </c>
      <c r="F139" s="664">
        <f>SUM(F128:F138)</f>
        <v>44.693555999999987</v>
      </c>
      <c r="G139" s="664">
        <f>SUM(G128:G138)</f>
        <v>46.175794999999994</v>
      </c>
      <c r="H139" s="631"/>
      <c r="I139"/>
      <c r="J139"/>
      <c r="K139"/>
      <c r="L139" s="466"/>
      <c r="M139" s="466"/>
    </row>
    <row r="140" spans="3:13" s="191" customFormat="1" ht="15" customHeight="1">
      <c r="C140" s="654" t="str">
        <f>IF(Indice_index!$Z$1=1,"MS","MH")</f>
        <v>MH</v>
      </c>
      <c r="D140" s="650" t="str">
        <f>IF(Indice_index!$Z$1=1,"P016 - Saúde","P016 - Health")</f>
        <v>P016 - Health</v>
      </c>
      <c r="E140" s="651" t="str">
        <f>IF(Indice_index!$Z$1=1,"020 - Saúde - Administração e regulamentação","020 - Health - Administration and regulations")</f>
        <v>020 - Health - Administration and regulations</v>
      </c>
      <c r="F140" s="652">
        <v>0.64958199999999999</v>
      </c>
      <c r="G140" s="652">
        <v>0.69458200000000003</v>
      </c>
      <c r="H140" s="631"/>
      <c r="I140"/>
      <c r="J140"/>
      <c r="K140"/>
      <c r="L140" s="466"/>
      <c r="M140" s="466"/>
    </row>
    <row r="141" spans="3:13" s="191" customFormat="1" ht="15" customHeight="1">
      <c r="C141" s="654"/>
      <c r="D141" s="654"/>
      <c r="E141" s="659" t="str">
        <f>IF(Indice_index!$Z$1=1,"095 - Contingência Covid 2019 - Prevenção, contenção, mitigação e tratamento","095 - Covid 2019 Contingency - Prevention, Containment, Mitigation and Treatment")</f>
        <v>095 - Covid 2019 Contingency - Prevention, Containment, Mitigation and Treatment</v>
      </c>
      <c r="F141" s="653">
        <v>7.0829999999999999E-3</v>
      </c>
      <c r="G141" s="653">
        <v>7.0829999999999999E-3</v>
      </c>
      <c r="H141" s="631"/>
      <c r="I141"/>
      <c r="J141"/>
      <c r="K141"/>
      <c r="L141" s="466"/>
      <c r="M141" s="466"/>
    </row>
    <row r="142" spans="3:13" s="191" customFormat="1" ht="15" customHeight="1">
      <c r="C142" s="654"/>
      <c r="D142" s="650"/>
      <c r="E142" s="659" t="str">
        <f>IF(Indice_index!$Z$1=1,"096 - Contingência Covid 2019 - Garantir Normalidade","096 - Covid Contingency 2019 - Ensure Normality")</f>
        <v>096 - Covid Contingency 2019 - Ensure Normality</v>
      </c>
      <c r="F142" s="653">
        <v>6.5899999999999997E-4</v>
      </c>
      <c r="G142" s="653">
        <v>6.5899999999999997E-4</v>
      </c>
      <c r="H142" s="631"/>
      <c r="I142"/>
      <c r="J142"/>
      <c r="K142"/>
      <c r="L142" s="466"/>
      <c r="M142" s="466"/>
    </row>
    <row r="143" spans="3:13" s="191" customFormat="1" ht="15" customHeight="1">
      <c r="C143" s="654"/>
      <c r="D143" s="670"/>
      <c r="E143" s="650" t="str">
        <f>D140</f>
        <v>P016 - Health</v>
      </c>
      <c r="F143" s="671">
        <f>SUM(F140:F142)</f>
        <v>0.65732399999999991</v>
      </c>
      <c r="G143" s="671">
        <f t="shared" ref="G143" si="2">SUM(G140:G142)</f>
        <v>0.70232399999999995</v>
      </c>
      <c r="H143" s="631"/>
      <c r="I143"/>
      <c r="J143"/>
      <c r="K143"/>
      <c r="L143" s="466"/>
      <c r="M143" s="466"/>
    </row>
    <row r="144" spans="3:13" s="191" customFormat="1" ht="15" customHeight="1">
      <c r="C144" s="654"/>
      <c r="D144" s="661"/>
      <c r="E144" s="651" t="str">
        <f>IF(Indice_index!$Z$1=1,"Serviço Nacional de Saúde","National Health Service")</f>
        <v>National Health Service</v>
      </c>
      <c r="F144" s="657">
        <v>0</v>
      </c>
      <c r="G144" s="657">
        <v>0</v>
      </c>
      <c r="H144" s="631"/>
      <c r="I144"/>
      <c r="J144"/>
      <c r="K144"/>
      <c r="L144" s="466"/>
      <c r="M144" s="466"/>
    </row>
    <row r="145" spans="3:13" s="191" customFormat="1" ht="15" customHeight="1">
      <c r="C145" s="654" t="str">
        <f>IF(Indice_index!$Z$1=1,"MAAC","MECA")</f>
        <v>MECA</v>
      </c>
      <c r="D145" s="654" t="str">
        <f>IF(Indice_index!$Z$1=1,"P017 - Ambiente e Ação Climática","P017 -  Environment and Climate Action")</f>
        <v>P017 -  Environment and Climate Action</v>
      </c>
      <c r="E145" s="659" t="str">
        <f>IF(Indice_index!$Z$1=1,"031 - Habitação e serv. Colectivos - Ordenamento do território","031 - Housing and Common services - Land-use")</f>
        <v>031 - Housing and Common services - Land-use</v>
      </c>
      <c r="F145" s="653">
        <v>0.93306199999999995</v>
      </c>
      <c r="G145" s="653">
        <v>0.65209099999999998</v>
      </c>
      <c r="H145" s="631"/>
      <c r="I145"/>
      <c r="J145"/>
      <c r="K145"/>
      <c r="L145" s="466"/>
      <c r="M145" s="466"/>
    </row>
    <row r="146" spans="3:13" s="191" customFormat="1" ht="15" customHeight="1">
      <c r="C146" s="654"/>
      <c r="D146" s="654"/>
      <c r="E146" s="659"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46" s="653">
        <v>12.671352000000001</v>
      </c>
      <c r="G146" s="653">
        <v>12.85267</v>
      </c>
      <c r="H146" s="631"/>
      <c r="I146"/>
      <c r="J146"/>
      <c r="K146"/>
      <c r="L146" s="466"/>
      <c r="M146" s="466"/>
    </row>
    <row r="147" spans="3:13" s="191" customFormat="1" ht="15" customHeight="1">
      <c r="C147" s="654"/>
      <c r="D147" s="650"/>
      <c r="E147" s="659" t="str">
        <f>IF(Indice_index!$Z$1=1,"043 - Agricultura, pecuária, silv, caça, pesca - Silvicultura","043 - Crops, livestock, forestry, fisheries - Forestry")</f>
        <v>043 - Crops, livestock, forestry, fisheries - Forestry</v>
      </c>
      <c r="F147" s="653">
        <v>5.4694180000000001</v>
      </c>
      <c r="G147" s="653">
        <v>4.4694180000000001</v>
      </c>
      <c r="H147" s="631"/>
      <c r="I147"/>
      <c r="J147"/>
      <c r="K147"/>
      <c r="L147" s="466"/>
      <c r="M147" s="466"/>
    </row>
    <row r="148" spans="3:13" s="191" customFormat="1" ht="15" customHeight="1">
      <c r="C148" s="654"/>
      <c r="D148" s="650"/>
      <c r="E148" s="659" t="str">
        <f>IF(Indice_index!$Z$1=1,"046 - Industria e energia - administração e regulamentação","046 - Industry and energy - Administration and regulations")</f>
        <v>046 - Industry and energy - Administration and regulations</v>
      </c>
      <c r="F148" s="653">
        <v>2.898711</v>
      </c>
      <c r="G148" s="653">
        <v>2.1291530000000001</v>
      </c>
      <c r="H148" s="631"/>
      <c r="I148"/>
      <c r="J148"/>
      <c r="K148"/>
      <c r="L148" s="466"/>
      <c r="M148" s="466"/>
    </row>
    <row r="149" spans="3:13" s="191" customFormat="1" ht="15" customHeight="1">
      <c r="C149" s="654"/>
      <c r="D149" s="650"/>
      <c r="E149" s="659" t="str">
        <f>IF(Indice_index!$Z$1=1,"047 - Industria e energia - Investigação","047 - Industry and energy - Research")</f>
        <v>047 - Industry and energy - Research</v>
      </c>
      <c r="F149" s="653">
        <v>1.3555600000000001</v>
      </c>
      <c r="G149" s="653">
        <v>1.3555600000000001</v>
      </c>
      <c r="H149" s="631"/>
      <c r="I149"/>
      <c r="J149"/>
      <c r="K149"/>
      <c r="L149" s="466"/>
      <c r="M149" s="466"/>
    </row>
    <row r="150" spans="3:13" s="191" customFormat="1" ht="15" customHeight="1">
      <c r="C150" s="654"/>
      <c r="D150" s="650"/>
      <c r="E150" s="659" t="str">
        <f>IF(Indice_index!$Z$1=1,"051 - Industria e energia - Combustíveis, electricidade e outras fontes de energia","051 - Industry e energy - Fuel, electricity and other sources of energy ")</f>
        <v xml:space="preserve">051 - Industry e energy - Fuel, electricity and other sources of energy </v>
      </c>
      <c r="F150" s="653">
        <v>5.8749320000000003</v>
      </c>
      <c r="G150" s="653">
        <v>2.9480740000000001</v>
      </c>
      <c r="H150" s="631"/>
      <c r="I150"/>
      <c r="J150"/>
      <c r="K150"/>
      <c r="L150" s="466"/>
      <c r="M150" s="466"/>
    </row>
    <row r="151" spans="3:13" s="191" customFormat="1" ht="15" customHeight="1">
      <c r="C151" s="654"/>
      <c r="D151" s="650"/>
      <c r="E151" s="659" t="str">
        <f>IF(Indice_index!$Z$1=1,"055 - Transportes e comunicações - Transportes ferroviários","055 - Transport and Communications - Rail transport")</f>
        <v>055 - Transport and Communications - Rail transport</v>
      </c>
      <c r="F151" s="653">
        <v>22.078951</v>
      </c>
      <c r="G151" s="653">
        <v>22.078951</v>
      </c>
      <c r="H151" s="631"/>
      <c r="I151"/>
      <c r="J151"/>
      <c r="K151"/>
      <c r="L151" s="466"/>
      <c r="M151" s="466"/>
    </row>
    <row r="152" spans="3:13" s="191" customFormat="1" ht="15" customHeight="1">
      <c r="C152" s="654"/>
      <c r="D152" s="650"/>
      <c r="E152" s="659" t="str">
        <f>IF(Indice_index!$Z$1=1,"057 - Transportes e comunicações - Transportes marítimos e fluviais","057 - Transport and Communications - Water transport")</f>
        <v>057 - Transport and Communications - Water transport</v>
      </c>
      <c r="F152" s="653">
        <v>7.2330199999999998</v>
      </c>
      <c r="G152" s="653">
        <v>0</v>
      </c>
      <c r="H152" s="631"/>
      <c r="I152"/>
      <c r="J152"/>
      <c r="K152"/>
      <c r="L152" s="466"/>
      <c r="M152" s="466"/>
    </row>
    <row r="153" spans="3:13" s="191" customFormat="1" ht="15" customHeight="1">
      <c r="C153" s="654"/>
      <c r="D153" s="650"/>
      <c r="E153" s="659" t="str">
        <f>IF(Indice_index!$Z$1=1,"063 - Outras funções económicas - Administração e regulamentação","063 - Outher economic functions - Administration e regulation")</f>
        <v>063 - Outher economic functions - Administration e regulation</v>
      </c>
      <c r="F153" s="653">
        <v>4.0650839999999997</v>
      </c>
      <c r="G153" s="653">
        <v>3.9405552500000001</v>
      </c>
      <c r="H153" s="631"/>
      <c r="I153"/>
      <c r="J153"/>
      <c r="K153"/>
      <c r="L153" s="466"/>
      <c r="M153" s="466"/>
    </row>
    <row r="154" spans="3:13" s="191" customFormat="1" ht="15" customHeight="1">
      <c r="C154" s="654"/>
      <c r="D154" s="650"/>
      <c r="E154" s="659" t="str">
        <f>IF(Indice_index!$Z$1=1,"065 - Outras funções económicas - Diversas não especificadas","065 - Other economic functions - Various unspecified")</f>
        <v>065 - Other economic functions - Various unspecified</v>
      </c>
      <c r="F154" s="652">
        <v>1.6000000000000001E-4</v>
      </c>
      <c r="G154" s="652">
        <v>1.6000000000000001E-4</v>
      </c>
      <c r="H154" s="631"/>
      <c r="I154"/>
      <c r="J154"/>
      <c r="K154"/>
      <c r="L154" s="466"/>
      <c r="M154" s="466"/>
    </row>
    <row r="155" spans="3:13" s="191" customFormat="1" ht="15" customHeight="1">
      <c r="C155" s="654"/>
      <c r="D155" s="650"/>
      <c r="E155" s="659" t="str">
        <f>IF(Indice_index!$Z$1=1,"095 - Contingência Covid 2019 - Prevenção, contenção, mitigação e tratamento","095 - Covid 2019 Contingency - Prevention, Containment, Mitigation and Treatment")</f>
        <v>095 - Covid 2019 Contingency - Prevention, Containment, Mitigation and Treatment</v>
      </c>
      <c r="F155" s="653">
        <v>2.5655000000000001E-2</v>
      </c>
      <c r="G155" s="653">
        <v>2.5655000000000001E-2</v>
      </c>
      <c r="H155" s="631"/>
      <c r="I155"/>
      <c r="J155"/>
      <c r="K155"/>
      <c r="L155" s="466"/>
      <c r="M155" s="466"/>
    </row>
    <row r="156" spans="3:13" s="191" customFormat="1" ht="15" customHeight="1">
      <c r="C156" s="654"/>
      <c r="D156" s="650"/>
      <c r="E156" s="651" t="str">
        <f>IF(Indice_index!$Z$1=1,"096 - Contingência Covid 2019 - Garantir Normalidade","096 - Covid Contingency 2019 - Ensure Normality")</f>
        <v>096 - Covid Contingency 2019 - Ensure Normality</v>
      </c>
      <c r="F156" s="652">
        <v>0.52321499999999999</v>
      </c>
      <c r="G156" s="652">
        <v>0.52321499999999999</v>
      </c>
      <c r="H156" s="631"/>
      <c r="I156"/>
      <c r="J156"/>
      <c r="K156"/>
      <c r="L156" s="466"/>
      <c r="M156" s="466"/>
    </row>
    <row r="157" spans="3:13" s="191" customFormat="1" ht="15" customHeight="1">
      <c r="C157" s="654"/>
      <c r="D157" s="655"/>
      <c r="E157" s="661" t="str">
        <f>D145</f>
        <v>P017 -  Environment and Climate Action</v>
      </c>
      <c r="F157" s="657">
        <f>SUM(F145:F156)</f>
        <v>63.12912</v>
      </c>
      <c r="G157" s="657">
        <f>SUM(G145:G156)</f>
        <v>50.975502250000005</v>
      </c>
      <c r="H157" s="631"/>
      <c r="I157"/>
      <c r="J157"/>
      <c r="K157"/>
      <c r="L157" s="466"/>
      <c r="M157" s="466"/>
    </row>
    <row r="158" spans="3:13" s="191" customFormat="1" ht="15" customHeight="1">
      <c r="C158" s="654" t="str">
        <f>IF(Indice_index!$Z$1=1,"MIH","MIH")</f>
        <v>MIH</v>
      </c>
      <c r="D158" s="650" t="str">
        <f>IF(Indice_index!$Z$1=1,"P018 - Infraestruturas e Habitação","P018 - Infrastructures and Housing")</f>
        <v>P018 - Infrastructures and Housing</v>
      </c>
      <c r="E158" s="651" t="str">
        <f>IF(Indice_index!$Z$1=1,"001 - Serv. Gerais da A.P. - Administração geral","001 - General public services - General Administration")</f>
        <v>001 - General public services - General Administration</v>
      </c>
      <c r="F158" s="652">
        <v>0.63731400000000005</v>
      </c>
      <c r="G158" s="652">
        <v>0.42644599999999999</v>
      </c>
      <c r="H158" s="631"/>
      <c r="I158"/>
      <c r="J158"/>
      <c r="K158"/>
      <c r="L158" s="466"/>
      <c r="M158" s="466"/>
    </row>
    <row r="159" spans="3:13" s="191" customFormat="1" ht="15" customHeight="1">
      <c r="C159" s="654"/>
      <c r="D159" s="650"/>
      <c r="E159" s="659" t="str">
        <f>IF(Indice_index!$Z$1=1,"004 - Serv. Gerais da A.P. - Investigação científica de carácter geral","004 - General public services - General scientific research")</f>
        <v>004 - General public services - General scientific research</v>
      </c>
      <c r="F159" s="653">
        <v>8.7499999999999994E-2</v>
      </c>
      <c r="G159" s="653">
        <v>8.7499999999999994E-2</v>
      </c>
      <c r="H159" s="631"/>
      <c r="I159"/>
      <c r="J159"/>
      <c r="K159"/>
      <c r="L159" s="466"/>
      <c r="M159" s="466"/>
    </row>
    <row r="160" spans="3:13" s="191" customFormat="1" ht="15" customHeight="1">
      <c r="C160" s="654"/>
      <c r="D160" s="650"/>
      <c r="E160" s="659" t="str">
        <f>IF(Indice_index!$Z$1=1,"030 - Habitação e serv. Colectivos - Habitação","030 - Housing and Common services - Housing")</f>
        <v>030 - Housing and Common services - Housing</v>
      </c>
      <c r="F160" s="653">
        <v>15.364978000000001</v>
      </c>
      <c r="G160" s="653">
        <v>15.282181</v>
      </c>
      <c r="H160" s="631"/>
      <c r="I160"/>
      <c r="J160"/>
      <c r="K160"/>
      <c r="L160" s="466"/>
      <c r="M160" s="466"/>
    </row>
    <row r="161" spans="3:13" s="191" customFormat="1" ht="15" customHeight="1">
      <c r="C161" s="654"/>
      <c r="D161" s="650"/>
      <c r="E161" s="659" t="str">
        <f>IF(Indice_index!$Z$1=1,"052 - Transportes e comunicações - Administração e regulamentação","052 - Transport and Communications - Administration and regulations")</f>
        <v>052 - Transport and Communications - Administration and regulations</v>
      </c>
      <c r="F161" s="653">
        <v>15.656647</v>
      </c>
      <c r="G161" s="653">
        <v>15.913342999999999</v>
      </c>
      <c r="H161" s="631"/>
      <c r="I161"/>
      <c r="J161"/>
      <c r="K161"/>
      <c r="L161" s="466"/>
      <c r="M161" s="466"/>
    </row>
    <row r="162" spans="3:13" s="191" customFormat="1" ht="15" customHeight="1">
      <c r="C162" s="654"/>
      <c r="D162" s="650"/>
      <c r="E162" s="659" t="str">
        <f>IF(Indice_index!$Z$1=1,"054 - Transportes e comunicações - Transportes rodoviários","054 - Transport and Communications - Road transport")</f>
        <v>054 - Transport and Communications - Road transport</v>
      </c>
      <c r="F162" s="653">
        <v>3.3847559999999999</v>
      </c>
      <c r="G162" s="653">
        <v>3.3847559999999999</v>
      </c>
      <c r="H162" s="631"/>
      <c r="I162"/>
      <c r="J162"/>
      <c r="K162"/>
      <c r="L162" s="466"/>
      <c r="M162" s="466"/>
    </row>
    <row r="163" spans="3:13" s="191" customFormat="1" ht="15" customHeight="1">
      <c r="C163" s="654"/>
      <c r="D163" s="650"/>
      <c r="E163" s="659" t="str">
        <f>IF(Indice_index!$Z$1=1,"055 - Transportes e comunicações - Transportes ferroviários","055 - Transport and Communications - Rail transport")</f>
        <v>055 - Transport and Communications - Rail transport</v>
      </c>
      <c r="F163" s="653">
        <v>52.249031000000002</v>
      </c>
      <c r="G163" s="653">
        <v>52.249031000000002</v>
      </c>
      <c r="H163" s="631"/>
      <c r="I163"/>
      <c r="J163"/>
      <c r="K163"/>
      <c r="L163" s="466"/>
      <c r="M163" s="466"/>
    </row>
    <row r="164" spans="3:13" s="191" customFormat="1" ht="15" customHeight="1">
      <c r="C164" s="654"/>
      <c r="D164" s="650"/>
      <c r="E164" s="659" t="str">
        <f>IF(Indice_index!$Z$1=1,"057 - Transportes e comunicações - Transportes marítimos e fluviais","057 - Transport and Communications - Water transport")</f>
        <v>057 - Transport and Communications - Water transport</v>
      </c>
      <c r="F164" s="653">
        <v>0.5625</v>
      </c>
      <c r="G164" s="653">
        <v>0</v>
      </c>
      <c r="H164" s="631"/>
      <c r="I164"/>
      <c r="J164"/>
      <c r="K164"/>
      <c r="L164" s="466"/>
      <c r="M164" s="466"/>
    </row>
    <row r="165" spans="3:13" s="191" customFormat="1" ht="15" customHeight="1">
      <c r="C165" s="654"/>
      <c r="D165" s="650"/>
      <c r="E165" s="659" t="str">
        <f>IF(Indice_index!$Z$1=1,"063 - Outras funções económicas - Administração e regulamentação","063 - Outher economic functions - Administration e regulation")</f>
        <v>063 - Outher economic functions - Administration e regulation</v>
      </c>
      <c r="F165" s="653">
        <v>1.15882</v>
      </c>
      <c r="G165" s="653">
        <v>1.3601570000000001</v>
      </c>
      <c r="H165" s="631"/>
      <c r="I165"/>
      <c r="J165"/>
      <c r="K165"/>
      <c r="L165" s="466"/>
      <c r="M165" s="466"/>
    </row>
    <row r="166" spans="3:13" s="191" customFormat="1" ht="15" customHeight="1">
      <c r="C166" s="654"/>
      <c r="D166" s="650"/>
      <c r="E166" s="659" t="str">
        <f>IF(Indice_index!$Z$1=1,"095 - Contingência Covid 2019 - Prevenção, contenção, mitigação e tratamento","095 - Covid 2019 Contingency - Prevention, Containment, Mitigation and Treatment")</f>
        <v>095 - Covid 2019 Contingency - Prevention, Containment, Mitigation and Treatment</v>
      </c>
      <c r="F166" s="653">
        <v>0.21398300000000001</v>
      </c>
      <c r="G166" s="653">
        <v>0.21398300000000001</v>
      </c>
      <c r="H166" s="631"/>
      <c r="I166"/>
      <c r="J166"/>
      <c r="K166"/>
      <c r="L166" s="466"/>
      <c r="M166" s="466"/>
    </row>
    <row r="167" spans="3:13" s="191" customFormat="1" ht="15" customHeight="1">
      <c r="C167" s="654"/>
      <c r="D167" s="650"/>
      <c r="E167" s="659" t="str">
        <f>IF(Indice_index!$Z$1=1,"096 - Contingência Covid 2019 - Garantir Normalidade","096 - Covid Contingency 2019 - Ensure Normality")</f>
        <v>096 - Covid Contingency 2019 - Ensure Normality</v>
      </c>
      <c r="F167" s="653">
        <v>0.26324799999999998</v>
      </c>
      <c r="G167" s="653">
        <v>0.26324799999999998</v>
      </c>
      <c r="H167" s="631"/>
      <c r="I167"/>
      <c r="J167"/>
      <c r="K167"/>
      <c r="L167" s="466"/>
      <c r="M167" s="466"/>
    </row>
    <row r="168" spans="3:13" s="191" customFormat="1" ht="15" customHeight="1">
      <c r="C168" s="654"/>
      <c r="D168" s="655"/>
      <c r="E168" s="661" t="str">
        <f>D158</f>
        <v>P018 - Infrastructures and Housing</v>
      </c>
      <c r="F168" s="664">
        <f>SUM(F158:F167)</f>
        <v>89.578777000000002</v>
      </c>
      <c r="G168" s="664">
        <f>SUM(G158:G167)</f>
        <v>89.180644999999998</v>
      </c>
      <c r="H168" s="631"/>
      <c r="I168"/>
      <c r="J168"/>
      <c r="K168"/>
      <c r="L168" s="466"/>
      <c r="M168" s="466"/>
    </row>
    <row r="169" spans="3:13" s="191" customFormat="1" ht="15" customHeight="1">
      <c r="C169" s="654" t="str">
        <f>IF(Indice_index!$Z$1=1,"MA","MA")</f>
        <v>MA</v>
      </c>
      <c r="D169" s="650" t="str">
        <f>IF(Indice_index!$Z$1=1,"P020 - Agricultura","P020 - Agriculture")</f>
        <v>P020 - Agriculture</v>
      </c>
      <c r="E169" s="659" t="str">
        <f>IF(Indice_index!$Z$1=1,"040 - Agricultura, pecuária, silv, caça, pesca - Administração e regulamentação","040 - Crops, livestock, forestry, fisheries - Administration and regulations")</f>
        <v>040 - Crops, livestock, forestry, fisheries - Administration and regulations</v>
      </c>
      <c r="F169" s="653">
        <v>3.6731609999999999</v>
      </c>
      <c r="G169" s="653">
        <v>3.36029</v>
      </c>
      <c r="H169" s="631"/>
      <c r="I169"/>
      <c r="J169"/>
      <c r="K169"/>
      <c r="L169" s="466"/>
      <c r="M169" s="466"/>
    </row>
    <row r="170" spans="3:13" s="191" customFormat="1" ht="15" customHeight="1">
      <c r="C170" s="654"/>
      <c r="D170" s="650"/>
      <c r="E170" s="659" t="str">
        <f>IF(Indice_index!$Z$1=1,"041 - Agricultura, pecuária, silv, caça, pesca - Investigação","041 - Crops, livestock, forestry, fisheries - Research")</f>
        <v>041 - Crops, livestock, forestry, fisheries - Research</v>
      </c>
      <c r="F170" s="653">
        <v>3.7187999999999999E-2</v>
      </c>
      <c r="G170" s="653">
        <v>3.7187999999999999E-2</v>
      </c>
      <c r="H170" s="631"/>
      <c r="I170"/>
      <c r="J170"/>
      <c r="K170"/>
      <c r="L170" s="466"/>
      <c r="M170" s="466"/>
    </row>
    <row r="171" spans="3:13" s="191" customFormat="1" ht="15" customHeight="1">
      <c r="C171" s="654"/>
      <c r="D171" s="650"/>
      <c r="E171" s="659" t="str">
        <f>IF(Indice_index!$Z$1=1,"042 - Agricultura, pecuária, silv, caça, pesca - Agricultura e pecuária","042 - Crops, livestock, forestry, fisheries - Crops and livestock")</f>
        <v>042 - Crops, livestock, forestry, fisheries - Crops and livestock</v>
      </c>
      <c r="F171" s="653">
        <v>22.532931000000001</v>
      </c>
      <c r="G171" s="653">
        <v>4.0959789999999998</v>
      </c>
      <c r="H171" s="631"/>
      <c r="I171"/>
      <c r="J171"/>
      <c r="K171"/>
      <c r="L171" s="466"/>
      <c r="M171" s="466"/>
    </row>
    <row r="172" spans="3:13" s="191" customFormat="1" ht="15" customHeight="1">
      <c r="C172" s="654"/>
      <c r="D172" s="650"/>
      <c r="E172" s="659" t="str">
        <f>IF(Indice_index!$Z$1=1,"045 - Agricultura, pecuária, silv, caça, pesca – Pesca","045 - Crops, livestock, forestry, fisheries – Fisheries")</f>
        <v>045 - Crops, livestock, forestry, fisheries – Fisheries</v>
      </c>
      <c r="F172" s="653">
        <v>0.122588</v>
      </c>
      <c r="G172" s="653">
        <v>0.122588</v>
      </c>
      <c r="H172" s="631"/>
      <c r="I172"/>
      <c r="J172"/>
      <c r="K172"/>
      <c r="L172" s="466"/>
      <c r="M172" s="466"/>
    </row>
    <row r="173" spans="3:13" s="191" customFormat="1" ht="15" customHeight="1">
      <c r="C173" s="654"/>
      <c r="D173" s="650"/>
      <c r="E173" s="659" t="str">
        <f>IF(Indice_index!$Z$1=1,"095 - Contingência Covid 2019 - Prevenção, contenção, mitigação e tratamento","095 - Covid 2019 Contingency - Prevention, Containment, Mitigation and Treatment")</f>
        <v>095 - Covid 2019 Contingency - Prevention, Containment, Mitigation and Treatment</v>
      </c>
      <c r="F173" s="653">
        <v>0.14990100000000001</v>
      </c>
      <c r="G173" s="653">
        <v>0.121916</v>
      </c>
      <c r="H173" s="631"/>
      <c r="I173"/>
      <c r="J173"/>
      <c r="K173"/>
      <c r="L173" s="466"/>
      <c r="M173" s="466"/>
    </row>
    <row r="174" spans="3:13" s="191" customFormat="1" ht="15" customHeight="1">
      <c r="C174" s="654"/>
      <c r="D174" s="650"/>
      <c r="E174" s="659" t="str">
        <f>IF(Indice_index!$Z$1=1,"096 - Contingência Covid 2019 - Garantir Normalidade","096 - Covid Contingency 2019 - Ensure Normality")</f>
        <v>096 - Covid Contingency 2019 - Ensure Normality</v>
      </c>
      <c r="F174" s="653">
        <v>2.9572999999999999E-2</v>
      </c>
      <c r="G174" s="653">
        <v>2.9572999999999999E-2</v>
      </c>
      <c r="H174" s="631"/>
      <c r="I174"/>
      <c r="J174"/>
      <c r="K174"/>
      <c r="L174" s="466"/>
      <c r="M174" s="466"/>
    </row>
    <row r="175" spans="3:13" s="191" customFormat="1" ht="15" customHeight="1">
      <c r="C175" s="654"/>
      <c r="D175" s="655"/>
      <c r="E175" s="661" t="str">
        <f>D169</f>
        <v>P020 - Agriculture</v>
      </c>
      <c r="F175" s="657">
        <f>SUM(F169:F174)</f>
        <v>26.545342000000002</v>
      </c>
      <c r="G175" s="657">
        <f>SUM(G169:G174)</f>
        <v>7.7675339999999995</v>
      </c>
      <c r="H175" s="631"/>
      <c r="I175"/>
      <c r="J175"/>
      <c r="K175"/>
      <c r="L175" s="466"/>
      <c r="M175" s="466"/>
    </row>
    <row r="176" spans="3:13" s="191" customFormat="1" ht="15" customHeight="1">
      <c r="C176" s="654" t="str">
        <f>IF(Indice_index!$Z$1=1,"MM","MS")</f>
        <v>MS</v>
      </c>
      <c r="D176" s="650" t="str">
        <f>IF(Indice_index!$Z$1=1,"P021 - Mar","P021 - Sea")</f>
        <v>P021 - Sea</v>
      </c>
      <c r="E176" s="659" t="str">
        <f>IF(Indice_index!$Z$1=1,"004 - Serv. Gerais da A.P. - Investigação científica de carácter geral","004 - General public services - General scientific research")</f>
        <v>004 - General public services - General scientific research</v>
      </c>
      <c r="F176" s="652">
        <v>0.139098</v>
      </c>
      <c r="G176" s="652">
        <v>0.139098</v>
      </c>
      <c r="H176" s="631"/>
      <c r="I176"/>
      <c r="J176"/>
      <c r="K176"/>
      <c r="L176" s="466"/>
      <c r="M176" s="466"/>
    </row>
    <row r="177" spans="3:13" s="191" customFormat="1" ht="15" customHeight="1">
      <c r="C177" s="654"/>
      <c r="D177" s="650"/>
      <c r="E177" s="659" t="str">
        <f>IF(Indice_index!$Z$1=1,"040 - Agricultura, pecuária, silv, caça, pesca - Administração e regulamentação","040 - Crops, livestock, forestry, fisheries - Administration and regulations")</f>
        <v>040 - Crops, livestock, forestry, fisheries - Administration and regulations</v>
      </c>
      <c r="F177" s="653">
        <v>5.154471</v>
      </c>
      <c r="G177" s="653">
        <v>4.4891699999999997</v>
      </c>
      <c r="H177" s="631"/>
      <c r="I177"/>
      <c r="J177"/>
      <c r="K177"/>
      <c r="L177" s="466"/>
      <c r="M177" s="466"/>
    </row>
    <row r="178" spans="3:13" s="191" customFormat="1" ht="15" customHeight="1">
      <c r="C178" s="654"/>
      <c r="D178" s="650"/>
      <c r="E178" s="659" t="str">
        <f>IF(Indice_index!$Z$1=1,"045 - Agricultura, pecuária, silv, caça, pesca – Pesca","045 - Crops, livestock, forestry, fisheries – Fisheries")</f>
        <v>045 - Crops, livestock, forestry, fisheries – Fisheries</v>
      </c>
      <c r="F178" s="653">
        <v>0.87151999999999996</v>
      </c>
      <c r="G178" s="653">
        <v>0.87151999999999996</v>
      </c>
      <c r="H178" s="631"/>
      <c r="I178"/>
      <c r="J178"/>
      <c r="K178"/>
      <c r="L178" s="466"/>
      <c r="M178" s="466"/>
    </row>
    <row r="179" spans="3:13" s="191" customFormat="1" ht="15" customHeight="1">
      <c r="C179" s="654"/>
      <c r="D179" s="650"/>
      <c r="E179" s="659" t="str">
        <f>IF(Indice_index!$Z$1=1,"057 - Transportes e comunicações - Transportes marítimos e fluviais","057 - Transport and Communications - Water transport")</f>
        <v>057 - Transport and Communications - Water transport</v>
      </c>
      <c r="F179" s="653">
        <v>0.55246200000000001</v>
      </c>
      <c r="G179" s="653">
        <v>0.58090600000000003</v>
      </c>
      <c r="H179" s="631"/>
      <c r="I179"/>
      <c r="J179"/>
      <c r="K179"/>
      <c r="L179" s="466"/>
      <c r="M179" s="466"/>
    </row>
    <row r="180" spans="3:13" s="191" customFormat="1" ht="15" customHeight="1">
      <c r="C180" s="654"/>
      <c r="D180" s="650"/>
      <c r="E180" s="659" t="str">
        <f>IF(Indice_index!$Z$1=1,"095 - Contingência Covid 2019 - Prevenção, contenção, mitigação e tratamento","095 - Covid 2019 Contingency - Prevention, Containment, Mitigation and Treatment")</f>
        <v>095 - Covid 2019 Contingency - Prevention, Containment, Mitigation and Treatment</v>
      </c>
      <c r="F180" s="653">
        <v>1.5640000000000001E-3</v>
      </c>
      <c r="G180" s="653">
        <v>1.0740000000000001E-3</v>
      </c>
      <c r="H180" s="631"/>
      <c r="I180"/>
      <c r="J180"/>
      <c r="K180"/>
      <c r="L180" s="466"/>
      <c r="M180" s="466"/>
    </row>
    <row r="181" spans="3:13" s="191" customFormat="1" ht="15" customHeight="1">
      <c r="C181" s="654"/>
      <c r="D181" s="650"/>
      <c r="E181" s="659" t="str">
        <f>IF(Indice_index!$Z$1=1,"096 - Contingência Covid 2019 - Garantir Normalidade","096 - Covid Contingency 2019 - Ensure Normality")</f>
        <v>096 - Covid Contingency 2019 - Ensure Normality</v>
      </c>
      <c r="F181" s="653">
        <v>5.2989999999999999E-3</v>
      </c>
      <c r="G181" s="653">
        <v>5.2989999999999999E-3</v>
      </c>
      <c r="H181" s="631"/>
      <c r="I181"/>
      <c r="J181"/>
      <c r="K181"/>
      <c r="L181" s="466"/>
      <c r="M181" s="466"/>
    </row>
    <row r="182" spans="3:13" s="191" customFormat="1" ht="15" customHeight="1" thickBot="1">
      <c r="C182" s="654"/>
      <c r="D182" s="670"/>
      <c r="E182" s="650" t="str">
        <f>D176</f>
        <v>P021 - Sea</v>
      </c>
      <c r="F182" s="671">
        <f>SUM(F176:F181)</f>
        <v>6.7244140000000003</v>
      </c>
      <c r="G182" s="671">
        <f>SUM(G176:G181)</f>
        <v>6.0870669999999993</v>
      </c>
      <c r="H182" s="631"/>
      <c r="I182"/>
      <c r="J182"/>
      <c r="K182"/>
      <c r="L182" s="466"/>
      <c r="M182" s="466"/>
    </row>
    <row r="183" spans="3:13" s="191" customFormat="1" ht="15" customHeight="1" thickBot="1">
      <c r="C183" s="1674" t="str">
        <f>IF(Indice_index!$Z$1=1,"TOTAL Cativos","TOTAL frozen allocations")</f>
        <v>TOTAL frozen allocations</v>
      </c>
      <c r="D183" s="1675"/>
      <c r="E183" s="1675"/>
      <c r="F183" s="673">
        <f>F13+F37+F48+F54+F60+F61+F75+F91+F102+F107+F117+F126+F139+F143+F157+F168+F175+F182</f>
        <v>690.97966400000007</v>
      </c>
      <c r="G183" s="673">
        <f>G13+G37+G48+G54+G60+G61+G75+G91+G102+G107+G117+G126+G139+G143+G157+G168+G175+G182</f>
        <v>483.82943262999993</v>
      </c>
      <c r="H183" s="632"/>
      <c r="I183" s="544"/>
      <c r="J183"/>
      <c r="K183"/>
      <c r="L183" s="466"/>
      <c r="M183" s="466"/>
    </row>
    <row r="184" spans="3:13" s="191" customFormat="1" ht="15.75" customHeight="1">
      <c r="C184" s="254"/>
      <c r="D184" s="254"/>
      <c r="E184" s="254"/>
      <c r="F184" s="254"/>
      <c r="G184" s="476"/>
      <c r="I184"/>
      <c r="J184"/>
      <c r="K184"/>
    </row>
    <row r="185" spans="3:13" s="191" customFormat="1" ht="19.5" thickBot="1">
      <c r="C185" s="1684" t="str">
        <f>IF(Indice_index!$Z$1=1,"Reserva","Reserve")</f>
        <v>Reserve</v>
      </c>
      <c r="D185" s="1684"/>
      <c r="E185" s="1684"/>
      <c r="F185" s="1684"/>
      <c r="G185" s="476"/>
      <c r="I185"/>
      <c r="J185"/>
      <c r="K185"/>
    </row>
    <row r="186" spans="3:13" s="191" customFormat="1">
      <c r="C186" s="642"/>
      <c r="D186" s="642"/>
      <c r="E186" s="642"/>
      <c r="F186" s="674"/>
      <c r="G186" s="476"/>
      <c r="I186"/>
      <c r="J186"/>
      <c r="K186"/>
    </row>
    <row r="187" spans="3:13" s="191" customFormat="1">
      <c r="C187" s="649" t="str">
        <f>C4</f>
        <v>Period: November</v>
      </c>
      <c r="D187" s="642"/>
      <c r="E187" s="642"/>
      <c r="F187" s="644"/>
      <c r="G187" s="644" t="str">
        <f>IF(Indice_index!$Z$1=1,"€ Milhões","€ Millions")</f>
        <v>€ Millions</v>
      </c>
      <c r="I187"/>
      <c r="J187"/>
      <c r="K187"/>
    </row>
    <row r="188" spans="3:13" s="191" customFormat="1">
      <c r="C188" s="1681" t="str">
        <f>IF(Indice_index!$Z$1=1,"Ministério","Ministry")</f>
        <v>Ministry</v>
      </c>
      <c r="D188" s="1681" t="str">
        <f>IF(Indice_index!$Z$1=1,"Programa Orçamental","Budgetary program")</f>
        <v>Budgetary program</v>
      </c>
      <c r="E188" s="1681" t="str">
        <f>IF(Indice_index!$Z$1=1,"Reserva","Reserve")</f>
        <v>Reserve</v>
      </c>
      <c r="F188" s="1687"/>
      <c r="G188" s="1687"/>
      <c r="I188"/>
      <c r="J188"/>
      <c r="K188"/>
    </row>
    <row r="189" spans="3:13" s="191" customFormat="1" ht="20.25" customHeight="1">
      <c r="C189" s="1682"/>
      <c r="D189" s="1682"/>
      <c r="E189" s="1682"/>
      <c r="F189" s="645" t="str">
        <f>IF(Indice_index!$Z$1=1,"Cativos iniciais","Initial frozen allocations")</f>
        <v>Initial frozen allocations</v>
      </c>
      <c r="G189" s="646" t="str">
        <f>IF(Indice_index!$Z$1=1,"Cativos atuais","Current frozen allocations")</f>
        <v>Current frozen allocations</v>
      </c>
      <c r="H189" s="189"/>
      <c r="I189"/>
      <c r="J189"/>
      <c r="K189"/>
    </row>
    <row r="190" spans="3:13">
      <c r="C190" s="1683"/>
      <c r="D190" s="1683"/>
      <c r="E190" s="1683"/>
      <c r="F190" s="675" t="s">
        <v>79</v>
      </c>
      <c r="G190" s="676" t="s">
        <v>78</v>
      </c>
      <c r="L190" s="191"/>
    </row>
    <row r="191" spans="3:13" ht="15" customHeight="1">
      <c r="C191" s="677" t="str">
        <f>+C8</f>
        <v>GCS</v>
      </c>
      <c r="D191" s="677" t="str">
        <f>+D8</f>
        <v>P001 - Sovereignty Entities</v>
      </c>
      <c r="E191" s="678" t="str">
        <f>IF(Indice_index!$Z$1=1,"Reserva Orçamental","Reserve")</f>
        <v>Reserve</v>
      </c>
      <c r="F191" s="679">
        <v>4.8827179999999997</v>
      </c>
      <c r="G191" s="679">
        <v>0.44895299999999999</v>
      </c>
    </row>
    <row r="192" spans="3:13" ht="15" customHeight="1">
      <c r="C192" s="680" t="str">
        <f>+C14</f>
        <v>PRP</v>
      </c>
      <c r="D192" s="680" t="str">
        <f>+D14</f>
        <v>P002 - Government</v>
      </c>
      <c r="E192" s="681" t="str">
        <f>IF(Indice_index!$Z$1=1,"Reserva Orçamental","Reserve")</f>
        <v>Reserve</v>
      </c>
      <c r="F192" s="682">
        <v>4.7402769999999999</v>
      </c>
      <c r="G192" s="682">
        <v>2.6850109999999998</v>
      </c>
    </row>
    <row r="193" spans="3:12" ht="15" customHeight="1">
      <c r="C193" s="680" t="str">
        <f>+C22</f>
        <v>SPAM</v>
      </c>
      <c r="D193" s="680" t="str">
        <f>+D22</f>
        <v>P002 - Government</v>
      </c>
      <c r="E193" s="681" t="str">
        <f>IF(Indice_index!$Z$1=1,"Reserva Orçamental","Reserve")</f>
        <v>Reserve</v>
      </c>
      <c r="F193" s="682">
        <v>0.82151399999999997</v>
      </c>
      <c r="G193" s="682">
        <v>0.82133900000000004</v>
      </c>
    </row>
    <row r="194" spans="3:12" ht="15" customHeight="1">
      <c r="C194" s="680" t="str">
        <f>+C29</f>
        <v>MP</v>
      </c>
      <c r="D194" s="680" t="str">
        <f>+D29</f>
        <v>P002 - Government</v>
      </c>
      <c r="E194" s="681" t="str">
        <f>IF(Indice_index!$Z$1=1,"Reserva Orçamental","Reserve")</f>
        <v>Reserve</v>
      </c>
      <c r="F194" s="682">
        <v>0.65252399999999999</v>
      </c>
      <c r="G194" s="682">
        <v>0.65252399999999999</v>
      </c>
    </row>
    <row r="195" spans="3:12" ht="15" customHeight="1">
      <c r="C195" s="680" t="str">
        <f>+C31</f>
        <v>MTC</v>
      </c>
      <c r="D195" s="680" t="str">
        <f>+D31</f>
        <v>P002 - Government</v>
      </c>
      <c r="E195" s="681" t="str">
        <f>IF(Indice_index!$Z$1=1,"Reserva Orçamental","Reserve")</f>
        <v>Reserve</v>
      </c>
      <c r="F195" s="682">
        <v>0.42214400000000002</v>
      </c>
      <c r="G195" s="682">
        <v>0</v>
      </c>
    </row>
    <row r="196" spans="3:12" ht="15" customHeight="1">
      <c r="C196" s="680" t="str">
        <f>C38</f>
        <v>MEDT</v>
      </c>
      <c r="D196" s="680" t="str">
        <f>D38</f>
        <v>P003 - Economy</v>
      </c>
      <c r="E196" s="681" t="str">
        <f>IF(Indice_index!$Z$1=1,"Reserva Orçamental","Reserve")</f>
        <v>Reserve</v>
      </c>
      <c r="F196" s="682">
        <v>14.030802</v>
      </c>
      <c r="G196" s="682">
        <v>13.016602000000001</v>
      </c>
    </row>
    <row r="197" spans="3:12" ht="15" customHeight="1">
      <c r="C197" s="680" t="str">
        <f>+C49</f>
        <v>MFA</v>
      </c>
      <c r="D197" s="680" t="str">
        <f>+D49</f>
        <v>P004 - Foreign Affairs</v>
      </c>
      <c r="E197" s="681" t="str">
        <f>IF(Indice_index!$Z$1=1,"Reserva Orçamental","Reserve")</f>
        <v>Reserve</v>
      </c>
      <c r="F197" s="682">
        <v>8.2154830000000008</v>
      </c>
      <c r="G197" s="682">
        <v>7.2467329999999999</v>
      </c>
    </row>
    <row r="198" spans="3:12" ht="15" customHeight="1">
      <c r="C198" s="680" t="str">
        <f>+C55</f>
        <v>MF</v>
      </c>
      <c r="D198" s="680" t="str">
        <f>+D55</f>
        <v>P005 - Finance and Public Administration</v>
      </c>
      <c r="E198" s="681" t="str">
        <f>IF(Indice_index!$Z$1=1,"Reserva Orçamental","Reserve")</f>
        <v>Reserve</v>
      </c>
      <c r="F198" s="682">
        <v>33.319355000000002</v>
      </c>
      <c r="G198" s="682">
        <v>15.135831</v>
      </c>
    </row>
    <row r="199" spans="3:12" ht="15" customHeight="1">
      <c r="C199" s="680" t="str">
        <f>+C62</f>
        <v>MND</v>
      </c>
      <c r="D199" s="680" t="str">
        <f>+D62</f>
        <v>P007 - Defence</v>
      </c>
      <c r="E199" s="681" t="str">
        <f>IF(Indice_index!$Z$1=1,"Reserva Orçamental","Reserve")</f>
        <v>Reserve</v>
      </c>
      <c r="F199" s="682">
        <v>39.862482999999997</v>
      </c>
      <c r="G199" s="682">
        <v>4.601261</v>
      </c>
    </row>
    <row r="200" spans="3:12" ht="15" customHeight="1">
      <c r="C200" s="680" t="str">
        <f>C76</f>
        <v>MIA</v>
      </c>
      <c r="D200" s="680" t="str">
        <f>D76</f>
        <v>P008 - Internal Security</v>
      </c>
      <c r="E200" s="681" t="str">
        <f>IF(Indice_index!$Z$1=1,"Reserva Orçamental","Reserve")</f>
        <v>Reserve</v>
      </c>
      <c r="F200" s="682">
        <v>45.669536999999998</v>
      </c>
      <c r="G200" s="682">
        <v>9.2254400000000008</v>
      </c>
    </row>
    <row r="201" spans="3:12" ht="15" customHeight="1">
      <c r="C201" s="680" t="str">
        <f>+C92</f>
        <v>MJ</v>
      </c>
      <c r="D201" s="680" t="str">
        <f>+D92</f>
        <v>P009 - Justice</v>
      </c>
      <c r="E201" s="681" t="str">
        <f>IF(Indice_index!$Z$1=1,"Reserva Orçamental","Reserve")</f>
        <v>Reserve</v>
      </c>
      <c r="F201" s="682">
        <v>34.953803000000001</v>
      </c>
      <c r="G201" s="682">
        <v>23.614927999999999</v>
      </c>
    </row>
    <row r="202" spans="3:12" ht="15" customHeight="1">
      <c r="C202" s="680" t="str">
        <f>+C103</f>
        <v>MC</v>
      </c>
      <c r="D202" s="680" t="str">
        <f>+D103</f>
        <v>P012 - Culture</v>
      </c>
      <c r="E202" s="681" t="str">
        <f>IF(Indice_index!$Z$1=1,"Reserva Orçamental","Reserve")</f>
        <v>Reserve</v>
      </c>
      <c r="F202" s="682">
        <v>6.4839869999999999</v>
      </c>
      <c r="G202" s="682">
        <v>2.8631869999999999</v>
      </c>
    </row>
    <row r="203" spans="3:12" ht="15" customHeight="1">
      <c r="C203" s="680" t="str">
        <f>+C109</f>
        <v>MSHE</v>
      </c>
      <c r="D203" s="680" t="str">
        <f>+D109</f>
        <v>P013 - Science and Higher Education</v>
      </c>
      <c r="E203" s="681" t="str">
        <f>IF(Indice_index!$Z$1=1,"Reserva Orçamental","Reserve")</f>
        <v>Reserve</v>
      </c>
      <c r="F203" s="682">
        <v>10.508226000000001</v>
      </c>
      <c r="G203" s="682">
        <v>6.9150000000000001E-3</v>
      </c>
    </row>
    <row r="204" spans="3:12" s="438" customFormat="1" ht="15" customHeight="1">
      <c r="C204" s="683" t="str">
        <f>+C119</f>
        <v>MEd</v>
      </c>
      <c r="D204" s="683" t="str">
        <f>+D119</f>
        <v>P014 - Basic and Secondary Education and School Administration</v>
      </c>
      <c r="E204" s="684" t="str">
        <f>IF(Indice_index!$Z$1=1,"Reserva Orçamental","Reserve")</f>
        <v>Reserve</v>
      </c>
      <c r="F204" s="682">
        <v>3.9356040000000001</v>
      </c>
      <c r="G204" s="682">
        <v>3.9356040000000001</v>
      </c>
      <c r="I204"/>
      <c r="J204"/>
      <c r="K204"/>
      <c r="L204" s="189"/>
    </row>
    <row r="205" spans="3:12" ht="15" customHeight="1">
      <c r="C205" s="680" t="str">
        <f>+C128</f>
        <v>MLSSF</v>
      </c>
      <c r="D205" s="680" t="str">
        <f>+D128</f>
        <v>P015 - Work, Solidarity and Social Security</v>
      </c>
      <c r="E205" s="681" t="str">
        <f>IF(Indice_index!$Z$1=1,"Reserva Orçamental","Reserve")</f>
        <v>Reserve</v>
      </c>
      <c r="F205" s="682">
        <v>25.010014000000002</v>
      </c>
      <c r="G205" s="682">
        <v>24.666668000000001</v>
      </c>
      <c r="L205" s="438"/>
    </row>
    <row r="206" spans="3:12" ht="15" customHeight="1">
      <c r="C206" s="680" t="str">
        <f>C140</f>
        <v>MH</v>
      </c>
      <c r="D206" s="680" t="str">
        <f>D140</f>
        <v>P016 - Health</v>
      </c>
      <c r="E206" s="681" t="str">
        <f>IF(Indice_index!$Z$1=1,"Reserva Orçamental","Reserve")</f>
        <v>Reserve</v>
      </c>
      <c r="F206" s="682">
        <v>1.698588</v>
      </c>
      <c r="G206" s="682">
        <v>1.698588</v>
      </c>
    </row>
    <row r="207" spans="3:12" ht="15" customHeight="1">
      <c r="C207" s="680" t="str">
        <f>C145</f>
        <v>MECA</v>
      </c>
      <c r="D207" s="680" t="str">
        <f>D145</f>
        <v>P017 -  Environment and Climate Action</v>
      </c>
      <c r="E207" s="681" t="str">
        <f>IF(Indice_index!$Z$1=1,"Reserva Orçamental","Reserve")</f>
        <v>Reserve</v>
      </c>
      <c r="F207" s="682">
        <v>19.628831999999999</v>
      </c>
      <c r="G207" s="682">
        <v>18.951827999999999</v>
      </c>
    </row>
    <row r="208" spans="3:12" ht="15" customHeight="1">
      <c r="C208" s="680" t="str">
        <f>C158</f>
        <v>MIH</v>
      </c>
      <c r="D208" s="680" t="str">
        <f>D158</f>
        <v>P018 - Infrastructures and Housing</v>
      </c>
      <c r="E208" s="681" t="str">
        <f>IF(Indice_index!$Z$1=1,"Reserva Orçamental","Reserve")</f>
        <v>Reserve</v>
      </c>
      <c r="F208" s="682">
        <v>57.886015999999998</v>
      </c>
      <c r="G208" s="682">
        <v>57.052405</v>
      </c>
    </row>
    <row r="209" spans="3:12" ht="15" customHeight="1">
      <c r="C209" s="680" t="str">
        <f>C169</f>
        <v>MA</v>
      </c>
      <c r="D209" s="680" t="str">
        <f>D169</f>
        <v>P020 - Agriculture</v>
      </c>
      <c r="E209" s="681" t="str">
        <f>IF(Indice_index!$Z$1=1,"Reserva Orçamental","Reserve")</f>
        <v>Reserve</v>
      </c>
      <c r="F209" s="682">
        <v>9.7119060000000008</v>
      </c>
      <c r="G209" s="682">
        <v>8.8721730000000001</v>
      </c>
    </row>
    <row r="210" spans="3:12" ht="15" customHeight="1" thickBot="1">
      <c r="C210" s="685" t="str">
        <f>C176</f>
        <v>MS</v>
      </c>
      <c r="D210" s="685" t="str">
        <f>D176</f>
        <v>P021 - Sea</v>
      </c>
      <c r="E210" s="686" t="str">
        <f>IF(Indice_index!$Z$1=1,"Reserva Orçamental","Reserve")</f>
        <v>Reserve</v>
      </c>
      <c r="F210" s="687">
        <v>1.299566</v>
      </c>
      <c r="G210" s="687">
        <v>1.2995030000000001</v>
      </c>
    </row>
    <row r="211" spans="3:12" ht="15" customHeight="1" thickBot="1">
      <c r="C211" s="1674" t="s">
        <v>77</v>
      </c>
      <c r="D211" s="1675"/>
      <c r="E211" s="1675"/>
      <c r="F211" s="688">
        <f>SUM(F191:F210)</f>
        <v>323.73337900000007</v>
      </c>
      <c r="G211" s="689">
        <f t="shared" ref="G211" si="3">SUM(G191:G210)</f>
        <v>196.79549299999999</v>
      </c>
      <c r="I211" s="560"/>
    </row>
    <row r="212" spans="3:12" ht="4.5" customHeight="1" thickBot="1">
      <c r="C212" s="690"/>
      <c r="D212" s="691"/>
      <c r="E212" s="691"/>
      <c r="F212" s="692"/>
      <c r="G212" s="693"/>
    </row>
    <row r="213" spans="3:12" ht="15" customHeight="1" thickBot="1">
      <c r="C213" s="1674" t="str">
        <f>IF(Indice_index!$Z$1=1,"TOTAL Cativos + Reserva 2021","TOTAL Frozen allocations + Reserve 2021")</f>
        <v>TOTAL Frozen allocations + Reserve 2021</v>
      </c>
      <c r="D213" s="1675"/>
      <c r="E213" s="1675"/>
      <c r="F213" s="688">
        <f>F211+F183</f>
        <v>1014.7130430000002</v>
      </c>
      <c r="G213" s="689">
        <f>G211+G183</f>
        <v>680.62492562999989</v>
      </c>
    </row>
    <row r="214" spans="3:12" ht="15" customHeight="1" thickBot="1">
      <c r="C214" s="694"/>
      <c r="D214" s="694"/>
      <c r="E214" s="694"/>
      <c r="F214" s="691"/>
      <c r="G214" s="695"/>
    </row>
    <row r="215" spans="3:12" ht="15" customHeight="1" thickBot="1">
      <c r="C215" s="1674" t="str">
        <f>IF(Indice_index!$Z$1=1,"Por memória Total Cativos + Reserva 2020","Memo item: Total Frozen allocations + Reserve 2020")</f>
        <v>Memo item: Total Frozen allocations + Reserve 2020</v>
      </c>
      <c r="D215" s="1675"/>
      <c r="E215" s="1675"/>
      <c r="F215" s="673">
        <v>1025.486195</v>
      </c>
      <c r="G215" s="696">
        <v>760.31359400000031</v>
      </c>
    </row>
    <row r="216" spans="3:12" ht="4.5" customHeight="1">
      <c r="C216" s="690"/>
      <c r="D216" s="691"/>
      <c r="E216" s="691"/>
      <c r="F216" s="691"/>
      <c r="G216" s="695"/>
    </row>
    <row r="217" spans="3:12" ht="15" customHeight="1">
      <c r="C217" s="697" t="str">
        <f>IF(Indice_index!$Z$1=1,"Notas:","Notes:")</f>
        <v>Notes:</v>
      </c>
      <c r="D217" s="698"/>
      <c r="E217" s="698"/>
      <c r="F217" s="698"/>
      <c r="G217" s="476"/>
    </row>
    <row r="218" spans="3:12" ht="15" customHeight="1">
      <c r="C218" s="1679" t="str">
        <f>IF(Indice_index!$Z$1=1,"- Cativos Iniciais: cativos apurados de acordo com a aplicação da disciplina orçamental prevista na Lei do Orçamento do Estado.","- Initial frozen allocations: set in accordance with the 2021 State Budget Law.")</f>
        <v>- Initial frozen allocations: set in accordance with the 2021 State Budget Law.</v>
      </c>
      <c r="D218" s="1679"/>
      <c r="E218" s="1679"/>
      <c r="F218" s="1679"/>
      <c r="G218" s="1677"/>
    </row>
    <row r="219" spans="3:12" ht="15" customHeight="1">
      <c r="C219" s="1678"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219" s="1678"/>
      <c r="E219" s="1678"/>
      <c r="F219" s="1678"/>
      <c r="G219" s="1677"/>
      <c r="I219" s="559"/>
    </row>
    <row r="220" spans="3:12" ht="15" customHeight="1">
      <c r="C220" s="1676"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220" s="1677"/>
      <c r="E220" s="1677"/>
      <c r="F220" s="1677"/>
      <c r="G220" s="1677"/>
    </row>
    <row r="221" spans="3:12" ht="4.5" customHeight="1">
      <c r="C221" s="1680" t="str">
        <f>IF(Indice_index!$Z$1=1,"Fonte: Direção-Geral do Orçamento","Source: Budget General Directorate")</f>
        <v>Source: Budget General Directorate</v>
      </c>
      <c r="D221" s="1677"/>
      <c r="E221" s="1677"/>
      <c r="F221" s="1677"/>
      <c r="G221" s="1677"/>
      <c r="L221" s="254"/>
    </row>
    <row r="222" spans="3:12" ht="15" customHeight="1">
      <c r="C222" s="1677"/>
      <c r="D222" s="1677"/>
      <c r="E222" s="1677"/>
      <c r="F222" s="1677"/>
      <c r="G222" s="1677"/>
    </row>
    <row r="223" spans="3:12">
      <c r="F223" s="254"/>
      <c r="G223" s="476"/>
    </row>
    <row r="224" spans="3:12">
      <c r="C224" s="494"/>
      <c r="G224" s="476"/>
    </row>
    <row r="225" spans="3:7">
      <c r="G225" s="476"/>
    </row>
    <row r="226" spans="3:7">
      <c r="G226" s="476"/>
    </row>
    <row r="227" spans="3:7">
      <c r="C227" s="432"/>
      <c r="G227" s="476"/>
    </row>
    <row r="228" spans="3:7">
      <c r="G228" s="477"/>
    </row>
    <row r="229" spans="3:7">
      <c r="C229"/>
      <c r="G229" s="477"/>
    </row>
    <row r="230" spans="3:7">
      <c r="G230" s="477"/>
    </row>
    <row r="231" spans="3:7">
      <c r="G231" s="477"/>
    </row>
    <row r="232" spans="3:7">
      <c r="G232" s="477"/>
    </row>
  </sheetData>
  <mergeCells count="20">
    <mergeCell ref="C213:E213"/>
    <mergeCell ref="C5:C7"/>
    <mergeCell ref="D5:D7"/>
    <mergeCell ref="E5:E7"/>
    <mergeCell ref="C183:E183"/>
    <mergeCell ref="C185:F185"/>
    <mergeCell ref="D119:D120"/>
    <mergeCell ref="F5:G5"/>
    <mergeCell ref="F188:G188"/>
    <mergeCell ref="D109:D110"/>
    <mergeCell ref="D128:D129"/>
    <mergeCell ref="C211:E211"/>
    <mergeCell ref="C188:C190"/>
    <mergeCell ref="D188:D190"/>
    <mergeCell ref="E188:E190"/>
    <mergeCell ref="C215:E215"/>
    <mergeCell ref="C220:G220"/>
    <mergeCell ref="C219:G219"/>
    <mergeCell ref="C218:G218"/>
    <mergeCell ref="C221:G222"/>
  </mergeCells>
  <printOptions horizontalCentered="1"/>
  <pageMargins left="0.70866141732283472" right="0.70866141732283472" top="0.74803149606299213" bottom="0.74803149606299213" header="0.74803149606299213" footer="0.35433070866141736"/>
  <pageSetup paperSize="9" scale="57" fitToHeight="4" orientation="portrait" r:id="rId1"/>
  <headerFooter differentOddEven="1">
    <oddFooter>&amp;R&amp;G</oddFooter>
    <evenFooter>&amp;L&amp;G</evenFooter>
  </headerFooter>
  <rowBreaks count="3" manualBreakCount="3">
    <brk id="75" min="1" max="6" man="1"/>
    <brk id="144" min="1" max="6" man="1"/>
    <brk id="184" min="1" max="6" man="1"/>
  </rowBreaks>
  <ignoredErrors>
    <ignoredError sqref="F7:G7 F190:G190" numberStoredAsText="1"/>
    <ignoredError sqref="F182:G183 F75:F181 G75 G126 G139 G157" formulaRange="1"/>
    <ignoredError sqref="E30 E60 E10" formula="1"/>
  </ignoredError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V28"/>
  <sheetViews>
    <sheetView showGridLines="0" zoomScaleNormal="100" zoomScaleSheetLayoutView="100" workbookViewId="0">
      <selection activeCell="B2" sqref="B2"/>
    </sheetView>
  </sheetViews>
  <sheetFormatPr defaultColWidth="8.85546875" defaultRowHeight="15"/>
  <cols>
    <col min="1" max="1" width="3.42578125" style="546" customWidth="1"/>
    <col min="2" max="2" width="4.42578125" style="546" customWidth="1"/>
    <col min="3" max="3" width="1.42578125" style="546" customWidth="1"/>
    <col min="4" max="5" width="3.85546875" style="546" customWidth="1"/>
    <col min="6" max="6" width="2.42578125" style="546" customWidth="1"/>
    <col min="7" max="7" width="32.42578125" style="546" customWidth="1"/>
    <col min="8" max="15" width="9.5703125" style="546" customWidth="1"/>
    <col min="16" max="20" width="8.85546875" style="546"/>
    <col min="21" max="22" width="10" style="547" customWidth="1"/>
    <col min="23" max="16384" width="8.85546875" style="546"/>
  </cols>
  <sheetData>
    <row r="1" spans="2:22" ht="15" customHeight="1"/>
    <row r="2" spans="2:22" ht="24" customHeight="1">
      <c r="B2" s="8"/>
      <c r="C2" s="558" t="str">
        <f>IF(Indice_index!$Z$1=1,"1 - Receita, despesa e saldo das Administrações Públicas","1 - General Government revenue, expenditure and balance")</f>
        <v>1 - General Government revenue, expenditure and balance</v>
      </c>
      <c r="D2" s="558"/>
      <c r="E2" s="558"/>
      <c r="F2" s="558"/>
      <c r="G2" s="558"/>
      <c r="H2" s="556"/>
      <c r="I2" s="556"/>
      <c r="J2" s="557"/>
      <c r="K2" s="556"/>
      <c r="L2" s="556"/>
      <c r="M2" s="556"/>
      <c r="N2" s="556"/>
      <c r="O2" s="556"/>
      <c r="P2" s="555"/>
      <c r="U2" s="555"/>
      <c r="V2" s="555"/>
    </row>
    <row r="3" spans="2:22" s="18" customFormat="1" ht="15" customHeight="1">
      <c r="C3" s="554"/>
      <c r="H3" s="546"/>
      <c r="I3" s="546"/>
      <c r="K3" s="546"/>
      <c r="L3" s="546"/>
      <c r="M3" s="546"/>
      <c r="N3" s="546"/>
      <c r="O3" s="546"/>
      <c r="U3" s="547"/>
      <c r="V3" s="547"/>
    </row>
    <row r="4" spans="2:22" s="552" customFormat="1" ht="15" customHeight="1">
      <c r="U4" s="553"/>
      <c r="V4" s="553"/>
    </row>
    <row r="5" spans="2:22" s="585" customFormat="1" ht="15" customHeight="1">
      <c r="B5" s="584"/>
      <c r="C5" s="849" t="str">
        <f>+'4 - Conta AC + SS'!C5</f>
        <v>Period: January to December</v>
      </c>
      <c r="D5" s="1455"/>
      <c r="E5" s="1455"/>
      <c r="F5" s="1455"/>
      <c r="G5" s="1455"/>
      <c r="H5" s="1456"/>
      <c r="I5" s="1456"/>
      <c r="J5" s="1456"/>
      <c r="K5" s="1456"/>
      <c r="L5" s="1456"/>
      <c r="M5" s="1456"/>
      <c r="N5" s="1457"/>
      <c r="O5" s="1458" t="str">
        <f>IF(Indice_index!$Z$1=1,"€ Milhões","€ Millions")</f>
        <v>€ Millions</v>
      </c>
      <c r="U5" s="257"/>
      <c r="V5" s="257"/>
    </row>
    <row r="6" spans="2:22" s="585" customFormat="1" ht="26.1" customHeight="1">
      <c r="B6" s="586"/>
      <c r="C6" s="1459"/>
      <c r="D6" s="1459"/>
      <c r="E6" s="1459"/>
      <c r="F6" s="1459"/>
      <c r="G6" s="1459"/>
      <c r="H6" s="1539" t="str">
        <f>IF(Indice_index!$Z$1=1,"Saldo","Overall balance")</f>
        <v>Overall balance</v>
      </c>
      <c r="I6" s="1539"/>
      <c r="J6" s="1539" t="str">
        <f>IF(Indice_index!$Z$1=1,"Receita","Revenue")</f>
        <v>Revenue</v>
      </c>
      <c r="K6" s="1539"/>
      <c r="L6" s="1539" t="str">
        <f>IF(Indice_index!$Z$1=1,"Despesa","Expenditure")</f>
        <v>Expenditure</v>
      </c>
      <c r="M6" s="1539"/>
      <c r="N6" s="1540" t="str">
        <f>IF(Indice_index!$Z$1=1,"Variação Homóloga Acumulada (%)","YOY Change Rate (%)")</f>
        <v>YOY Change Rate (%)</v>
      </c>
      <c r="O6" s="1541"/>
      <c r="U6" s="1538"/>
      <c r="V6" s="1538"/>
    </row>
    <row r="7" spans="2:22" s="552" customFormat="1" ht="16.350000000000001" customHeight="1">
      <c r="B7" s="587"/>
      <c r="C7" s="1460"/>
      <c r="D7" s="1460"/>
      <c r="E7" s="1460"/>
      <c r="F7" s="1460"/>
      <c r="G7" s="1460"/>
      <c r="H7" s="1461" t="str">
        <f>IF(Indice_index!$Z$1=1,"2020","2020")</f>
        <v>2020</v>
      </c>
      <c r="I7" s="1461" t="str">
        <f>IF(Indice_index!$Z$1=1,"2021","2021")</f>
        <v>2021</v>
      </c>
      <c r="J7" s="1461" t="str">
        <f>IF(Indice_index!$Z$1=1,"2020","2021")</f>
        <v>2021</v>
      </c>
      <c r="K7" s="1461" t="str">
        <f>IF(Indice_index!$Z$1=1,"2021","2021")</f>
        <v>2021</v>
      </c>
      <c r="L7" s="1461" t="str">
        <f>IF(Indice_index!$Z$1=1,"2020","2020")</f>
        <v>2020</v>
      </c>
      <c r="M7" s="1461" t="str">
        <f>IF(Indice_index!$Z$1=1,"2021","2021")</f>
        <v>2021</v>
      </c>
      <c r="N7" s="1462" t="str">
        <f>IF(Indice_index!$Z$1=1,"Receita","Revenue")</f>
        <v>Revenue</v>
      </c>
      <c r="O7" s="1463" t="str">
        <f>IF(Indice_index!$Z$1=1,"Despesa","Expenditure")</f>
        <v>Expenditure</v>
      </c>
      <c r="U7" s="588"/>
      <c r="V7" s="588"/>
    </row>
    <row r="8" spans="2:22" s="552" customFormat="1" ht="15" customHeight="1">
      <c r="B8" s="589"/>
      <c r="C8" s="1464"/>
      <c r="D8" s="1464" t="str">
        <f>IF(Indice_index!$Z$1=1,"Administração Central e Segurança Social","Central Government and Social Security")</f>
        <v>Central Government and Social Security</v>
      </c>
      <c r="E8" s="1464"/>
      <c r="F8" s="1464"/>
      <c r="G8" s="1464"/>
      <c r="H8" s="1465">
        <f t="shared" ref="H8:H16" si="0">+J8-L8</f>
        <v>-11482.520133819999</v>
      </c>
      <c r="I8" s="1465">
        <f t="shared" ref="I8:I16" si="1">+K8-M8</f>
        <v>-8456.2642897000333</v>
      </c>
      <c r="J8" s="1465">
        <f>+'4 - Conta AC + SS'!F27</f>
        <v>77150.25867967002</v>
      </c>
      <c r="K8" s="1465">
        <f>+'4 - Conta AC + SS'!G27</f>
        <v>84037.344626089995</v>
      </c>
      <c r="L8" s="1465">
        <f>+'4 - Conta AC + SS'!F50</f>
        <v>88632.778813490018</v>
      </c>
      <c r="M8" s="1465">
        <f>+'4 - Conta AC + SS'!G50</f>
        <v>92493.608915790028</v>
      </c>
      <c r="N8" s="1466">
        <f t="shared" ref="N8:N16" si="2">+IFERROR((K8-J8)/J8*100,"-")</f>
        <v>8.9268475106679084</v>
      </c>
      <c r="O8" s="1466">
        <f t="shared" ref="O8:O16" si="3">+IFERROR((M8-L8)/L8*100,"-")</f>
        <v>4.3559844946578465</v>
      </c>
      <c r="U8" s="590"/>
      <c r="V8" s="590"/>
    </row>
    <row r="9" spans="2:22" s="552" customFormat="1" ht="15" customHeight="1">
      <c r="B9" s="589"/>
      <c r="C9" s="1467"/>
      <c r="D9" s="1467"/>
      <c r="E9" s="1468" t="str">
        <f>IF(Indice_index!$Z$1=1,"Administração Central (AC)","Central Government (CG)")</f>
        <v>Central Government (CG)</v>
      </c>
      <c r="F9" s="1468"/>
      <c r="G9" s="1468"/>
      <c r="H9" s="1469">
        <f t="shared" si="0"/>
        <v>-13614.042774729998</v>
      </c>
      <c r="I9" s="1469">
        <f t="shared" si="1"/>
        <v>-10710.044320070003</v>
      </c>
      <c r="J9" s="1469">
        <f>+'5 - Conta AC'!G26</f>
        <v>59036.069415400023</v>
      </c>
      <c r="K9" s="1469">
        <f>+'5 - Conta AC'!H26</f>
        <v>63795.808643350007</v>
      </c>
      <c r="L9" s="1469">
        <f>+'5 - Conta AC'!G49</f>
        <v>72650.112190130021</v>
      </c>
      <c r="M9" s="1469">
        <f>+'5 - Conta AC'!H49</f>
        <v>74505.852963420009</v>
      </c>
      <c r="N9" s="1470">
        <f t="shared" si="2"/>
        <v>8.0624256917557737</v>
      </c>
      <c r="O9" s="1470">
        <f t="shared" si="3"/>
        <v>2.5543536236164304</v>
      </c>
      <c r="Q9" s="591"/>
      <c r="U9" s="590"/>
      <c r="V9" s="590"/>
    </row>
    <row r="10" spans="2:22" s="552" customFormat="1" ht="15" customHeight="1">
      <c r="B10" s="589"/>
      <c r="C10" s="1467"/>
      <c r="D10" s="1467"/>
      <c r="E10" s="1467"/>
      <c r="F10" s="1471" t="str">
        <f>IF(Indice_index!$Z$1=1,"Subsetor Estado / Serviços integrados","State subsector")</f>
        <v>State subsector</v>
      </c>
      <c r="G10" s="1471"/>
      <c r="H10" s="1472">
        <f t="shared" si="0"/>
        <v>-12204.47937387001</v>
      </c>
      <c r="I10" s="1472">
        <f t="shared" si="1"/>
        <v>-9590.5459616899898</v>
      </c>
      <c r="J10" s="1472">
        <f>+'6 - Estado'!F32</f>
        <v>46754.563147259993</v>
      </c>
      <c r="K10" s="1472">
        <f>+'6 - Estado'!G32</f>
        <v>50007.734710029988</v>
      </c>
      <c r="L10" s="1472">
        <f>+'6 - Estado'!F59</f>
        <v>58959.042521130003</v>
      </c>
      <c r="M10" s="1472">
        <f>+'6 - Estado'!G59</f>
        <v>59598.280671719978</v>
      </c>
      <c r="N10" s="1473">
        <f t="shared" si="2"/>
        <v>6.9579765990405686</v>
      </c>
      <c r="O10" s="1473">
        <f t="shared" si="3"/>
        <v>1.0842071432229972</v>
      </c>
      <c r="Q10" s="591"/>
      <c r="U10" s="592"/>
      <c r="V10" s="592"/>
    </row>
    <row r="11" spans="2:22" s="552" customFormat="1" ht="15" customHeight="1">
      <c r="B11" s="589"/>
      <c r="C11" s="1467"/>
      <c r="D11" s="1467"/>
      <c r="E11" s="1467"/>
      <c r="F11" s="1474" t="str">
        <f>IF(Indice_index!$Z$1=1,"Serviços e Fundos Autónomos","Autonomous Services and Funds")</f>
        <v>Autonomous Services and Funds</v>
      </c>
      <c r="G11" s="1474"/>
      <c r="H11" s="1472">
        <f t="shared" si="0"/>
        <v>-1409.5634008600246</v>
      </c>
      <c r="I11" s="1472">
        <f t="shared" si="1"/>
        <v>-1119.4983583800422</v>
      </c>
      <c r="J11" s="1472">
        <f>+'8 - SFA'!F32</f>
        <v>34274.398375959994</v>
      </c>
      <c r="K11" s="1472">
        <f>+'8 - SFA'!G32</f>
        <v>36053.586362350004</v>
      </c>
      <c r="L11" s="1472">
        <f>+'8 - SFA'!F59</f>
        <v>35683.961776820019</v>
      </c>
      <c r="M11" s="1472">
        <f>+'8 - SFA'!G59</f>
        <v>37173.084720730047</v>
      </c>
      <c r="N11" s="1473">
        <f t="shared" si="2"/>
        <v>5.1910115733437054</v>
      </c>
      <c r="O11" s="1473">
        <f t="shared" si="3"/>
        <v>4.1730874873802515</v>
      </c>
      <c r="Q11" s="591"/>
      <c r="U11" s="592"/>
      <c r="V11" s="592"/>
    </row>
    <row r="12" spans="2:22" s="552" customFormat="1" ht="15" customHeight="1">
      <c r="B12" s="589"/>
      <c r="C12" s="1467"/>
      <c r="D12" s="1467"/>
      <c r="E12" s="1467"/>
      <c r="F12" s="1475"/>
      <c r="G12" s="1476" t="str">
        <f>IF(Indice_index!$Z$1=1,"do qual: Entidades Públicas Reclassificadas (EPR)","of which: CG reclassified State Owned Enterprises")</f>
        <v>of which: CG reclassified State Owned Enterprises</v>
      </c>
      <c r="H12" s="1477">
        <f t="shared" si="0"/>
        <v>-2325.7375169999887</v>
      </c>
      <c r="I12" s="1477">
        <f t="shared" si="1"/>
        <v>-2075.5454696999968</v>
      </c>
      <c r="J12" s="1477">
        <f>+'9 - EPR'!F32</f>
        <v>11073.958092180001</v>
      </c>
      <c r="K12" s="1477">
        <f>+'9 - EPR'!G32</f>
        <v>11389.208701439999</v>
      </c>
      <c r="L12" s="1477">
        <f>+'9 - EPR'!F59</f>
        <v>13399.695609179989</v>
      </c>
      <c r="M12" s="1477">
        <f>+'9 - EPR'!G59</f>
        <v>13464.754171139995</v>
      </c>
      <c r="N12" s="1478">
        <f t="shared" si="2"/>
        <v>2.8467744471835741</v>
      </c>
      <c r="O12" s="1478">
        <f t="shared" si="3"/>
        <v>0.48552268542156374</v>
      </c>
      <c r="Q12" s="591"/>
      <c r="U12" s="593"/>
      <c r="V12" s="593"/>
    </row>
    <row r="13" spans="2:22" s="552" customFormat="1" ht="15" customHeight="1">
      <c r="C13" s="1479"/>
      <c r="D13" s="1479"/>
      <c r="E13" s="1468" t="str">
        <f>IF(Indice_index!$Z$1=1,"Segurança Social","Social Security")</f>
        <v>Social Security</v>
      </c>
      <c r="F13" s="1479"/>
      <c r="G13" s="1479"/>
      <c r="H13" s="1472">
        <f t="shared" si="0"/>
        <v>2131.5226409100069</v>
      </c>
      <c r="I13" s="1472">
        <f t="shared" si="1"/>
        <v>2253.780030370006</v>
      </c>
      <c r="J13" s="1472">
        <f>+'12 - SS Eco'!F29</f>
        <v>32145.817815340008</v>
      </c>
      <c r="K13" s="1472">
        <f>+'12 - SS Eco'!G29</f>
        <v>33480.0978092</v>
      </c>
      <c r="L13" s="1472">
        <f>+'12 - SS Eco'!F54</f>
        <v>30014.295174430001</v>
      </c>
      <c r="M13" s="1472">
        <f>+'12 - SS Eco'!G54</f>
        <v>31226.317778829994</v>
      </c>
      <c r="N13" s="1473">
        <f t="shared" si="2"/>
        <v>4.150710993027757</v>
      </c>
      <c r="O13" s="1473">
        <f t="shared" si="3"/>
        <v>4.0381511454999917</v>
      </c>
      <c r="Q13" s="591"/>
      <c r="U13" s="592"/>
      <c r="V13" s="592"/>
    </row>
    <row r="14" spans="2:22" ht="15" customHeight="1">
      <c r="C14" s="1479"/>
      <c r="D14" s="1471" t="str">
        <f>IF(Indice_index!$Z$1=1,"Administração Regional","Regional Government")</f>
        <v>Regional Government</v>
      </c>
      <c r="E14" s="1467"/>
      <c r="F14" s="1479"/>
      <c r="G14" s="1479"/>
      <c r="H14" s="1472">
        <f t="shared" si="0"/>
        <v>-376.6703500499998</v>
      </c>
      <c r="I14" s="1472">
        <f t="shared" si="1"/>
        <v>-354.70408776999466</v>
      </c>
      <c r="J14" s="1472">
        <f>'13 - Adm R'!J35</f>
        <v>2353.65166636</v>
      </c>
      <c r="K14" s="1472">
        <f>'13 - Adm R'!K35</f>
        <v>2700.0109838399994</v>
      </c>
      <c r="L14" s="1472">
        <f>'13 - Adm R'!J58</f>
        <v>2730.3220164099998</v>
      </c>
      <c r="M14" s="1472">
        <f>'13 - Adm R'!K58</f>
        <v>3054.7150716099941</v>
      </c>
      <c r="N14" s="1473">
        <f t="shared" si="2"/>
        <v>14.715827428094128</v>
      </c>
      <c r="O14" s="1473">
        <f t="shared" si="3"/>
        <v>11.881128059265579</v>
      </c>
      <c r="P14" s="552"/>
      <c r="Q14" s="591"/>
      <c r="U14" s="592"/>
      <c r="V14" s="592"/>
    </row>
    <row r="15" spans="2:22" ht="15" customHeight="1">
      <c r="C15" s="1467"/>
      <c r="D15" s="1468" t="str">
        <f>IF(Indice_index!$Z$1=1,"Administração Local","Local Government")</f>
        <v>Local Government</v>
      </c>
      <c r="E15" s="1468"/>
      <c r="F15" s="1468"/>
      <c r="G15" s="1468"/>
      <c r="H15" s="1472">
        <f t="shared" si="0"/>
        <v>203.66179445532543</v>
      </c>
      <c r="I15" s="1472">
        <f t="shared" si="1"/>
        <v>16.956468613889228</v>
      </c>
      <c r="J15" s="1472">
        <f>+'14 - Adm Loc'!D44</f>
        <v>8562.2679275398987</v>
      </c>
      <c r="K15" s="1472">
        <f>+'14 - Adm Loc'!E44</f>
        <v>9541.6429646228244</v>
      </c>
      <c r="L15" s="1472">
        <f>+'14 - Adm Loc'!D65</f>
        <v>8358.6061330845732</v>
      </c>
      <c r="M15" s="1472">
        <f>+'14 - Adm Loc'!E65</f>
        <v>9524.6864960089351</v>
      </c>
      <c r="N15" s="1473">
        <f t="shared" si="2"/>
        <v>11.438266652843678</v>
      </c>
      <c r="O15" s="1473">
        <f t="shared" si="3"/>
        <v>13.950655699744566</v>
      </c>
      <c r="P15" s="552"/>
      <c r="Q15" s="591"/>
      <c r="U15" s="592"/>
      <c r="V15" s="592"/>
    </row>
    <row r="16" spans="2:22" s="585" customFormat="1" ht="15" customHeight="1">
      <c r="B16" s="584"/>
      <c r="C16" s="1480" t="str">
        <f>IF(Indice_index!$Z$1=1,"Administrações Públicas","General Government")</f>
        <v>General Government</v>
      </c>
      <c r="D16" s="1480"/>
      <c r="E16" s="1480"/>
      <c r="F16" s="1480"/>
      <c r="G16" s="1480"/>
      <c r="H16" s="1481">
        <f t="shared" si="0"/>
        <v>-11655.528689414714</v>
      </c>
      <c r="I16" s="1481">
        <f t="shared" si="1"/>
        <v>-8794.0119088260835</v>
      </c>
      <c r="J16" s="1481">
        <f>'2 - Conta Consol AP'!K27</f>
        <v>84006.227816107668</v>
      </c>
      <c r="K16" s="1481">
        <f>'2 - Conta Consol AP'!Q27</f>
        <v>91808.426347461296</v>
      </c>
      <c r="L16" s="1481">
        <f>'2 - Conta Consol AP'!K50</f>
        <v>95661.756505522382</v>
      </c>
      <c r="M16" s="1481">
        <f>'2 - Conta Consol AP'!Q50</f>
        <v>100602.43825628738</v>
      </c>
      <c r="N16" s="1481">
        <f t="shared" si="2"/>
        <v>9.2876429928896354</v>
      </c>
      <c r="O16" s="1481">
        <f t="shared" si="3"/>
        <v>5.1647407817352597</v>
      </c>
      <c r="Q16" s="594"/>
      <c r="U16" s="595"/>
      <c r="V16" s="595"/>
    </row>
    <row r="17" spans="3:22" ht="4.5" customHeight="1">
      <c r="C17" s="1482"/>
      <c r="D17" s="1482"/>
      <c r="E17" s="1482"/>
      <c r="F17" s="1482"/>
      <c r="G17" s="1482"/>
      <c r="H17" s="1482"/>
      <c r="I17" s="1482"/>
      <c r="J17" s="1482"/>
      <c r="K17" s="1482"/>
      <c r="L17" s="1482"/>
      <c r="M17" s="1482"/>
      <c r="N17" s="1482"/>
      <c r="O17" s="1482"/>
      <c r="U17" s="596"/>
      <c r="V17" s="596"/>
    </row>
    <row r="18" spans="3:22" ht="15" customHeight="1">
      <c r="C18" s="1483" t="str">
        <f>IF(Indice_index!$Z$1=1,"Nota:","Note:")</f>
        <v>Note:</v>
      </c>
      <c r="D18" s="1468"/>
      <c r="E18" s="1468"/>
      <c r="F18" s="1468"/>
      <c r="G18" s="1468"/>
      <c r="H18" s="1484"/>
      <c r="I18" s="1484"/>
      <c r="J18" s="1484"/>
      <c r="K18" s="1484"/>
      <c r="L18" s="1484"/>
      <c r="M18" s="1484"/>
      <c r="N18" s="1484"/>
      <c r="O18" s="1484"/>
      <c r="P18" s="552"/>
      <c r="Q18" s="597"/>
      <c r="U18" s="595"/>
      <c r="V18" s="595"/>
    </row>
    <row r="19" spans="3:22" ht="21.75" customHeight="1">
      <c r="C19" s="1537" t="str">
        <f>IF(Indice_index!$Z$1=1,"Valores na ótica de caixa (Contabilidade Pública) não consolidados de fluxos inter-setoriais; divergências relativamente aos valores publicados em 2020 devem-se a atualizações de valores.","Cash basis amounts not consolidated of flows among different subsectors; differences against the values published in 2020 are due to data updates.")</f>
        <v>Cash basis amounts not consolidated of flows among different subsectors; differences against the values published in 2020 are due to data updates.</v>
      </c>
      <c r="D19" s="1537"/>
      <c r="E19" s="1537"/>
      <c r="F19" s="1537"/>
      <c r="G19" s="1537"/>
      <c r="H19" s="1537"/>
      <c r="I19" s="1537"/>
      <c r="J19" s="1537"/>
      <c r="K19" s="1537"/>
      <c r="L19" s="1537"/>
      <c r="M19" s="1537"/>
      <c r="N19" s="1537"/>
      <c r="O19" s="1537"/>
      <c r="U19" s="596"/>
      <c r="V19" s="596"/>
    </row>
    <row r="20" spans="3:22" ht="36" customHeight="1">
      <c r="C20" s="1536" t="str">
        <f>IF(Indice_index!$Z$1=1,"Os valores apresentados em dezembro de 2020 para os subsetores Estado, Serviços e Fundos Autónomos e Segurança Social dizem respeito à Conta Geral do Estado de 2020,","The figures presented in December 2020 for the subsectors State, Services and Autonomous Funds and Social Security refer to the 2020 General State Accounts (CGE 2020), ")&amp;IF(Indice_index!$Z$1=1," enquanto que para a Adm. Regional diferem dos apresentados na CGE 2020 por refletirem informação mais atualizada, designadamente a disponibilizada nas Contas de Gerência de 2020.","while for Regional Administration subsector, differ from those presented in the 2020 CGE report, because they reflect the most up-to-date available information in the 2020 Final Accounts.")</f>
        <v>The figures presented in December 2020 for the subsectors State, Services and Autonomous Funds and Social Security refer to the 2020 General State Accounts (CGE 2020), while for Regional Administration subsector, differ from those presented in the 2020 CGE report, because they reflect the most up-to-date available information in the 2020 Final Accounts.</v>
      </c>
      <c r="D20" s="1536"/>
      <c r="E20" s="1536"/>
      <c r="F20" s="1536"/>
      <c r="G20" s="1536"/>
      <c r="H20" s="1536"/>
      <c r="I20" s="1536"/>
      <c r="J20" s="1536"/>
      <c r="K20" s="1536"/>
      <c r="L20" s="1536"/>
      <c r="M20" s="1536"/>
      <c r="N20" s="1536"/>
      <c r="O20" s="1536"/>
      <c r="U20" s="596"/>
      <c r="V20" s="596"/>
    </row>
    <row r="21" spans="3:22" ht="15" customHeight="1">
      <c r="C21" s="138" t="str">
        <f>IF(Indice_index!$Z$1=1,"Fonte: Direção-Geral do Orçamento","Source: Budget General Directorate")</f>
        <v>Source: Budget General Directorate</v>
      </c>
      <c r="D21" s="1468"/>
      <c r="E21" s="1468"/>
      <c r="F21" s="1468"/>
      <c r="G21" s="1468"/>
      <c r="H21" s="1470"/>
      <c r="I21" s="1485"/>
      <c r="J21" s="1468"/>
      <c r="K21" s="1468"/>
      <c r="L21" s="1468"/>
      <c r="M21" s="1470"/>
      <c r="N21" s="1485"/>
      <c r="O21" s="1485"/>
      <c r="U21" s="596"/>
      <c r="V21" s="19"/>
    </row>
    <row r="22" spans="3:22">
      <c r="I22" s="597"/>
    </row>
    <row r="24" spans="3:22">
      <c r="G24" s="551"/>
    </row>
    <row r="26" spans="3:22" s="548" customFormat="1">
      <c r="M26" s="550"/>
      <c r="U26" s="549"/>
      <c r="V26" s="549"/>
    </row>
    <row r="27" spans="3:22" s="548" customFormat="1">
      <c r="U27" s="549"/>
      <c r="V27" s="549"/>
    </row>
    <row r="28" spans="3:22" s="548" customFormat="1">
      <c r="U28" s="549"/>
      <c r="V28" s="549"/>
    </row>
  </sheetData>
  <mergeCells count="7">
    <mergeCell ref="C20:O20"/>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L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9"/>
  <sheetViews>
    <sheetView showGridLines="0" zoomScaleNormal="100" zoomScaleSheetLayoutView="100" workbookViewId="0">
      <selection activeCell="B2" sqref="B2"/>
    </sheetView>
  </sheetViews>
  <sheetFormatPr defaultColWidth="9.140625" defaultRowHeight="12.75"/>
  <cols>
    <col min="1" max="1" width="3.42578125" style="18" customWidth="1"/>
    <col min="2" max="2" width="4.42578125" style="18" customWidth="1"/>
    <col min="3" max="3" width="31" style="18" customWidth="1"/>
    <col min="4" max="4" width="1.5703125" style="18" customWidth="1"/>
    <col min="5" max="5" width="8.42578125" style="18" customWidth="1"/>
    <col min="6" max="6" width="1.5703125" style="18" customWidth="1"/>
    <col min="7" max="11" width="8.42578125" style="18" customWidth="1"/>
    <col min="12" max="12" width="1.5703125" style="21" customWidth="1"/>
    <col min="13" max="17" width="8.42578125" style="18" customWidth="1"/>
    <col min="18" max="18" width="1.5703125" style="18" customWidth="1"/>
    <col min="19" max="19" width="8.42578125" style="18" customWidth="1"/>
    <col min="20" max="20" width="9.140625" style="18" customWidth="1"/>
    <col min="21" max="21" width="8.42578125" style="18" customWidth="1"/>
    <col min="22" max="22" width="9.140625" style="18" customWidth="1"/>
    <col min="23" max="23" width="8.42578125" style="18" customWidth="1"/>
    <col min="24" max="24" width="9.5703125" style="20" customWidth="1"/>
    <col min="25" max="28" width="7" style="20" customWidth="1"/>
    <col min="29" max="29" width="10.140625" style="20" customWidth="1"/>
    <col min="30" max="30" width="8.42578125" style="20" customWidth="1"/>
    <col min="31" max="31" width="7" style="20" customWidth="1"/>
    <col min="32" max="16384" width="9.140625" style="18"/>
  </cols>
  <sheetData>
    <row r="1" spans="2:31" ht="15" customHeight="1"/>
    <row r="2" spans="2:31"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9"/>
    </row>
    <row r="3" spans="2:31" ht="15" customHeight="1"/>
    <row r="4" spans="2:31" ht="15" customHeight="1"/>
    <row r="5" spans="2:31" s="598" customFormat="1" ht="15" customHeight="1">
      <c r="C5" s="849" t="str">
        <f>+'4 - Conta AC + SS'!C5</f>
        <v>Period: January to December</v>
      </c>
      <c r="D5" s="1399"/>
      <c r="E5" s="770"/>
      <c r="F5" s="1399"/>
      <c r="G5" s="1400"/>
      <c r="H5" s="1401"/>
      <c r="I5" s="1400"/>
      <c r="J5" s="1400"/>
      <c r="K5" s="1402"/>
      <c r="L5" s="1402"/>
      <c r="M5" s="1400"/>
      <c r="N5" s="1401"/>
      <c r="O5" s="1400"/>
      <c r="P5" s="1400"/>
      <c r="Q5" s="1384"/>
      <c r="R5" s="1399"/>
      <c r="S5" s="1384" t="str">
        <f>IF(Indice_index!$Z$1=1,"€ Milhões","€ Millions")</f>
        <v>€ Millions</v>
      </c>
      <c r="X5" s="599"/>
      <c r="Y5" s="599"/>
      <c r="Z5" s="599"/>
      <c r="AA5" s="599"/>
      <c r="AB5" s="599"/>
      <c r="AC5" s="599"/>
      <c r="AD5" s="599"/>
      <c r="AE5" s="599"/>
    </row>
    <row r="6" spans="2:31" s="600" customFormat="1" ht="25.35" customHeight="1">
      <c r="C6" s="1403"/>
      <c r="D6" s="1404"/>
      <c r="E6" s="1405" t="str">
        <f>IF(Indice_index!$Z$1=1,"CGE","Final execution")</f>
        <v>Final execution</v>
      </c>
      <c r="F6" s="1406"/>
      <c r="G6" s="1543" t="str">
        <f>IF(Indice_index!$Z$1=1,"Execução Acumulada","Accumulated Execution")</f>
        <v>Accumulated Execution</v>
      </c>
      <c r="H6" s="1543"/>
      <c r="I6" s="1543"/>
      <c r="J6" s="1543"/>
      <c r="K6" s="1543"/>
      <c r="L6" s="1543"/>
      <c r="M6" s="1543"/>
      <c r="N6" s="1543"/>
      <c r="O6" s="1543"/>
      <c r="P6" s="1543"/>
      <c r="Q6" s="1543"/>
      <c r="R6" s="1407"/>
      <c r="S6" s="1408" t="str">
        <f>IF(Indice_index!$Z$1=1,"Orçamento Inicial","Budget")</f>
        <v>Budget</v>
      </c>
      <c r="X6" s="601"/>
      <c r="Y6" s="601"/>
      <c r="Z6" s="601"/>
      <c r="AA6" s="601"/>
      <c r="AB6" s="601"/>
      <c r="AC6" s="601"/>
      <c r="AD6" s="601"/>
      <c r="AE6" s="601"/>
    </row>
    <row r="7" spans="2:31" ht="15">
      <c r="C7" s="1235"/>
      <c r="D7" s="1409"/>
      <c r="E7" s="1410" t="s">
        <v>66</v>
      </c>
      <c r="F7" s="1411"/>
      <c r="G7" s="1544" t="s">
        <v>66</v>
      </c>
      <c r="H7" s="1544"/>
      <c r="I7" s="1544"/>
      <c r="J7" s="1544"/>
      <c r="K7" s="1544"/>
      <c r="L7" s="1412"/>
      <c r="M7" s="1544" t="s">
        <v>83</v>
      </c>
      <c r="N7" s="1544"/>
      <c r="O7" s="1544"/>
      <c r="P7" s="1544"/>
      <c r="Q7" s="1544"/>
      <c r="R7" s="1411"/>
      <c r="S7" s="1410" t="s">
        <v>83</v>
      </c>
      <c r="W7" s="602"/>
      <c r="X7" s="603"/>
      <c r="Y7" s="603"/>
      <c r="Z7" s="603"/>
      <c r="AA7" s="603"/>
      <c r="AB7" s="603"/>
      <c r="AC7" s="603"/>
      <c r="AD7" s="603"/>
      <c r="AE7" s="603"/>
    </row>
    <row r="8" spans="2:31" ht="33" customHeight="1">
      <c r="C8" s="1413"/>
      <c r="D8" s="1414"/>
      <c r="E8" s="1415" t="str">
        <f>IF(Indice_index!$Z$1=1,"Adm. Públicas","General Government")</f>
        <v>General Government</v>
      </c>
      <c r="F8" s="1414"/>
      <c r="G8" s="1415" t="str">
        <f>IF(Indice_index!$Z$1=1,"Estado","State")</f>
        <v>State</v>
      </c>
      <c r="H8" s="1415" t="str">
        <f>IF(Indice_index!$Z$1=1,"Serviços e Fundos Autónomos","Autonomous Funds and Services")</f>
        <v>Autonomous Funds and Services</v>
      </c>
      <c r="I8" s="1415" t="str">
        <f>IF(Indice_index!$Z$1=1,"Adm. Local e Regional","Local and Regional Government")</f>
        <v>Local and Regional Government</v>
      </c>
      <c r="J8" s="1415" t="str">
        <f>IF(Indice_index!$Z$1=1,"Segurança Social","Social Security")</f>
        <v>Social Security</v>
      </c>
      <c r="K8" s="1415" t="str">
        <f>IF(Indice_index!$Z$1=1,"Adm. Públicas","General Government")</f>
        <v>General Government</v>
      </c>
      <c r="L8" s="1414"/>
      <c r="M8" s="1415" t="str">
        <f>IF(Indice_index!$Z$1=1,"Estado","State")</f>
        <v>State</v>
      </c>
      <c r="N8" s="1415" t="str">
        <f>IF(Indice_index!$Z$1=1,"Serviços e Fundos Autónomos","Autonomous Funds and Services")</f>
        <v>Autonomous Funds and Services</v>
      </c>
      <c r="O8" s="1415" t="str">
        <f>IF(Indice_index!$Z$1=1,"Adm. Local e Regional","Local and Regional Government")</f>
        <v>Local and Regional Government</v>
      </c>
      <c r="P8" s="1415" t="str">
        <f>IF(Indice_index!$Z$1=1,"Segurança Social","Social Security")</f>
        <v>Social Security</v>
      </c>
      <c r="Q8" s="1415" t="str">
        <f>IF(Indice_index!$Z$1=1,"Adm. Públicas","General Government")</f>
        <v>General Government</v>
      </c>
      <c r="R8" s="1414"/>
      <c r="S8" s="1415" t="str">
        <f>IF(Indice_index!$Z$1=1,"Adm. Públicas","General Government")</f>
        <v>General Government</v>
      </c>
      <c r="W8" s="602"/>
      <c r="X8" s="1542"/>
      <c r="Y8" s="1542"/>
      <c r="Z8" s="1542"/>
      <c r="AA8" s="1542"/>
      <c r="AB8" s="1542"/>
      <c r="AC8" s="1542"/>
      <c r="AD8" s="1542"/>
      <c r="AE8" s="1542"/>
    </row>
    <row r="9" spans="2:31" s="600" customFormat="1" ht="15" customHeight="1">
      <c r="C9" s="327" t="str">
        <f>IF(Indice_index!$Z$1=1,"Receita corrente","Current revenue")</f>
        <v>Current revenue</v>
      </c>
      <c r="D9" s="1416"/>
      <c r="E9" s="1417">
        <f>E10+E13+E14+E17+E18</f>
        <v>82315.134727142722</v>
      </c>
      <c r="F9" s="1235"/>
      <c r="G9" s="1417">
        <f>G10+G13+G14+G17+G18</f>
        <v>46622.917327949996</v>
      </c>
      <c r="H9" s="1417">
        <f t="shared" ref="H9:K9" si="0">H10+H13+H14+H17+H18</f>
        <v>31373.489314230002</v>
      </c>
      <c r="I9" s="1417">
        <f t="shared" si="0"/>
        <v>10346.967202074014</v>
      </c>
      <c r="J9" s="1417">
        <f t="shared" si="0"/>
        <v>32144.816537420003</v>
      </c>
      <c r="K9" s="1417">
        <f t="shared" si="0"/>
        <v>82334.840099404028</v>
      </c>
      <c r="L9" s="1417"/>
      <c r="M9" s="1417">
        <f>M10+M13+M14+M17+M18</f>
        <v>49923.725260130006</v>
      </c>
      <c r="N9" s="1417">
        <f t="shared" ref="N9" si="1">N10+N13+N14+N17+N18</f>
        <v>33067.525319200024</v>
      </c>
      <c r="O9" s="1417">
        <f t="shared" ref="O9" si="2">O10+O13+O14+O17+O18</f>
        <v>11339.898903552828</v>
      </c>
      <c r="P9" s="1417">
        <f t="shared" ref="P9" si="3">P10+P13+P14+P17+P18</f>
        <v>33479.182356109995</v>
      </c>
      <c r="Q9" s="1417">
        <f t="shared" ref="Q9:S9" si="4">Q10+Q13+Q14+Q17+Q18</f>
        <v>89703.674429272854</v>
      </c>
      <c r="R9" s="1417"/>
      <c r="S9" s="1417">
        <f t="shared" si="4"/>
        <v>87668.216194127628</v>
      </c>
      <c r="T9" s="605"/>
      <c r="U9" s="604"/>
      <c r="V9" s="605"/>
      <c r="W9" s="606"/>
      <c r="X9" s="607"/>
      <c r="Y9" s="607"/>
      <c r="Z9" s="607"/>
      <c r="AA9" s="607"/>
      <c r="AB9" s="607"/>
      <c r="AC9" s="607"/>
      <c r="AD9" s="607"/>
      <c r="AE9" s="607"/>
    </row>
    <row r="10" spans="2:31" ht="15" customHeight="1">
      <c r="C10" s="755" t="str">
        <f>IF(Indice_index!$Z$1=1,"Receita Fiscal","Tax")</f>
        <v>Tax</v>
      </c>
      <c r="D10" s="635"/>
      <c r="E10" s="934">
        <f>E11+E12</f>
        <v>48668.684882847563</v>
      </c>
      <c r="F10" s="934"/>
      <c r="G10" s="934">
        <f t="shared" ref="G10:J10" si="5">G11+G12</f>
        <v>43222.305527409997</v>
      </c>
      <c r="H10" s="934">
        <f t="shared" si="5"/>
        <v>560.42877366000005</v>
      </c>
      <c r="I10" s="934">
        <f t="shared" si="5"/>
        <v>4697.3385980178373</v>
      </c>
      <c r="J10" s="934">
        <f t="shared" si="5"/>
        <v>203.94357764000003</v>
      </c>
      <c r="K10" s="934">
        <f>K11+K12</f>
        <v>48684.016476727833</v>
      </c>
      <c r="L10" s="934"/>
      <c r="M10" s="934">
        <f t="shared" ref="M10:P10" si="6">M11+M12</f>
        <v>45524.928779730006</v>
      </c>
      <c r="N10" s="934">
        <f t="shared" si="6"/>
        <v>567.38262564000001</v>
      </c>
      <c r="O10" s="934">
        <f t="shared" si="6"/>
        <v>5081.5247224779514</v>
      </c>
      <c r="P10" s="934">
        <f t="shared" si="6"/>
        <v>212.25092950999999</v>
      </c>
      <c r="Q10" s="934">
        <f>Q11+Q12</f>
        <v>51386.08705735796</v>
      </c>
      <c r="R10" s="934"/>
      <c r="S10" s="1418">
        <f>S11+S12</f>
        <v>49290.215870097258</v>
      </c>
      <c r="T10" s="608"/>
      <c r="U10" s="609"/>
      <c r="V10" s="608"/>
      <c r="W10" s="610"/>
      <c r="X10" s="603"/>
      <c r="Y10" s="603"/>
      <c r="Z10" s="603"/>
      <c r="AA10" s="603"/>
      <c r="AB10" s="603"/>
      <c r="AC10" s="603"/>
      <c r="AD10" s="603"/>
      <c r="AE10" s="603"/>
    </row>
    <row r="11" spans="2:31" ht="15" customHeight="1">
      <c r="C11" s="866" t="str">
        <f>IF(Indice_index!$Z$1=1,"Impostos diretos","Direct taxes")</f>
        <v>Direct taxes</v>
      </c>
      <c r="D11" s="635"/>
      <c r="E11" s="934">
        <v>22803.611299675162</v>
      </c>
      <c r="F11" s="254"/>
      <c r="G11" s="934">
        <v>19153.901822949996</v>
      </c>
      <c r="H11" s="934">
        <v>0</v>
      </c>
      <c r="I11" s="934">
        <v>3666.7246606647791</v>
      </c>
      <c r="J11" s="934">
        <v>0</v>
      </c>
      <c r="K11" s="934">
        <v>22820.626483614775</v>
      </c>
      <c r="L11" s="934"/>
      <c r="M11" s="934">
        <v>19954.719886010003</v>
      </c>
      <c r="N11" s="934">
        <v>1.5595100000000001E-3</v>
      </c>
      <c r="O11" s="934">
        <v>3987.025644846155</v>
      </c>
      <c r="P11" s="934">
        <v>0</v>
      </c>
      <c r="Q11" s="934">
        <v>23941.74709036616</v>
      </c>
      <c r="R11" s="934"/>
      <c r="S11" s="1418">
        <v>22573.058935334811</v>
      </c>
      <c r="T11" s="608"/>
      <c r="U11" s="609"/>
      <c r="V11" s="608"/>
      <c r="W11" s="610"/>
      <c r="X11" s="603"/>
      <c r="Y11" s="603"/>
      <c r="Z11" s="603"/>
      <c r="AA11" s="603"/>
      <c r="AB11" s="603"/>
      <c r="AC11" s="603"/>
      <c r="AD11" s="603"/>
      <c r="AE11" s="603"/>
    </row>
    <row r="12" spans="2:31" ht="15" customHeight="1">
      <c r="C12" s="866" t="str">
        <f>IF(Indice_index!$Z$1=1,"Impostos indiretos","Indirect taxes")</f>
        <v>Indirect taxes</v>
      </c>
      <c r="D12" s="635"/>
      <c r="E12" s="934">
        <v>25865.073583172398</v>
      </c>
      <c r="F12" s="254"/>
      <c r="G12" s="934">
        <v>24068.403704460001</v>
      </c>
      <c r="H12" s="934">
        <v>560.42877366000005</v>
      </c>
      <c r="I12" s="934">
        <v>1030.6139373530582</v>
      </c>
      <c r="J12" s="934">
        <v>203.94357764000003</v>
      </c>
      <c r="K12" s="934">
        <v>25863.389993113058</v>
      </c>
      <c r="L12" s="934"/>
      <c r="M12" s="934">
        <v>25570.208893719999</v>
      </c>
      <c r="N12" s="934">
        <v>567.38106613000002</v>
      </c>
      <c r="O12" s="934">
        <v>1094.4990776317966</v>
      </c>
      <c r="P12" s="934">
        <v>212.25092950999999</v>
      </c>
      <c r="Q12" s="934">
        <v>27444.339966991796</v>
      </c>
      <c r="R12" s="934"/>
      <c r="S12" s="1418">
        <v>26717.156934762446</v>
      </c>
      <c r="T12" s="608"/>
      <c r="U12" s="609"/>
      <c r="V12" s="608"/>
      <c r="W12" s="610"/>
      <c r="X12" s="603"/>
      <c r="Y12" s="603"/>
      <c r="Z12" s="603"/>
      <c r="AA12" s="603"/>
      <c r="AB12" s="603"/>
      <c r="AC12" s="603"/>
      <c r="AD12" s="603"/>
      <c r="AE12" s="603"/>
    </row>
    <row r="13" spans="2:31" ht="15" customHeight="1">
      <c r="C13" s="713" t="str">
        <f>IF(Indice_index!$Z$1=1,"Contribuições de Segurança Social","Social security contributions")</f>
        <v>Social security contributions</v>
      </c>
      <c r="D13" s="635"/>
      <c r="E13" s="934">
        <v>22399.486679070003</v>
      </c>
      <c r="F13" s="254"/>
      <c r="G13" s="934">
        <v>64.415744000000004</v>
      </c>
      <c r="H13" s="934">
        <v>4105.16822589</v>
      </c>
      <c r="I13" s="934">
        <v>0</v>
      </c>
      <c r="J13" s="934">
        <v>18229.902709180002</v>
      </c>
      <c r="K13" s="934">
        <v>22399.486679070003</v>
      </c>
      <c r="L13" s="934"/>
      <c r="M13" s="934">
        <v>66.57852659000001</v>
      </c>
      <c r="N13" s="934">
        <v>4185.24116452</v>
      </c>
      <c r="O13" s="934">
        <v>0</v>
      </c>
      <c r="P13" s="934">
        <v>19943.295371319997</v>
      </c>
      <c r="Q13" s="934">
        <v>24195.115062429999</v>
      </c>
      <c r="R13" s="934"/>
      <c r="S13" s="1418">
        <v>22840.946011</v>
      </c>
      <c r="T13" s="608"/>
      <c r="U13" s="609"/>
      <c r="V13" s="608"/>
      <c r="W13" s="610"/>
      <c r="X13" s="603"/>
      <c r="Y13" s="603"/>
      <c r="Z13" s="603"/>
      <c r="AA13" s="603"/>
      <c r="AB13" s="603"/>
      <c r="AC13" s="603"/>
      <c r="AD13" s="603"/>
      <c r="AE13" s="603"/>
    </row>
    <row r="14" spans="2:31" ht="15" customHeight="1">
      <c r="C14" s="713" t="str">
        <f>IF(Indice_index!$Z$1=1,"Transferências Correntes","Current transfers")</f>
        <v>Current transfers</v>
      </c>
      <c r="D14" s="635"/>
      <c r="E14" s="934">
        <v>2024.4207582735983</v>
      </c>
      <c r="F14" s="254"/>
      <c r="G14" s="934">
        <v>968.49879079000004</v>
      </c>
      <c r="H14" s="934">
        <v>21900.297634200004</v>
      </c>
      <c r="I14" s="934">
        <v>3988.8400263645053</v>
      </c>
      <c r="J14" s="934">
        <v>12901.819422470002</v>
      </c>
      <c r="K14" s="934">
        <v>2024.3122447645085</v>
      </c>
      <c r="L14" s="934"/>
      <c r="M14" s="934">
        <v>1215.0406647900002</v>
      </c>
      <c r="N14" s="934">
        <v>22642.661765500005</v>
      </c>
      <c r="O14" s="934">
        <v>4408.5096872196345</v>
      </c>
      <c r="P14" s="934">
        <v>12246.558167969999</v>
      </c>
      <c r="Q14" s="934">
        <v>3018.7799533796315</v>
      </c>
      <c r="R14" s="934"/>
      <c r="S14" s="1418">
        <v>4061.4871057814371</v>
      </c>
      <c r="T14" s="608"/>
      <c r="U14" s="609"/>
      <c r="V14" s="608"/>
      <c r="W14" s="610"/>
      <c r="X14" s="603"/>
      <c r="Y14" s="603"/>
      <c r="Z14" s="603"/>
      <c r="AA14" s="603"/>
      <c r="AB14" s="603"/>
      <c r="AC14" s="603"/>
      <c r="AD14" s="603"/>
      <c r="AE14" s="603"/>
    </row>
    <row r="15" spans="2:31" ht="15" customHeight="1">
      <c r="C15" s="1419" t="str">
        <f>IF(Indice_index!$Z$1=1,"Administrações Públicas","General Government subsectors")</f>
        <v>General Government subsectors</v>
      </c>
      <c r="D15" s="635"/>
      <c r="E15" s="1418">
        <v>0</v>
      </c>
      <c r="F15" s="1420"/>
      <c r="G15" s="1418">
        <v>872.52457933000005</v>
      </c>
      <c r="H15" s="1418">
        <v>21099.326276400003</v>
      </c>
      <c r="I15" s="1418">
        <v>3859.6530164199976</v>
      </c>
      <c r="J15" s="1418">
        <v>11903.639756910001</v>
      </c>
      <c r="K15" s="1418">
        <v>0</v>
      </c>
      <c r="L15" s="1418"/>
      <c r="M15" s="1418">
        <v>743.95462127000019</v>
      </c>
      <c r="N15" s="1418">
        <v>21646.966884870002</v>
      </c>
      <c r="O15" s="1418">
        <v>4231.6490247900047</v>
      </c>
      <c r="P15" s="1418">
        <v>10871.419801169999</v>
      </c>
      <c r="Q15" s="1418">
        <v>0</v>
      </c>
      <c r="R15" s="934"/>
      <c r="S15" s="1418">
        <v>0</v>
      </c>
      <c r="T15" s="608"/>
      <c r="U15" s="609"/>
      <c r="V15" s="608"/>
      <c r="W15" s="610"/>
      <c r="X15" s="603"/>
      <c r="Y15" s="603"/>
      <c r="Z15" s="603"/>
      <c r="AA15" s="603"/>
      <c r="AB15" s="603"/>
      <c r="AC15" s="603"/>
      <c r="AD15" s="603"/>
      <c r="AE15" s="603"/>
    </row>
    <row r="16" spans="2:31" ht="15" customHeight="1">
      <c r="C16" s="1419" t="str">
        <f>IF(Indice_index!$Z$1=1,"Outras","Others")</f>
        <v>Others</v>
      </c>
      <c r="D16" s="635"/>
      <c r="E16" s="1418">
        <v>2024.4207582735983</v>
      </c>
      <c r="F16" s="1420"/>
      <c r="G16" s="1418">
        <v>95.974211459999964</v>
      </c>
      <c r="H16" s="1418">
        <v>800.97135780000065</v>
      </c>
      <c r="I16" s="1418">
        <v>129.18700994450774</v>
      </c>
      <c r="J16" s="1418">
        <v>998.1796655600001</v>
      </c>
      <c r="K16" s="1418">
        <v>2024.3122447645085</v>
      </c>
      <c r="L16" s="1418"/>
      <c r="M16" s="1418">
        <v>471.08604352000003</v>
      </c>
      <c r="N16" s="1418">
        <v>995.69488063000131</v>
      </c>
      <c r="O16" s="1418">
        <v>176.86066242963017</v>
      </c>
      <c r="P16" s="1418">
        <v>1375.1383668000001</v>
      </c>
      <c r="Q16" s="1418">
        <v>3018.7799533796315</v>
      </c>
      <c r="R16" s="934"/>
      <c r="S16" s="1418">
        <v>4061.4871057814371</v>
      </c>
      <c r="T16" s="608"/>
      <c r="U16" s="609"/>
      <c r="V16" s="608"/>
      <c r="W16" s="610"/>
      <c r="X16" s="603"/>
      <c r="Y16" s="603"/>
      <c r="Z16" s="603"/>
      <c r="AA16" s="603"/>
      <c r="AB16" s="603"/>
      <c r="AC16" s="603"/>
      <c r="AD16" s="603"/>
      <c r="AE16" s="603"/>
    </row>
    <row r="17" spans="3:31" ht="15" customHeight="1">
      <c r="C17" s="713" t="str">
        <f>IF(Indice_index!$Z$1=1,"Outras receitas correntes","Other current revenue")</f>
        <v>Other current revenue</v>
      </c>
      <c r="D17" s="635"/>
      <c r="E17" s="934">
        <v>9202.9319249315577</v>
      </c>
      <c r="F17" s="254"/>
      <c r="G17" s="934">
        <v>2367.6925418100004</v>
      </c>
      <c r="H17" s="934">
        <v>4794.1255623499965</v>
      </c>
      <c r="I17" s="934">
        <v>1654.4169173716718</v>
      </c>
      <c r="J17" s="934">
        <v>809.15082813000004</v>
      </c>
      <c r="K17" s="934">
        <v>9207.1791964516688</v>
      </c>
      <c r="L17" s="934"/>
      <c r="M17" s="934">
        <v>3117.17284728</v>
      </c>
      <c r="N17" s="934">
        <v>5630.3953679500173</v>
      </c>
      <c r="O17" s="934">
        <v>1849.8644938552429</v>
      </c>
      <c r="P17" s="934">
        <v>1077.0778873099998</v>
      </c>
      <c r="Q17" s="934">
        <v>11061.843518775258</v>
      </c>
      <c r="R17" s="934"/>
      <c r="S17" s="1418">
        <v>11465.134304248941</v>
      </c>
      <c r="T17" s="608"/>
      <c r="U17" s="609"/>
      <c r="V17" s="608"/>
      <c r="W17" s="610"/>
      <c r="X17" s="603"/>
      <c r="Y17" s="603"/>
      <c r="Z17" s="603"/>
      <c r="AA17" s="603"/>
      <c r="AB17" s="603"/>
      <c r="AC17" s="603"/>
      <c r="AD17" s="603"/>
      <c r="AE17" s="603"/>
    </row>
    <row r="18" spans="3:31" ht="15" customHeight="1">
      <c r="C18" s="755" t="str">
        <f>IF(Indice_index!$Z$1=1,"Diferenças de consolidação","Consolidation differences")</f>
        <v>Consolidation differences</v>
      </c>
      <c r="D18" s="635"/>
      <c r="E18" s="934">
        <v>19.610482020002355</v>
      </c>
      <c r="F18" s="254"/>
      <c r="G18" s="934">
        <v>4.7239399999999994E-3</v>
      </c>
      <c r="H18" s="934">
        <v>13.469118130002338</v>
      </c>
      <c r="I18" s="934">
        <v>6.3716603200002737</v>
      </c>
      <c r="J18" s="934">
        <v>0</v>
      </c>
      <c r="K18" s="934">
        <v>19.845502390002611</v>
      </c>
      <c r="L18" s="934"/>
      <c r="M18" s="934">
        <v>4.4417399999999996E-3</v>
      </c>
      <c r="N18" s="934">
        <v>41.844395590001696</v>
      </c>
      <c r="O18" s="934">
        <v>0</v>
      </c>
      <c r="P18" s="934">
        <v>0</v>
      </c>
      <c r="Q18" s="934">
        <v>41.848837330001693</v>
      </c>
      <c r="R18" s="934"/>
      <c r="S18" s="1418">
        <v>10.432902999999969</v>
      </c>
      <c r="T18" s="608"/>
      <c r="U18" s="609"/>
      <c r="V18" s="608"/>
      <c r="W18" s="610"/>
      <c r="X18" s="603"/>
      <c r="Y18" s="603"/>
      <c r="Z18" s="603"/>
      <c r="AA18" s="603"/>
      <c r="AB18" s="603"/>
      <c r="AC18" s="603"/>
      <c r="AD18" s="603"/>
      <c r="AE18" s="603"/>
    </row>
    <row r="19" spans="3:31" s="600" customFormat="1" ht="15" customHeight="1">
      <c r="C19" s="327" t="str">
        <f>IF(Indice_index!$Z$1=1,"Receita de capital","Capital revenue")</f>
        <v>Capital revenue</v>
      </c>
      <c r="D19" s="1421"/>
      <c r="E19" s="1417">
        <f>E20+E21+E24+E25</f>
        <v>1685.285814193363</v>
      </c>
      <c r="F19" s="254"/>
      <c r="G19" s="1417">
        <f>G20+G21+G24+G25</f>
        <v>131.64581931000001</v>
      </c>
      <c r="H19" s="1417">
        <f t="shared" ref="H19:K19" si="7">H20+H21+H24+H25</f>
        <v>2900.9090617299998</v>
      </c>
      <c r="I19" s="1417">
        <f t="shared" si="7"/>
        <v>1161.7032629036419</v>
      </c>
      <c r="J19" s="1417">
        <f t="shared" si="7"/>
        <v>1.0012779200000002</v>
      </c>
      <c r="K19" s="1417">
        <f t="shared" si="7"/>
        <v>1671.3877167036421</v>
      </c>
      <c r="L19" s="1417"/>
      <c r="M19" s="1417">
        <f>M20+M21+M24+M25</f>
        <v>84.009449899999993</v>
      </c>
      <c r="N19" s="1417">
        <f t="shared" ref="N19" si="8">N20+N21+N24+N25</f>
        <v>2986.0610431499999</v>
      </c>
      <c r="O19" s="1417">
        <f t="shared" ref="O19" si="9">O20+O21+O24+O25</f>
        <v>1560.8230277384348</v>
      </c>
      <c r="P19" s="1417">
        <f t="shared" ref="P19" si="10">P20+P21+P24+P25</f>
        <v>0.91545309000000008</v>
      </c>
      <c r="Q19" s="1417">
        <f t="shared" ref="Q19:S19" si="11">Q20+Q21+Q24+Q25</f>
        <v>2104.751918188435</v>
      </c>
      <c r="R19" s="1417"/>
      <c r="S19" s="1417">
        <f t="shared" si="11"/>
        <v>3778.9999858219035</v>
      </c>
      <c r="T19" s="605"/>
      <c r="U19" s="604"/>
      <c r="V19" s="605"/>
      <c r="W19" s="606"/>
      <c r="X19" s="607"/>
      <c r="Y19" s="607"/>
      <c r="Z19" s="607"/>
      <c r="AA19" s="607"/>
      <c r="AB19" s="607"/>
      <c r="AC19" s="607"/>
      <c r="AD19" s="607"/>
      <c r="AE19" s="607"/>
    </row>
    <row r="20" spans="3:31" s="600" customFormat="1" ht="15" customHeight="1">
      <c r="C20" s="713" t="str">
        <f>IF(Indice_index!$Z$1=1,"Venda de bens de investimento","Sale of investment goods")</f>
        <v>Sale of investment goods</v>
      </c>
      <c r="D20" s="1421"/>
      <c r="E20" s="934">
        <v>213.15745098698093</v>
      </c>
      <c r="F20" s="254"/>
      <c r="G20" s="934">
        <v>71.307551049999987</v>
      </c>
      <c r="H20" s="934">
        <v>73.584087759999989</v>
      </c>
      <c r="I20" s="934">
        <v>68.165150658444702</v>
      </c>
      <c r="J20" s="934">
        <v>0.56332407000000007</v>
      </c>
      <c r="K20" s="934">
        <v>213.62011353844466</v>
      </c>
      <c r="L20" s="934"/>
      <c r="M20" s="934">
        <v>36.897486189999995</v>
      </c>
      <c r="N20" s="934">
        <v>114.59489248999998</v>
      </c>
      <c r="O20" s="934">
        <v>90.891570511778824</v>
      </c>
      <c r="P20" s="934">
        <v>0.61795309000000009</v>
      </c>
      <c r="Q20" s="934">
        <v>243.00190228177877</v>
      </c>
      <c r="R20" s="1417"/>
      <c r="S20" s="1418">
        <v>455.35095910547119</v>
      </c>
      <c r="T20" s="605"/>
      <c r="U20" s="604"/>
      <c r="V20" s="605"/>
      <c r="W20" s="606"/>
      <c r="X20" s="607"/>
      <c r="Y20" s="607"/>
      <c r="Z20" s="607"/>
      <c r="AA20" s="607"/>
      <c r="AB20" s="607"/>
      <c r="AC20" s="607"/>
      <c r="AD20" s="607"/>
      <c r="AE20" s="607"/>
    </row>
    <row r="21" spans="3:31" s="600" customFormat="1" ht="15" customHeight="1">
      <c r="C21" s="713" t="str">
        <f>IF(Indice_index!$Z$1=1,"Transferências de Capital","Capital transfers")</f>
        <v>Capital transfers</v>
      </c>
      <c r="D21" s="1421"/>
      <c r="E21" s="934">
        <v>1378.7402040739221</v>
      </c>
      <c r="F21" s="254"/>
      <c r="G21" s="934">
        <v>45.850125150000004</v>
      </c>
      <c r="H21" s="934">
        <v>2769.2084536299999</v>
      </c>
      <c r="I21" s="934">
        <v>1074.0799479875616</v>
      </c>
      <c r="J21" s="934">
        <v>0.4355</v>
      </c>
      <c r="K21" s="934">
        <v>1365.7023216075618</v>
      </c>
      <c r="L21" s="934"/>
      <c r="M21" s="934">
        <v>44.934448939999996</v>
      </c>
      <c r="N21" s="934">
        <v>2854.5324329200002</v>
      </c>
      <c r="O21" s="934">
        <v>1455.2788667602442</v>
      </c>
      <c r="P21" s="934">
        <v>0.29749999999999999</v>
      </c>
      <c r="Q21" s="934">
        <v>1822.9805793502442</v>
      </c>
      <c r="R21" s="1417"/>
      <c r="S21" s="1418">
        <v>3271.0320492765004</v>
      </c>
      <c r="T21" s="605"/>
      <c r="U21" s="604"/>
      <c r="V21" s="605"/>
      <c r="W21" s="606"/>
      <c r="X21" s="607"/>
      <c r="Y21" s="607"/>
      <c r="Z21" s="607"/>
      <c r="AA21" s="607"/>
      <c r="AB21" s="607"/>
      <c r="AC21" s="607"/>
      <c r="AD21" s="607"/>
      <c r="AE21" s="607"/>
    </row>
    <row r="22" spans="3:31" s="600" customFormat="1" ht="15" customHeight="1">
      <c r="C22" s="1419" t="str">
        <f>IF(Indice_index!$Z$1=1,"Administrações Públicas","General Government subsectors")</f>
        <v>General Government subsectors</v>
      </c>
      <c r="D22" s="1421"/>
      <c r="E22" s="934">
        <v>0</v>
      </c>
      <c r="F22" s="254"/>
      <c r="G22" s="934">
        <v>29.700123539999996</v>
      </c>
      <c r="H22" s="934">
        <v>1938.5651484699997</v>
      </c>
      <c r="I22" s="934">
        <v>555.17093314999988</v>
      </c>
      <c r="J22" s="934">
        <v>0.4355</v>
      </c>
      <c r="K22" s="934">
        <v>0</v>
      </c>
      <c r="L22" s="934"/>
      <c r="M22" s="934">
        <v>17.025847629999998</v>
      </c>
      <c r="N22" s="934">
        <v>1907.4089081000004</v>
      </c>
      <c r="O22" s="934">
        <v>607.33041354000011</v>
      </c>
      <c r="P22" s="934">
        <v>0.29749999999999999</v>
      </c>
      <c r="Q22" s="934">
        <v>0</v>
      </c>
      <c r="R22" s="1417"/>
      <c r="S22" s="1418">
        <v>0</v>
      </c>
      <c r="T22" s="605"/>
      <c r="U22" s="604"/>
      <c r="V22" s="605"/>
      <c r="W22" s="606"/>
      <c r="X22" s="607"/>
      <c r="Y22" s="607"/>
      <c r="Z22" s="607"/>
      <c r="AA22" s="607"/>
      <c r="AB22" s="607"/>
      <c r="AC22" s="607"/>
      <c r="AD22" s="607"/>
      <c r="AE22" s="607"/>
    </row>
    <row r="23" spans="3:31" s="600" customFormat="1" ht="15" customHeight="1">
      <c r="C23" s="1419" t="str">
        <f>IF(Indice_index!$Z$1=1,"Outras","Others")</f>
        <v>Others</v>
      </c>
      <c r="D23" s="1421"/>
      <c r="E23" s="1418">
        <v>1378.7402040739221</v>
      </c>
      <c r="F23" s="1420"/>
      <c r="G23" s="1418">
        <v>16.150001610000007</v>
      </c>
      <c r="H23" s="1418">
        <v>830.64330515999995</v>
      </c>
      <c r="I23" s="1418">
        <v>518.9090148375617</v>
      </c>
      <c r="J23" s="1418">
        <v>0</v>
      </c>
      <c r="K23" s="1418">
        <v>1365.7023216075618</v>
      </c>
      <c r="L23" s="1418"/>
      <c r="M23" s="1418">
        <v>27.908601310000002</v>
      </c>
      <c r="N23" s="1418">
        <v>947.12352482000006</v>
      </c>
      <c r="O23" s="1418">
        <v>847.94845322024412</v>
      </c>
      <c r="P23" s="1418">
        <v>0</v>
      </c>
      <c r="Q23" s="1418">
        <v>1822.9805793502442</v>
      </c>
      <c r="R23" s="1417"/>
      <c r="S23" s="1418">
        <v>3271.0320492765004</v>
      </c>
      <c r="T23" s="605"/>
      <c r="U23" s="604"/>
      <c r="V23" s="605"/>
      <c r="W23" s="606"/>
      <c r="X23" s="607"/>
      <c r="Y23" s="607"/>
      <c r="Z23" s="607"/>
      <c r="AA23" s="607"/>
      <c r="AB23" s="607"/>
      <c r="AC23" s="607"/>
      <c r="AD23" s="607"/>
      <c r="AE23" s="607"/>
    </row>
    <row r="24" spans="3:31" s="600" customFormat="1" ht="15" customHeight="1">
      <c r="C24" s="713" t="str">
        <f>IF(Indice_index!$Z$1=1,"Outras receitas de capital","Other capital revenue")</f>
        <v>Other capital revenue</v>
      </c>
      <c r="D24" s="1421"/>
      <c r="E24" s="1418">
        <v>88.021390602459988</v>
      </c>
      <c r="F24" s="1420"/>
      <c r="G24" s="1418">
        <v>10.506047130000002</v>
      </c>
      <c r="H24" s="1418">
        <v>58.116520340000008</v>
      </c>
      <c r="I24" s="1418">
        <v>19.458164257635637</v>
      </c>
      <c r="J24" s="1418">
        <v>2.45385E-3</v>
      </c>
      <c r="K24" s="1418">
        <v>88.083185577635632</v>
      </c>
      <c r="L24" s="1418"/>
      <c r="M24" s="1418">
        <v>1.4997533700000008</v>
      </c>
      <c r="N24" s="1418">
        <v>16.933717739999995</v>
      </c>
      <c r="O24" s="1418">
        <v>14.652590466411786</v>
      </c>
      <c r="P24" s="1418">
        <v>0</v>
      </c>
      <c r="Q24" s="1418">
        <v>33.08606157641178</v>
      </c>
      <c r="R24" s="1417"/>
      <c r="S24" s="1418">
        <v>52.608071439931727</v>
      </c>
      <c r="T24" s="605"/>
      <c r="U24" s="604"/>
      <c r="V24" s="605"/>
      <c r="W24" s="606"/>
      <c r="X24" s="607"/>
      <c r="Y24" s="607"/>
      <c r="Z24" s="607"/>
      <c r="AA24" s="607"/>
      <c r="AB24" s="607"/>
      <c r="AC24" s="607"/>
      <c r="AD24" s="607"/>
      <c r="AE24" s="607"/>
    </row>
    <row r="25" spans="3:31" ht="15" customHeight="1">
      <c r="C25" s="755" t="str">
        <f>IF(Indice_index!$Z$1=1,"Diferenças de consolidação","Consolidation differences")</f>
        <v>Consolidation differences</v>
      </c>
      <c r="D25" s="635"/>
      <c r="E25" s="934">
        <v>5.3667685300000061</v>
      </c>
      <c r="F25" s="254"/>
      <c r="G25" s="934">
        <v>3.9820959800000013</v>
      </c>
      <c r="H25" s="934">
        <v>0</v>
      </c>
      <c r="I25" s="934">
        <v>0</v>
      </c>
      <c r="J25" s="934">
        <v>0</v>
      </c>
      <c r="K25" s="934">
        <v>3.9820959800000013</v>
      </c>
      <c r="L25" s="934"/>
      <c r="M25" s="934">
        <v>0.6777613999999943</v>
      </c>
      <c r="N25" s="934">
        <v>0</v>
      </c>
      <c r="O25" s="934">
        <v>0</v>
      </c>
      <c r="P25" s="934">
        <v>0</v>
      </c>
      <c r="Q25" s="934">
        <v>5.6833749800004938</v>
      </c>
      <c r="R25" s="934"/>
      <c r="S25" s="1418">
        <v>8.9060000000031891E-3</v>
      </c>
      <c r="T25" s="608"/>
      <c r="U25" s="609"/>
      <c r="V25" s="608"/>
      <c r="W25" s="610"/>
      <c r="X25" s="603"/>
      <c r="Y25" s="603"/>
      <c r="Z25" s="603"/>
      <c r="AA25" s="603"/>
      <c r="AB25" s="603"/>
      <c r="AC25" s="603"/>
      <c r="AD25" s="603"/>
      <c r="AE25" s="603"/>
    </row>
    <row r="26" spans="3:31" s="611" customFormat="1" ht="4.5" customHeight="1">
      <c r="C26" s="1364"/>
      <c r="D26" s="740"/>
      <c r="E26" s="1422"/>
      <c r="F26" s="740"/>
      <c r="G26" s="1422"/>
      <c r="H26" s="1422"/>
      <c r="I26" s="1422"/>
      <c r="J26" s="1422"/>
      <c r="K26" s="1422"/>
      <c r="L26" s="1422"/>
      <c r="M26" s="1422"/>
      <c r="N26" s="1422"/>
      <c r="O26" s="1422"/>
      <c r="P26" s="1422"/>
      <c r="Q26" s="1422"/>
      <c r="R26" s="1422"/>
      <c r="S26" s="1422"/>
      <c r="T26" s="608"/>
      <c r="U26" s="612"/>
      <c r="V26" s="608"/>
      <c r="W26" s="610"/>
      <c r="X26" s="603"/>
      <c r="Y26" s="603"/>
      <c r="Z26" s="613"/>
      <c r="AA26" s="613"/>
      <c r="AB26" s="613"/>
      <c r="AC26" s="613"/>
      <c r="AD26" s="603"/>
      <c r="AE26" s="603"/>
    </row>
    <row r="27" spans="3:31" s="600" customFormat="1" ht="13.5" customHeight="1">
      <c r="C27" s="1391" t="str">
        <f>IF(Indice_index!$Z$1=1,"Receita efetiva","Effective revenue")</f>
        <v>Effective revenue</v>
      </c>
      <c r="D27" s="327"/>
      <c r="E27" s="1423">
        <f>E9+E19</f>
        <v>84000.420541336091</v>
      </c>
      <c r="F27" s="1417"/>
      <c r="G27" s="1423">
        <f t="shared" ref="G27:J27" si="12">G9+G19</f>
        <v>46754.563147259993</v>
      </c>
      <c r="H27" s="1423">
        <f t="shared" si="12"/>
        <v>34274.398375960001</v>
      </c>
      <c r="I27" s="1423">
        <f t="shared" si="12"/>
        <v>11508.670464977657</v>
      </c>
      <c r="J27" s="1423">
        <f t="shared" si="12"/>
        <v>32145.817815340004</v>
      </c>
      <c r="K27" s="1423">
        <f>K9+K19</f>
        <v>84006.227816107668</v>
      </c>
      <c r="L27" s="1417"/>
      <c r="M27" s="1423">
        <f t="shared" ref="M27:P27" si="13">M9+M19</f>
        <v>50007.734710030003</v>
      </c>
      <c r="N27" s="1423">
        <f t="shared" si="13"/>
        <v>36053.586362350026</v>
      </c>
      <c r="O27" s="1423">
        <f t="shared" si="13"/>
        <v>12900.721931291264</v>
      </c>
      <c r="P27" s="1423">
        <f t="shared" si="13"/>
        <v>33480.097809199993</v>
      </c>
      <c r="Q27" s="1423">
        <f>Q9+Q19</f>
        <v>91808.426347461296</v>
      </c>
      <c r="R27" s="1417"/>
      <c r="S27" s="1423">
        <f>S9+S19</f>
        <v>91447.216179949537</v>
      </c>
      <c r="T27" s="605"/>
      <c r="U27" s="604"/>
      <c r="V27" s="605"/>
      <c r="W27" s="606"/>
      <c r="X27" s="607"/>
      <c r="Y27" s="607"/>
      <c r="Z27" s="607"/>
      <c r="AA27" s="607"/>
      <c r="AB27" s="607"/>
      <c r="AC27" s="607"/>
      <c r="AD27" s="607"/>
      <c r="AE27" s="607"/>
    </row>
    <row r="28" spans="3:31" s="611" customFormat="1" ht="4.5" customHeight="1">
      <c r="C28" s="1364"/>
      <c r="D28" s="740"/>
      <c r="E28" s="1422"/>
      <c r="F28" s="740"/>
      <c r="G28" s="1422"/>
      <c r="H28" s="1422"/>
      <c r="I28" s="1422"/>
      <c r="J28" s="1422"/>
      <c r="K28" s="1422"/>
      <c r="L28" s="1422"/>
      <c r="M28" s="1422"/>
      <c r="N28" s="1422"/>
      <c r="O28" s="1422"/>
      <c r="P28" s="1422"/>
      <c r="Q28" s="1422"/>
      <c r="R28" s="1422"/>
      <c r="S28" s="1422"/>
      <c r="T28" s="608"/>
      <c r="U28" s="612"/>
      <c r="V28" s="608"/>
      <c r="W28" s="610"/>
      <c r="X28" s="603"/>
      <c r="Y28" s="603"/>
      <c r="Z28" s="613"/>
      <c r="AA28" s="613"/>
      <c r="AB28" s="613"/>
      <c r="AC28" s="613"/>
      <c r="AD28" s="603"/>
      <c r="AE28" s="603"/>
    </row>
    <row r="29" spans="3:31" s="600" customFormat="1" ht="15" customHeight="1">
      <c r="C29" s="327" t="str">
        <f>IF(Indice_index!$Z$1=1,"Despesa corrente","Current expenditure")</f>
        <v>Current expenditure</v>
      </c>
      <c r="D29" s="1421"/>
      <c r="E29" s="1417">
        <f>E30+E34+E35+E36+E39+E40+E41</f>
        <v>87866.204926888138</v>
      </c>
      <c r="F29" s="254"/>
      <c r="G29" s="1417">
        <f>G30+G34+G35+G36+G39+G40+G41</f>
        <v>55911.055977590004</v>
      </c>
      <c r="H29" s="1417">
        <f t="shared" ref="H29:K29" si="14">H30+H34+H35+H36+H39+H40+H41</f>
        <v>31152.515605540037</v>
      </c>
      <c r="I29" s="1417">
        <f t="shared" si="14"/>
        <v>9008.9381861601851</v>
      </c>
      <c r="J29" s="1417">
        <f t="shared" si="14"/>
        <v>29979.18600795</v>
      </c>
      <c r="K29" s="1417">
        <f t="shared" si="14"/>
        <v>87898.345494970228</v>
      </c>
      <c r="L29" s="1417"/>
      <c r="M29" s="1417">
        <f>M30+M34+M35+M36+M39+M40+M41</f>
        <v>56364.450585949984</v>
      </c>
      <c r="N29" s="1417">
        <f t="shared" ref="N29" si="15">N30+N34+N35+N36+N39+N40+N41</f>
        <v>32971.679052060048</v>
      </c>
      <c r="O29" s="1417">
        <f t="shared" ref="O29" si="16">O30+O34+O35+O36+O39+O40+O41</f>
        <v>9818.1875357600838</v>
      </c>
      <c r="P29" s="1417">
        <f t="shared" ref="P29" si="17">P30+P34+P35+P36+P39+P40+P41</f>
        <v>31183.496902189992</v>
      </c>
      <c r="Q29" s="1417">
        <f t="shared" ref="Q29:S29" si="18">Q30+Q34+Q35+Q36+Q39+Q40+Q41</f>
        <v>92231.156666240102</v>
      </c>
      <c r="R29" s="1417"/>
      <c r="S29" s="1417">
        <f t="shared" si="18"/>
        <v>92953.753968220044</v>
      </c>
      <c r="T29" s="605"/>
      <c r="U29" s="604"/>
      <c r="V29" s="605"/>
      <c r="W29" s="606"/>
      <c r="X29" s="607"/>
      <c r="Y29" s="607"/>
      <c r="Z29" s="607"/>
      <c r="AA29" s="607"/>
      <c r="AB29" s="607"/>
      <c r="AC29" s="607"/>
      <c r="AD29" s="607"/>
      <c r="AE29" s="607"/>
    </row>
    <row r="30" spans="3:31" ht="15" customHeight="1">
      <c r="C30" s="755" t="str">
        <f>IF(Indice_index!$Z$1=1,"Despesas com o pessoal","Compensation of employees")</f>
        <v>Compensation of employees</v>
      </c>
      <c r="D30" s="635"/>
      <c r="E30" s="934">
        <f>E31+E32+E33</f>
        <v>22466.91506356571</v>
      </c>
      <c r="F30" s="254"/>
      <c r="G30" s="934">
        <f>G31+G32+G33</f>
        <v>9917.219738460004</v>
      </c>
      <c r="H30" s="934">
        <f t="shared" ref="H30:M30" si="19">H31+H32+H33</f>
        <v>8066.4356670100051</v>
      </c>
      <c r="I30" s="934">
        <f t="shared" si="19"/>
        <v>4202.7558001304151</v>
      </c>
      <c r="J30" s="934">
        <f t="shared" si="19"/>
        <v>286.11584958000003</v>
      </c>
      <c r="K30" s="934">
        <f t="shared" si="19"/>
        <v>22472.527055180421</v>
      </c>
      <c r="L30" s="934"/>
      <c r="M30" s="934">
        <f t="shared" si="19"/>
        <v>10188.32042965998</v>
      </c>
      <c r="N30" s="934">
        <f t="shared" ref="N30" si="20">N31+N32+N33</f>
        <v>8510.0558284600029</v>
      </c>
      <c r="O30" s="934">
        <f t="shared" ref="O30" si="21">O31+O32+O33</f>
        <v>4487.6749217956694</v>
      </c>
      <c r="P30" s="934">
        <f t="shared" ref="P30" si="22">P31+P32+P33</f>
        <v>292.8387383299999</v>
      </c>
      <c r="Q30" s="934">
        <f t="shared" ref="Q30:S30" si="23">Q31+Q32+Q33</f>
        <v>23478.889918245652</v>
      </c>
      <c r="R30" s="934"/>
      <c r="S30" s="934">
        <f t="shared" si="23"/>
        <v>23385.279459791949</v>
      </c>
      <c r="T30" s="608"/>
      <c r="U30" s="609"/>
      <c r="V30" s="608"/>
      <c r="W30" s="610"/>
      <c r="X30" s="603"/>
      <c r="Y30" s="603"/>
      <c r="Z30" s="603"/>
      <c r="AA30" s="603"/>
      <c r="AB30" s="603"/>
      <c r="AC30" s="603"/>
      <c r="AD30" s="603"/>
      <c r="AE30" s="603"/>
    </row>
    <row r="31" spans="3:31" ht="15" customHeight="1">
      <c r="C31" s="1419" t="str">
        <f>IF(Indice_index!$Z$1=1,"Remunerações Certas e Permanentes","Certain and permanent wages")</f>
        <v>Certain and permanent wages</v>
      </c>
      <c r="D31" s="635"/>
      <c r="E31" s="934">
        <v>16340.319137557542</v>
      </c>
      <c r="F31" s="254"/>
      <c r="G31" s="934">
        <v>7236.4520371700073</v>
      </c>
      <c r="H31" s="934">
        <v>5751.7280309300068</v>
      </c>
      <c r="I31" s="934">
        <v>3129.0522883632848</v>
      </c>
      <c r="J31" s="934">
        <v>227.85618726000004</v>
      </c>
      <c r="K31" s="934">
        <v>16345.088543723297</v>
      </c>
      <c r="L31" s="934"/>
      <c r="M31" s="934">
        <v>7353.7654886299833</v>
      </c>
      <c r="N31" s="934">
        <v>5935.5987713700042</v>
      </c>
      <c r="O31" s="934">
        <v>3328.7827176063997</v>
      </c>
      <c r="P31" s="934">
        <v>233.69786924999991</v>
      </c>
      <c r="Q31" s="934">
        <v>16851.844846856387</v>
      </c>
      <c r="R31" s="934"/>
      <c r="S31" s="1418">
        <v>17389.096329674081</v>
      </c>
      <c r="T31" s="608"/>
      <c r="U31" s="609"/>
      <c r="V31" s="608"/>
      <c r="W31" s="610"/>
      <c r="X31" s="603"/>
      <c r="Y31" s="603"/>
      <c r="Z31" s="603"/>
      <c r="AA31" s="603"/>
      <c r="AB31" s="603"/>
      <c r="AC31" s="603"/>
      <c r="AD31" s="603"/>
      <c r="AE31" s="603"/>
    </row>
    <row r="32" spans="3:31" ht="15" customHeight="1">
      <c r="C32" s="1419" t="str">
        <f>IF(Indice_index!$Z$1=1,"Abonos Variáveis ou Eventuais","Variable or contingent bonuses")</f>
        <v>Variable or contingent bonuses</v>
      </c>
      <c r="D32" s="635"/>
      <c r="E32" s="934">
        <v>1338.0462441846116</v>
      </c>
      <c r="F32" s="254"/>
      <c r="G32" s="934">
        <v>361.19967038999886</v>
      </c>
      <c r="H32" s="934">
        <v>771.31192492999867</v>
      </c>
      <c r="I32" s="934">
        <v>201.07953820881892</v>
      </c>
      <c r="J32" s="934">
        <v>4.5927977600000007</v>
      </c>
      <c r="K32" s="934">
        <v>1338.1839312888164</v>
      </c>
      <c r="L32" s="934"/>
      <c r="M32" s="934">
        <v>387.04340639999998</v>
      </c>
      <c r="N32" s="934">
        <v>946.49518239000031</v>
      </c>
      <c r="O32" s="934">
        <v>231.64380608227202</v>
      </c>
      <c r="P32" s="934">
        <v>5.1169230199999998</v>
      </c>
      <c r="Q32" s="934">
        <v>1570.2993178922723</v>
      </c>
      <c r="R32" s="934"/>
      <c r="S32" s="1418">
        <v>1344.6589893286189</v>
      </c>
      <c r="T32" s="608"/>
      <c r="U32" s="609"/>
      <c r="V32" s="608"/>
      <c r="W32" s="610"/>
      <c r="X32" s="603"/>
      <c r="Y32" s="603"/>
      <c r="Z32" s="603"/>
      <c r="AA32" s="603"/>
      <c r="AB32" s="603"/>
      <c r="AC32" s="603"/>
      <c r="AD32" s="603"/>
      <c r="AE32" s="603"/>
    </row>
    <row r="33" spans="3:31" ht="15" customHeight="1">
      <c r="C33" s="1419" t="str">
        <f>IF(Indice_index!$Z$1=1,"Segurança social","Social security")</f>
        <v>Social security</v>
      </c>
      <c r="D33" s="635"/>
      <c r="E33" s="934">
        <v>4788.5496818235551</v>
      </c>
      <c r="F33" s="254"/>
      <c r="G33" s="934">
        <v>2319.5680308999986</v>
      </c>
      <c r="H33" s="934">
        <v>1543.3957111499992</v>
      </c>
      <c r="I33" s="934">
        <v>872.62397355831126</v>
      </c>
      <c r="J33" s="934">
        <v>53.666864559999993</v>
      </c>
      <c r="K33" s="934">
        <v>4789.2545801683082</v>
      </c>
      <c r="L33" s="934"/>
      <c r="M33" s="934">
        <v>2447.5115346299963</v>
      </c>
      <c r="N33" s="934">
        <v>1627.9618746999988</v>
      </c>
      <c r="O33" s="934">
        <v>927.2483981069978</v>
      </c>
      <c r="P33" s="934">
        <v>54.023946060000007</v>
      </c>
      <c r="Q33" s="934">
        <v>5056.7457534969926</v>
      </c>
      <c r="R33" s="934"/>
      <c r="S33" s="1418">
        <v>4651.5241407892509</v>
      </c>
      <c r="T33" s="608"/>
      <c r="U33" s="609"/>
      <c r="V33" s="608"/>
      <c r="W33" s="610"/>
      <c r="X33" s="603"/>
      <c r="Y33" s="603"/>
      <c r="Z33" s="603"/>
      <c r="AA33" s="603"/>
      <c r="AB33" s="603"/>
      <c r="AC33" s="603"/>
      <c r="AD33" s="603"/>
      <c r="AE33" s="603"/>
    </row>
    <row r="34" spans="3:31" ht="15" customHeight="1">
      <c r="C34" s="755" t="str">
        <f>IF(Indice_index!$Z$1=1,"Aquisição de bens e serviços","Purchase of goods and services")</f>
        <v>Purchase of goods and services</v>
      </c>
      <c r="D34" s="635"/>
      <c r="E34" s="934">
        <v>13376.208344565199</v>
      </c>
      <c r="F34" s="254"/>
      <c r="G34" s="934">
        <v>1214.0033276500028</v>
      </c>
      <c r="H34" s="934">
        <v>9002.0530462100214</v>
      </c>
      <c r="I34" s="934">
        <v>3087.369594594129</v>
      </c>
      <c r="J34" s="934">
        <v>86.384172190000001</v>
      </c>
      <c r="K34" s="934">
        <v>13387.314302264154</v>
      </c>
      <c r="L34" s="934"/>
      <c r="M34" s="934">
        <v>1803.1446117499936</v>
      </c>
      <c r="N34" s="934">
        <v>9510.5523826900462</v>
      </c>
      <c r="O34" s="934">
        <v>3338.2369673761523</v>
      </c>
      <c r="P34" s="934">
        <v>99.54757785999999</v>
      </c>
      <c r="Q34" s="934">
        <v>14745.128349726194</v>
      </c>
      <c r="R34" s="934"/>
      <c r="S34" s="1418">
        <v>15290.876273073827</v>
      </c>
      <c r="T34" s="608"/>
      <c r="U34" s="609"/>
      <c r="V34" s="608"/>
      <c r="W34" s="610"/>
      <c r="X34" s="603"/>
      <c r="Y34" s="603"/>
      <c r="Z34" s="603"/>
      <c r="AA34" s="603"/>
      <c r="AB34" s="603"/>
      <c r="AC34" s="603"/>
      <c r="AD34" s="603"/>
      <c r="AE34" s="603"/>
    </row>
    <row r="35" spans="3:31" ht="15" customHeight="1">
      <c r="C35" s="755" t="str">
        <f>IF(Indice_index!$Z$1=1,"Juros e outros encargos","Interests and other charges")</f>
        <v>Interests and other charges</v>
      </c>
      <c r="D35" s="635"/>
      <c r="E35" s="934">
        <v>7595.8319911593762</v>
      </c>
      <c r="F35" s="254"/>
      <c r="G35" s="934">
        <v>6925.675168769998</v>
      </c>
      <c r="H35" s="934">
        <v>607.94796599999995</v>
      </c>
      <c r="I35" s="934">
        <v>204.83002273647699</v>
      </c>
      <c r="J35" s="934">
        <v>6.9646645899999999</v>
      </c>
      <c r="K35" s="934">
        <v>7595.6318128264747</v>
      </c>
      <c r="L35" s="934"/>
      <c r="M35" s="934">
        <v>6380.8279530700001</v>
      </c>
      <c r="N35" s="934">
        <v>633.0733183699997</v>
      </c>
      <c r="O35" s="934">
        <v>166.56568953019672</v>
      </c>
      <c r="P35" s="934">
        <v>6.4904866200000013</v>
      </c>
      <c r="Q35" s="934">
        <v>6956.093630490197</v>
      </c>
      <c r="R35" s="934"/>
      <c r="S35" s="1418">
        <v>7279.3487553128789</v>
      </c>
      <c r="T35" s="608"/>
      <c r="U35" s="609"/>
      <c r="V35" s="608"/>
      <c r="W35" s="610"/>
      <c r="X35" s="603"/>
      <c r="Y35" s="603"/>
      <c r="Z35" s="603"/>
      <c r="AA35" s="603"/>
      <c r="AB35" s="603"/>
      <c r="AC35" s="603"/>
      <c r="AD35" s="603"/>
      <c r="AE35" s="603"/>
    </row>
    <row r="36" spans="3:31" ht="15" customHeight="1">
      <c r="C36" s="755" t="str">
        <f>IF(Indice_index!$Z$1=1,"Transferências correntes","Current transfers")</f>
        <v>Current transfers</v>
      </c>
      <c r="D36" s="635"/>
      <c r="E36" s="934">
        <v>41906.420452199665</v>
      </c>
      <c r="F36" s="254"/>
      <c r="G36" s="934">
        <v>37342.759326569998</v>
      </c>
      <c r="H36" s="934">
        <v>12518.499162490007</v>
      </c>
      <c r="I36" s="934">
        <v>925.14323312849149</v>
      </c>
      <c r="J36" s="934">
        <v>28859.445795520001</v>
      </c>
      <c r="K36" s="934">
        <v>41910.0552378785</v>
      </c>
      <c r="L36" s="934"/>
      <c r="M36" s="934">
        <v>37389.866364310008</v>
      </c>
      <c r="N36" s="934">
        <v>13114.818996219999</v>
      </c>
      <c r="O36" s="934">
        <v>1103.1690197610887</v>
      </c>
      <c r="P36" s="934">
        <v>29794.812979319995</v>
      </c>
      <c r="Q36" s="934">
        <v>43813.579122051087</v>
      </c>
      <c r="R36" s="934"/>
      <c r="S36" s="1418">
        <v>42350.093844092968</v>
      </c>
      <c r="T36" s="608"/>
      <c r="U36" s="609"/>
      <c r="V36" s="608"/>
      <c r="W36" s="610"/>
      <c r="X36" s="603"/>
      <c r="Y36" s="603"/>
      <c r="Z36" s="603"/>
      <c r="AA36" s="603"/>
      <c r="AB36" s="603"/>
      <c r="AC36" s="603"/>
      <c r="AD36" s="603"/>
      <c r="AE36" s="603"/>
    </row>
    <row r="37" spans="3:31" ht="15" customHeight="1">
      <c r="C37" s="1419" t="str">
        <f>IF(Indice_index!$Z$1=1,"Administrações Públicas","General Government subsectors")</f>
        <v>General Government subsectors</v>
      </c>
      <c r="D37" s="635"/>
      <c r="E37" s="934">
        <v>0</v>
      </c>
      <c r="F37" s="254"/>
      <c r="G37" s="934">
        <v>34433.117821469998</v>
      </c>
      <c r="H37" s="934">
        <v>1228.0854485999998</v>
      </c>
      <c r="I37" s="934">
        <v>130.32882354999992</v>
      </c>
      <c r="J37" s="934">
        <v>1944.2601862100003</v>
      </c>
      <c r="K37" s="934">
        <v>0</v>
      </c>
      <c r="L37" s="934"/>
      <c r="M37" s="934">
        <v>34116.041070940009</v>
      </c>
      <c r="N37" s="934">
        <v>1210.6593980000002</v>
      </c>
      <c r="O37" s="934">
        <v>164.21891892000002</v>
      </c>
      <c r="P37" s="934">
        <v>2098.1688497</v>
      </c>
      <c r="Q37" s="934">
        <v>0</v>
      </c>
      <c r="R37" s="934"/>
      <c r="S37" s="1418">
        <v>0</v>
      </c>
      <c r="T37" s="608"/>
      <c r="U37" s="609"/>
      <c r="V37" s="608"/>
      <c r="W37" s="610"/>
      <c r="X37" s="603"/>
      <c r="Y37" s="603"/>
      <c r="Z37" s="603"/>
      <c r="AA37" s="603"/>
      <c r="AB37" s="603"/>
      <c r="AC37" s="603"/>
      <c r="AD37" s="603"/>
      <c r="AE37" s="603"/>
    </row>
    <row r="38" spans="3:31" ht="15" customHeight="1">
      <c r="C38" s="1419" t="str">
        <f>IF(Indice_index!$Z$1=1,"Outras","Others")</f>
        <v>Others</v>
      </c>
      <c r="D38" s="635"/>
      <c r="E38" s="1418">
        <v>41906.420452199665</v>
      </c>
      <c r="F38" s="1420"/>
      <c r="G38" s="1418">
        <v>2909.6415051000008</v>
      </c>
      <c r="H38" s="1418">
        <v>11290.413713890006</v>
      </c>
      <c r="I38" s="1418">
        <v>794.81440957849156</v>
      </c>
      <c r="J38" s="1418">
        <v>26915.18560931</v>
      </c>
      <c r="K38" s="1418">
        <v>41910.0552378785</v>
      </c>
      <c r="L38" s="1418"/>
      <c r="M38" s="1418">
        <v>3273.8252933700001</v>
      </c>
      <c r="N38" s="1418">
        <v>11904.15959822</v>
      </c>
      <c r="O38" s="1418">
        <v>938.95010084108867</v>
      </c>
      <c r="P38" s="1418">
        <v>27696.644129619996</v>
      </c>
      <c r="Q38" s="1418">
        <v>43813.579122051087</v>
      </c>
      <c r="R38" s="934"/>
      <c r="S38" s="1418">
        <v>42350.093844092968</v>
      </c>
      <c r="T38" s="608"/>
      <c r="U38" s="609"/>
      <c r="V38" s="608"/>
      <c r="W38" s="610"/>
      <c r="X38" s="603"/>
      <c r="Y38" s="603"/>
      <c r="Z38" s="603"/>
      <c r="AA38" s="603"/>
      <c r="AB38" s="603"/>
      <c r="AC38" s="603"/>
      <c r="AD38" s="603"/>
      <c r="AE38" s="603"/>
    </row>
    <row r="39" spans="3:31" ht="15" customHeight="1">
      <c r="C39" s="755" t="str">
        <f>IF(Indice_index!$Z$1=1,"Subsídios","Subsidies")</f>
        <v>Subsidies</v>
      </c>
      <c r="D39" s="635"/>
      <c r="E39" s="934">
        <v>1667.6577394087656</v>
      </c>
      <c r="F39" s="254"/>
      <c r="G39" s="934">
        <v>84.193654499999994</v>
      </c>
      <c r="H39" s="934">
        <v>699.66046984000059</v>
      </c>
      <c r="I39" s="934">
        <v>472.17631150070093</v>
      </c>
      <c r="J39" s="934">
        <v>732.07051245000002</v>
      </c>
      <c r="K39" s="934">
        <v>1666.2404923707013</v>
      </c>
      <c r="L39" s="934"/>
      <c r="M39" s="934">
        <v>196.38423496000004</v>
      </c>
      <c r="N39" s="934">
        <v>966.65724824999995</v>
      </c>
      <c r="O39" s="934">
        <v>597.9707667723884</v>
      </c>
      <c r="P39" s="934">
        <v>980.29274138999995</v>
      </c>
      <c r="Q39" s="934">
        <v>2213.8777883623884</v>
      </c>
      <c r="R39" s="934"/>
      <c r="S39" s="1418">
        <v>2283.8081950716482</v>
      </c>
      <c r="T39" s="608"/>
      <c r="U39" s="609"/>
      <c r="V39" s="608"/>
      <c r="W39" s="610"/>
      <c r="X39" s="603"/>
      <c r="Y39" s="603"/>
      <c r="Z39" s="603"/>
      <c r="AA39" s="603"/>
      <c r="AB39" s="603"/>
      <c r="AC39" s="603"/>
      <c r="AD39" s="603"/>
      <c r="AE39" s="603"/>
    </row>
    <row r="40" spans="3:31" ht="15" customHeight="1">
      <c r="C40" s="755" t="str">
        <f>IF(Indice_index!$Z$1=1,"Outras despesas correntes","Other current expenditures")</f>
        <v>Other current expenditures</v>
      </c>
      <c r="D40" s="635"/>
      <c r="E40" s="934">
        <v>803.7412270994198</v>
      </c>
      <c r="F40" s="254"/>
      <c r="G40" s="934">
        <v>423.96235047000022</v>
      </c>
      <c r="H40" s="934">
        <v>253.93730980000012</v>
      </c>
      <c r="I40" s="934">
        <v>116.66322406997017</v>
      </c>
      <c r="J40" s="934">
        <v>8.2050136200000008</v>
      </c>
      <c r="K40" s="934">
        <v>802.76789795997058</v>
      </c>
      <c r="L40" s="934"/>
      <c r="M40" s="934">
        <v>403.29173107999992</v>
      </c>
      <c r="N40" s="934">
        <v>233.20946046999981</v>
      </c>
      <c r="O40" s="934">
        <v>117.83983909458853</v>
      </c>
      <c r="P40" s="934">
        <v>9.5143786699999993</v>
      </c>
      <c r="Q40" s="934">
        <v>763.85540931458831</v>
      </c>
      <c r="R40" s="934"/>
      <c r="S40" s="1418">
        <v>2239.6186891978255</v>
      </c>
      <c r="T40" s="608"/>
      <c r="U40" s="609"/>
      <c r="V40" s="608"/>
      <c r="W40" s="610"/>
      <c r="X40" s="603"/>
      <c r="Y40" s="603"/>
      <c r="Z40" s="603"/>
      <c r="AA40" s="603"/>
      <c r="AB40" s="603"/>
      <c r="AC40" s="603"/>
      <c r="AD40" s="603"/>
      <c r="AE40" s="603"/>
    </row>
    <row r="41" spans="3:31" ht="15" customHeight="1">
      <c r="C41" s="755" t="str">
        <f>IF(Indice_index!$Z$1=1,"Diferenças de consolidação","Consolidation differences")</f>
        <v>Consolidation differences</v>
      </c>
      <c r="D41" s="635"/>
      <c r="E41" s="934">
        <v>49.430108889999985</v>
      </c>
      <c r="F41" s="254"/>
      <c r="G41" s="934">
        <v>3.2424111699999685</v>
      </c>
      <c r="H41" s="934">
        <v>3.9819841900016399</v>
      </c>
      <c r="I41" s="934">
        <v>0</v>
      </c>
      <c r="J41" s="934">
        <v>0</v>
      </c>
      <c r="K41" s="934">
        <v>63.80869649000374</v>
      </c>
      <c r="L41" s="934"/>
      <c r="M41" s="934">
        <v>2.6152611200003948</v>
      </c>
      <c r="N41" s="934">
        <v>3.311817599997994</v>
      </c>
      <c r="O41" s="934">
        <v>6.7303314299999784</v>
      </c>
      <c r="P41" s="934">
        <v>0</v>
      </c>
      <c r="Q41" s="934">
        <v>259.73244804999302</v>
      </c>
      <c r="R41" s="934"/>
      <c r="S41" s="1418">
        <v>124.72875167895592</v>
      </c>
      <c r="T41" s="608"/>
      <c r="U41" s="609"/>
      <c r="V41" s="608"/>
      <c r="W41" s="610"/>
      <c r="X41" s="603"/>
      <c r="Y41" s="603"/>
      <c r="Z41" s="603"/>
      <c r="AA41" s="603"/>
      <c r="AB41" s="603"/>
      <c r="AC41" s="603"/>
      <c r="AD41" s="603"/>
      <c r="AE41" s="603"/>
    </row>
    <row r="42" spans="3:31" s="600" customFormat="1" ht="15" customHeight="1">
      <c r="C42" s="327" t="str">
        <f>IF(Indice_index!$Z$1=1,"Despesa de capital","Capital expenditure")</f>
        <v>Capital expenditure</v>
      </c>
      <c r="D42" s="1421"/>
      <c r="E42" s="1417">
        <f>E43+E44+E47+E48</f>
        <v>7768.0544148507388</v>
      </c>
      <c r="F42" s="254"/>
      <c r="G42" s="1417">
        <f>G43+G44+G47+G48</f>
        <v>3047.9865435400002</v>
      </c>
      <c r="H42" s="1417">
        <f t="shared" ref="H42:K42" si="24">H43+H44+H47+H48</f>
        <v>4531.4461712799985</v>
      </c>
      <c r="I42" s="1417">
        <f t="shared" si="24"/>
        <v>2672.7408344121495</v>
      </c>
      <c r="J42" s="1417">
        <f t="shared" si="24"/>
        <v>35.109166479999992</v>
      </c>
      <c r="K42" s="1417">
        <f t="shared" si="24"/>
        <v>7763.4110105521486</v>
      </c>
      <c r="L42" s="1417"/>
      <c r="M42" s="1417">
        <f>M43+M44+M47+M48</f>
        <v>3233.8300857699992</v>
      </c>
      <c r="N42" s="1417">
        <f t="shared" ref="N42" si="25">N43+N44+N47+N48</f>
        <v>4201.4056686399963</v>
      </c>
      <c r="O42" s="1417">
        <f t="shared" ref="O42" si="26">O43+O44+O47+O48</f>
        <v>3420.2820146872878</v>
      </c>
      <c r="P42" s="1417">
        <f t="shared" ref="P42" si="27">P43+P44+P47+P48</f>
        <v>42.820876640000009</v>
      </c>
      <c r="Q42" s="1417">
        <f t="shared" ref="Q42:S42" si="28">Q43+Q44+Q47+Q48</f>
        <v>8371.2815900472833</v>
      </c>
      <c r="R42" s="1417"/>
      <c r="S42" s="1417">
        <f t="shared" si="28"/>
        <v>9646.6116118470636</v>
      </c>
      <c r="T42" s="605"/>
      <c r="U42" s="614"/>
      <c r="V42" s="605"/>
      <c r="W42" s="606"/>
      <c r="X42" s="607"/>
      <c r="Y42" s="607"/>
      <c r="Z42" s="607"/>
      <c r="AA42" s="607"/>
      <c r="AB42" s="607"/>
      <c r="AC42" s="607"/>
      <c r="AD42" s="607"/>
      <c r="AE42" s="607"/>
    </row>
    <row r="43" spans="3:31" ht="15" customHeight="1">
      <c r="C43" s="755" t="str">
        <f>IF(Indice_index!$Z$1=1,"Investimentos","Investments")</f>
        <v>Investments</v>
      </c>
      <c r="D43" s="635"/>
      <c r="E43" s="934">
        <v>5188.4971987395093</v>
      </c>
      <c r="F43" s="254"/>
      <c r="G43" s="934">
        <v>518.05809026000145</v>
      </c>
      <c r="H43" s="934">
        <v>2408.4981520799979</v>
      </c>
      <c r="I43" s="934">
        <v>2230.6544623980217</v>
      </c>
      <c r="J43" s="934">
        <v>30.077953999999991</v>
      </c>
      <c r="K43" s="934">
        <v>5187.2886587380208</v>
      </c>
      <c r="L43" s="934"/>
      <c r="M43" s="934">
        <v>680.23216513999932</v>
      </c>
      <c r="N43" s="934">
        <v>2741.7094174899962</v>
      </c>
      <c r="O43" s="934">
        <v>2906.1237184012289</v>
      </c>
      <c r="P43" s="934">
        <v>38.61027424000001</v>
      </c>
      <c r="Q43" s="934">
        <v>6366.6755752712243</v>
      </c>
      <c r="R43" s="934"/>
      <c r="S43" s="1418">
        <v>7713.9676980021513</v>
      </c>
      <c r="T43" s="608"/>
      <c r="U43" s="609"/>
      <c r="V43" s="608"/>
      <c r="W43" s="610"/>
      <c r="X43" s="603"/>
      <c r="Y43" s="603"/>
      <c r="Z43" s="603"/>
      <c r="AA43" s="603"/>
      <c r="AB43" s="603"/>
      <c r="AC43" s="603"/>
      <c r="AD43" s="603"/>
      <c r="AE43" s="603"/>
    </row>
    <row r="44" spans="3:31" ht="15" customHeight="1">
      <c r="C44" s="755" t="str">
        <f>IF(Indice_index!$Z$1=1,"Transferências de capital","Capital transfers")</f>
        <v>Capital transfers</v>
      </c>
      <c r="D44" s="635"/>
      <c r="E44" s="934">
        <v>2458.3329311366051</v>
      </c>
      <c r="F44" s="254"/>
      <c r="G44" s="934">
        <v>2517.658409749999</v>
      </c>
      <c r="H44" s="934">
        <v>2035.80182524</v>
      </c>
      <c r="I44" s="934">
        <v>424.90673292153173</v>
      </c>
      <c r="J44" s="934">
        <v>5.0312124799999998</v>
      </c>
      <c r="K44" s="934">
        <v>2454.1641924315318</v>
      </c>
      <c r="L44" s="934"/>
      <c r="M44" s="934">
        <v>2519.64963008</v>
      </c>
      <c r="N44" s="934">
        <v>1284.5038028500003</v>
      </c>
      <c r="O44" s="934">
        <v>506.47096631563898</v>
      </c>
      <c r="P44" s="934">
        <v>4.2106024</v>
      </c>
      <c r="Q44" s="934">
        <v>1787.7779459556391</v>
      </c>
      <c r="R44" s="934"/>
      <c r="S44" s="1418">
        <v>1431.5588179543261</v>
      </c>
      <c r="T44" s="608"/>
      <c r="U44" s="609"/>
      <c r="V44" s="608"/>
      <c r="W44" s="610"/>
      <c r="X44" s="603"/>
      <c r="Y44" s="603"/>
      <c r="Z44" s="603"/>
      <c r="AA44" s="603"/>
      <c r="AB44" s="603"/>
      <c r="AC44" s="603"/>
      <c r="AD44" s="603"/>
      <c r="AE44" s="603"/>
    </row>
    <row r="45" spans="3:31" ht="15" customHeight="1">
      <c r="C45" s="1419" t="str">
        <f>IF(Indice_index!$Z$1=1,"Administrações Públicas","General Government subsectors")</f>
        <v>General Government subsectors</v>
      </c>
      <c r="D45" s="635"/>
      <c r="E45" s="934">
        <v>0</v>
      </c>
      <c r="F45" s="254"/>
      <c r="G45" s="934">
        <v>2449.5322087199988</v>
      </c>
      <c r="H45" s="934">
        <v>69.905245879999995</v>
      </c>
      <c r="I45" s="934">
        <v>9.7965333599999944</v>
      </c>
      <c r="J45" s="934">
        <v>0</v>
      </c>
      <c r="K45" s="934">
        <v>0</v>
      </c>
      <c r="L45" s="934"/>
      <c r="M45" s="934">
        <v>2456.2894265899999</v>
      </c>
      <c r="N45" s="934">
        <v>56.124236860000011</v>
      </c>
      <c r="O45" s="934">
        <v>14.643392240000001</v>
      </c>
      <c r="P45" s="934">
        <v>0</v>
      </c>
      <c r="Q45" s="934">
        <v>0</v>
      </c>
      <c r="R45" s="934"/>
      <c r="S45" s="1418">
        <v>0</v>
      </c>
      <c r="T45" s="608"/>
      <c r="U45" s="609"/>
      <c r="V45" s="608"/>
      <c r="W45" s="610"/>
      <c r="X45" s="603"/>
      <c r="Y45" s="603"/>
      <c r="Z45" s="603"/>
      <c r="AA45" s="603"/>
      <c r="AB45" s="603"/>
      <c r="AC45" s="603"/>
      <c r="AD45" s="603"/>
      <c r="AE45" s="603"/>
    </row>
    <row r="46" spans="3:31" ht="15" customHeight="1">
      <c r="C46" s="1419" t="str">
        <f>IF(Indice_index!$Z$1=1,"Outras","Others")</f>
        <v>Others</v>
      </c>
      <c r="D46" s="635"/>
      <c r="E46" s="1418">
        <v>2458.3329311366051</v>
      </c>
      <c r="F46" s="1420"/>
      <c r="G46" s="1418">
        <v>68.126201030000004</v>
      </c>
      <c r="H46" s="1418">
        <v>1965.89657936</v>
      </c>
      <c r="I46" s="1418">
        <v>415.11019956153172</v>
      </c>
      <c r="J46" s="1418">
        <v>5.0312124799999998</v>
      </c>
      <c r="K46" s="1418">
        <v>2454.1641924315318</v>
      </c>
      <c r="L46" s="1418"/>
      <c r="M46" s="1418">
        <v>63.360203490000004</v>
      </c>
      <c r="N46" s="1418">
        <v>1228.3795659900002</v>
      </c>
      <c r="O46" s="1418">
        <v>491.82757407563895</v>
      </c>
      <c r="P46" s="1418">
        <v>4.2106024</v>
      </c>
      <c r="Q46" s="1418">
        <v>1787.7779459556391</v>
      </c>
      <c r="R46" s="934"/>
      <c r="S46" s="1418">
        <v>1431.5588179543261</v>
      </c>
      <c r="T46" s="608"/>
      <c r="U46" s="609"/>
      <c r="V46" s="608"/>
      <c r="W46" s="610"/>
      <c r="X46" s="603"/>
      <c r="Y46" s="603"/>
      <c r="Z46" s="603"/>
      <c r="AA46" s="603"/>
      <c r="AB46" s="603"/>
      <c r="AC46" s="603"/>
      <c r="AD46" s="603"/>
      <c r="AE46" s="603"/>
    </row>
    <row r="47" spans="3:31" ht="15" customHeight="1">
      <c r="C47" s="755" t="str">
        <f>IF(Indice_index!$Z$1=1,"Outras despesas de capital","Other capital expenditures")</f>
        <v>Other capital expenditures</v>
      </c>
      <c r="D47" s="635"/>
      <c r="E47" s="934">
        <v>97.60595109462426</v>
      </c>
      <c r="F47" s="254"/>
      <c r="G47" s="934">
        <v>12.270043529999997</v>
      </c>
      <c r="H47" s="934">
        <v>68.004577380000001</v>
      </c>
      <c r="I47" s="934">
        <v>17.162859012596023</v>
      </c>
      <c r="J47" s="934">
        <v>0</v>
      </c>
      <c r="K47" s="934">
        <v>97.437479922596012</v>
      </c>
      <c r="L47" s="934"/>
      <c r="M47" s="934">
        <v>33.948290550000003</v>
      </c>
      <c r="N47" s="934">
        <v>115.82734792000001</v>
      </c>
      <c r="O47" s="934">
        <v>7.6066827104194727</v>
      </c>
      <c r="P47" s="934">
        <v>0</v>
      </c>
      <c r="Q47" s="934">
        <v>157.3823211804195</v>
      </c>
      <c r="R47" s="934"/>
      <c r="S47" s="1418">
        <v>356.02503921459186</v>
      </c>
      <c r="T47" s="608"/>
      <c r="U47" s="609"/>
      <c r="V47" s="608"/>
      <c r="W47" s="610"/>
      <c r="X47" s="603"/>
      <c r="Y47" s="603"/>
      <c r="Z47" s="603"/>
      <c r="AA47" s="603"/>
      <c r="AB47" s="603"/>
      <c r="AC47" s="603"/>
      <c r="AD47" s="603"/>
      <c r="AE47" s="603"/>
    </row>
    <row r="48" spans="3:31" ht="15" customHeight="1">
      <c r="C48" s="755" t="str">
        <f>IF(Indice_index!$Z$1=1,"Diferenças de consolidação","Consolidation differences")</f>
        <v>Consolidation differences</v>
      </c>
      <c r="D48" s="635"/>
      <c r="E48" s="934">
        <v>23.618333879999739</v>
      </c>
      <c r="F48" s="254"/>
      <c r="G48" s="934">
        <v>0</v>
      </c>
      <c r="H48" s="934">
        <v>19.141616580000118</v>
      </c>
      <c r="I48" s="934">
        <v>1.6780079999989539E-2</v>
      </c>
      <c r="J48" s="934">
        <v>0</v>
      </c>
      <c r="K48" s="934">
        <v>24.520679459999883</v>
      </c>
      <c r="L48" s="934"/>
      <c r="M48" s="934">
        <v>0</v>
      </c>
      <c r="N48" s="934">
        <v>59.365100380000001</v>
      </c>
      <c r="O48" s="934">
        <v>8.0647260000006327E-2</v>
      </c>
      <c r="P48" s="934">
        <v>0</v>
      </c>
      <c r="Q48" s="934">
        <v>59.445747640000008</v>
      </c>
      <c r="R48" s="934"/>
      <c r="S48" s="1418">
        <v>145.06005667599561</v>
      </c>
      <c r="T48" s="608"/>
      <c r="U48" s="609"/>
      <c r="V48" s="608"/>
      <c r="W48" s="610"/>
      <c r="X48" s="603"/>
      <c r="Y48" s="603"/>
      <c r="Z48" s="603"/>
      <c r="AA48" s="603"/>
      <c r="AB48" s="603"/>
      <c r="AC48" s="603"/>
      <c r="AD48" s="603"/>
      <c r="AE48" s="603"/>
    </row>
    <row r="49" spans="3:31" s="611" customFormat="1" ht="4.5" customHeight="1">
      <c r="C49" s="740"/>
      <c r="D49" s="740"/>
      <c r="E49" s="1424"/>
      <c r="F49" s="740"/>
      <c r="G49" s="1424"/>
      <c r="H49" s="1424"/>
      <c r="I49" s="1424"/>
      <c r="J49" s="1424"/>
      <c r="K49" s="1424"/>
      <c r="L49" s="1424"/>
      <c r="M49" s="1424"/>
      <c r="N49" s="1424"/>
      <c r="O49" s="1424"/>
      <c r="P49" s="1424"/>
      <c r="Q49" s="1424"/>
      <c r="R49" s="1424"/>
      <c r="S49" s="1424"/>
      <c r="T49" s="608"/>
      <c r="U49" s="609"/>
      <c r="V49" s="609"/>
      <c r="W49" s="610"/>
      <c r="X49" s="603"/>
      <c r="Y49" s="603"/>
      <c r="Z49" s="609"/>
      <c r="AA49" s="609"/>
      <c r="AB49" s="610"/>
      <c r="AC49" s="603"/>
      <c r="AD49" s="603"/>
      <c r="AE49" s="603"/>
    </row>
    <row r="50" spans="3:31" s="600" customFormat="1" ht="15" customHeight="1">
      <c r="C50" s="1391" t="str">
        <f>IF(Indice_index!$Z$1=1,"Despesa efetiva","Effective expenditure")</f>
        <v>Effective expenditure</v>
      </c>
      <c r="D50" s="327"/>
      <c r="E50" s="1423">
        <f>E29+E42</f>
        <v>95634.259341738871</v>
      </c>
      <c r="F50" s="1417"/>
      <c r="G50" s="1423">
        <f t="shared" ref="G50:J50" si="29">G29+G42</f>
        <v>58959.042521130003</v>
      </c>
      <c r="H50" s="1423">
        <f t="shared" si="29"/>
        <v>35683.961776820033</v>
      </c>
      <c r="I50" s="1423">
        <f t="shared" si="29"/>
        <v>11681.679020572334</v>
      </c>
      <c r="J50" s="1423">
        <f t="shared" si="29"/>
        <v>30014.295174430001</v>
      </c>
      <c r="K50" s="1423">
        <f>K29+K42</f>
        <v>95661.756505522382</v>
      </c>
      <c r="L50" s="1417"/>
      <c r="M50" s="1423">
        <f t="shared" ref="M50:P50" si="30">M29+M42</f>
        <v>59598.280671719986</v>
      </c>
      <c r="N50" s="1423">
        <f t="shared" si="30"/>
        <v>37173.084720700048</v>
      </c>
      <c r="O50" s="1423">
        <f t="shared" si="30"/>
        <v>13238.469550447371</v>
      </c>
      <c r="P50" s="1423">
        <f t="shared" si="30"/>
        <v>31226.317778829991</v>
      </c>
      <c r="Q50" s="1423">
        <f>Q29+Q42</f>
        <v>100602.43825628738</v>
      </c>
      <c r="R50" s="1417"/>
      <c r="S50" s="1423">
        <f>S29+S42</f>
        <v>102600.36558006711</v>
      </c>
      <c r="T50" s="605"/>
      <c r="U50" s="614"/>
      <c r="V50" s="605"/>
      <c r="W50" s="606"/>
      <c r="X50" s="607"/>
      <c r="Y50" s="607"/>
      <c r="Z50" s="614"/>
      <c r="AA50" s="605"/>
      <c r="AB50" s="606"/>
      <c r="AC50" s="607"/>
      <c r="AD50" s="607"/>
      <c r="AE50" s="607"/>
    </row>
    <row r="51" spans="3:31" s="611" customFormat="1" ht="4.5" customHeight="1">
      <c r="C51" s="755"/>
      <c r="D51" s="755"/>
      <c r="E51" s="1425"/>
      <c r="F51" s="1426"/>
      <c r="G51" s="1425"/>
      <c r="H51" s="1425"/>
      <c r="I51" s="1425"/>
      <c r="J51" s="1425"/>
      <c r="K51" s="1425"/>
      <c r="L51" s="1427"/>
      <c r="M51" s="1425"/>
      <c r="N51" s="1425"/>
      <c r="O51" s="1425"/>
      <c r="P51" s="1425"/>
      <c r="Q51" s="1425"/>
      <c r="R51" s="1427"/>
      <c r="S51" s="1425"/>
      <c r="T51" s="608"/>
      <c r="U51" s="609"/>
      <c r="V51" s="608"/>
      <c r="W51" s="610"/>
      <c r="X51" s="603"/>
      <c r="Y51" s="603"/>
      <c r="Z51" s="603"/>
      <c r="AA51" s="603"/>
      <c r="AB51" s="603"/>
      <c r="AC51" s="603"/>
      <c r="AD51" s="603"/>
      <c r="AE51" s="603"/>
    </row>
    <row r="52" spans="3:31" s="600" customFormat="1" ht="15" customHeight="1">
      <c r="C52" s="1391" t="str">
        <f>IF(Indice_index!$Z$1=1,"Saldo global","Overall balance")</f>
        <v>Overall balance</v>
      </c>
      <c r="D52" s="327"/>
      <c r="E52" s="1423">
        <f>+E27-E50</f>
        <v>-11633.83880040278</v>
      </c>
      <c r="F52" s="1417"/>
      <c r="G52" s="1423">
        <f t="shared" ref="G52:J52" si="31">+G27-G50</f>
        <v>-12204.47937387001</v>
      </c>
      <c r="H52" s="1423">
        <f t="shared" si="31"/>
        <v>-1409.5634008600318</v>
      </c>
      <c r="I52" s="1423">
        <f t="shared" si="31"/>
        <v>-173.00855559467709</v>
      </c>
      <c r="J52" s="1423">
        <f t="shared" si="31"/>
        <v>2131.5226409100032</v>
      </c>
      <c r="K52" s="1423">
        <f>+K27-K50</f>
        <v>-11655.528689414714</v>
      </c>
      <c r="L52" s="1417"/>
      <c r="M52" s="1423">
        <f t="shared" ref="M52:P52" si="32">+M27-M50</f>
        <v>-9590.5459616899825</v>
      </c>
      <c r="N52" s="1423">
        <f t="shared" si="32"/>
        <v>-1119.4983583500216</v>
      </c>
      <c r="O52" s="1423">
        <f t="shared" si="32"/>
        <v>-337.74761915610725</v>
      </c>
      <c r="P52" s="1423">
        <f t="shared" si="32"/>
        <v>2253.7800303700024</v>
      </c>
      <c r="Q52" s="1423">
        <f>+Q27-Q50</f>
        <v>-8794.0119088260835</v>
      </c>
      <c r="R52" s="1417"/>
      <c r="S52" s="1423">
        <f>+S27-S50</f>
        <v>-11153.149400117574</v>
      </c>
      <c r="T52" s="605"/>
      <c r="AD52" s="607"/>
      <c r="AE52" s="607"/>
    </row>
    <row r="53" spans="3:31" ht="15" customHeight="1">
      <c r="C53" s="715" t="str">
        <f>IF(Indice_index!$Z$1=1,"Despesa primária","Primary expenditure")</f>
        <v>Primary expenditure</v>
      </c>
      <c r="D53" s="718"/>
      <c r="E53" s="718">
        <f t="shared" ref="E53" si="33">E50-E35</f>
        <v>88038.427350579499</v>
      </c>
      <c r="F53" s="718"/>
      <c r="G53" s="718">
        <f t="shared" ref="G53:K53" si="34">G50-G35</f>
        <v>52033.367352360001</v>
      </c>
      <c r="H53" s="718">
        <f t="shared" si="34"/>
        <v>35076.013810820034</v>
      </c>
      <c r="I53" s="718">
        <f t="shared" si="34"/>
        <v>11476.848997835858</v>
      </c>
      <c r="J53" s="718">
        <f t="shared" si="34"/>
        <v>30007.330509840001</v>
      </c>
      <c r="K53" s="718">
        <f t="shared" si="34"/>
        <v>88066.124692695914</v>
      </c>
      <c r="L53" s="718"/>
      <c r="M53" s="718">
        <f t="shared" ref="M53:Q53" si="35">M50-M35</f>
        <v>53217.452718649984</v>
      </c>
      <c r="N53" s="718">
        <f t="shared" si="35"/>
        <v>36540.011402330048</v>
      </c>
      <c r="O53" s="718">
        <f t="shared" si="35"/>
        <v>13071.903860917175</v>
      </c>
      <c r="P53" s="718">
        <f t="shared" si="35"/>
        <v>31219.82729220999</v>
      </c>
      <c r="Q53" s="718">
        <f t="shared" si="35"/>
        <v>93646.344625797181</v>
      </c>
      <c r="R53" s="718"/>
      <c r="S53" s="718">
        <f t="shared" ref="S53" si="36">S50-S35</f>
        <v>95321.016824754231</v>
      </c>
      <c r="T53" s="608"/>
      <c r="X53" s="18"/>
      <c r="Y53" s="18"/>
      <c r="Z53" s="18"/>
      <c r="AA53" s="18"/>
      <c r="AB53" s="18"/>
      <c r="AC53" s="18"/>
      <c r="AD53" s="603"/>
      <c r="AE53" s="603"/>
    </row>
    <row r="54" spans="3:31" ht="15" customHeight="1">
      <c r="C54" s="715" t="str">
        <f>IF(Indice_index!$Z$1=1," Saldo corrente","Current balance")</f>
        <v>Current balance</v>
      </c>
      <c r="D54" s="718"/>
      <c r="E54" s="718">
        <f t="shared" ref="E54" si="37">E9-E29</f>
        <v>-5551.0701997454162</v>
      </c>
      <c r="F54" s="718"/>
      <c r="G54" s="718">
        <f t="shared" ref="G54:K54" si="38">G9-G29</f>
        <v>-9288.1386496400082</v>
      </c>
      <c r="H54" s="718">
        <f t="shared" si="38"/>
        <v>220.97370868996586</v>
      </c>
      <c r="I54" s="718">
        <f t="shared" si="38"/>
        <v>1338.0290159138294</v>
      </c>
      <c r="J54" s="718">
        <f t="shared" si="38"/>
        <v>2165.6305294700032</v>
      </c>
      <c r="K54" s="718">
        <f t="shared" si="38"/>
        <v>-5563.5053955662006</v>
      </c>
      <c r="L54" s="718"/>
      <c r="M54" s="718">
        <f>M9-M29</f>
        <v>-6440.725325819978</v>
      </c>
      <c r="N54" s="718">
        <f t="shared" ref="N54:Q54" si="39">N9-N29</f>
        <v>95.84626713997568</v>
      </c>
      <c r="O54" s="718">
        <f t="shared" si="39"/>
        <v>1521.7113677927446</v>
      </c>
      <c r="P54" s="718">
        <f t="shared" si="39"/>
        <v>2295.6854539200031</v>
      </c>
      <c r="Q54" s="718">
        <f t="shared" si="39"/>
        <v>-2527.4822369672474</v>
      </c>
      <c r="R54" s="718"/>
      <c r="S54" s="718">
        <f t="shared" ref="S54" si="40">S9-S29</f>
        <v>-5285.5377740924159</v>
      </c>
      <c r="T54" s="608"/>
      <c r="X54" s="18"/>
      <c r="Y54" s="18"/>
      <c r="Z54" s="18"/>
      <c r="AA54" s="18"/>
      <c r="AB54" s="18"/>
      <c r="AC54" s="18"/>
      <c r="AD54" s="603"/>
      <c r="AE54" s="603"/>
    </row>
    <row r="55" spans="3:31" ht="15" customHeight="1">
      <c r="C55" s="715" t="str">
        <f>IF(Indice_index!$Z$1=1,"Saldo de capital","Capital balance")</f>
        <v>Capital balance</v>
      </c>
      <c r="D55" s="182"/>
      <c r="E55" s="934">
        <f t="shared" ref="E55" si="41">E19-E42</f>
        <v>-6082.7686006573758</v>
      </c>
      <c r="F55" s="934"/>
      <c r="G55" s="934">
        <f t="shared" ref="G55:K55" si="42">G19-G42</f>
        <v>-2916.34072423</v>
      </c>
      <c r="H55" s="934">
        <f t="shared" si="42"/>
        <v>-1630.5371095499986</v>
      </c>
      <c r="I55" s="934">
        <f t="shared" si="42"/>
        <v>-1511.0375715085077</v>
      </c>
      <c r="J55" s="934">
        <f t="shared" si="42"/>
        <v>-34.107888559999992</v>
      </c>
      <c r="K55" s="934">
        <f t="shared" si="42"/>
        <v>-6092.023293848506</v>
      </c>
      <c r="L55" s="934"/>
      <c r="M55" s="934">
        <f>M19-M42</f>
        <v>-3149.820635869999</v>
      </c>
      <c r="N55" s="934">
        <f t="shared" ref="N55:Q55" si="43">N19-N42</f>
        <v>-1215.3446254899964</v>
      </c>
      <c r="O55" s="934">
        <f t="shared" si="43"/>
        <v>-1859.458986948853</v>
      </c>
      <c r="P55" s="934">
        <f t="shared" si="43"/>
        <v>-41.905423550000009</v>
      </c>
      <c r="Q55" s="934">
        <f t="shared" si="43"/>
        <v>-6266.5296718588488</v>
      </c>
      <c r="R55" s="934"/>
      <c r="S55" s="934">
        <f t="shared" ref="S55" si="44">S19-S42</f>
        <v>-5867.6116260251601</v>
      </c>
      <c r="T55" s="608"/>
      <c r="X55" s="18"/>
      <c r="Y55" s="18"/>
      <c r="Z55" s="18"/>
      <c r="AA55" s="18"/>
      <c r="AB55" s="18"/>
      <c r="AC55" s="18"/>
      <c r="AD55" s="603"/>
      <c r="AE55" s="603"/>
    </row>
    <row r="56" spans="3:31" s="21" customFormat="1" ht="15" customHeight="1">
      <c r="C56" s="728" t="str">
        <f>IF(Indice_index!$Z$1=1,"Saldo primário","Primary balance")</f>
        <v>Primary balance</v>
      </c>
      <c r="D56" s="1428"/>
      <c r="E56" s="1396">
        <f t="shared" ref="E56" si="45">E27-E53</f>
        <v>-4038.0068092434085</v>
      </c>
      <c r="F56" s="1396"/>
      <c r="G56" s="1396">
        <f t="shared" ref="G56:K56" si="46">G27-G53</f>
        <v>-5278.8042051000084</v>
      </c>
      <c r="H56" s="1396">
        <f t="shared" si="46"/>
        <v>-801.61543486003211</v>
      </c>
      <c r="I56" s="1396">
        <f t="shared" si="46"/>
        <v>31.821467141799076</v>
      </c>
      <c r="J56" s="1396">
        <f t="shared" si="46"/>
        <v>2138.4873055000025</v>
      </c>
      <c r="K56" s="1396">
        <f t="shared" si="46"/>
        <v>-4059.8968765882455</v>
      </c>
      <c r="L56" s="1396"/>
      <c r="M56" s="1396">
        <f>M27-M53</f>
        <v>-3209.7180086199805</v>
      </c>
      <c r="N56" s="1396">
        <f t="shared" ref="N56:Q56" si="47">N27-N53</f>
        <v>-486.42503998002212</v>
      </c>
      <c r="O56" s="1396">
        <f t="shared" si="47"/>
        <v>-171.18192962591093</v>
      </c>
      <c r="P56" s="1396">
        <f t="shared" si="47"/>
        <v>2260.2705169900037</v>
      </c>
      <c r="Q56" s="1396">
        <f t="shared" si="47"/>
        <v>-1837.9182783358847</v>
      </c>
      <c r="R56" s="1396"/>
      <c r="S56" s="1396">
        <f t="shared" ref="S56" si="48">S27-S53</f>
        <v>-3873.8006448046945</v>
      </c>
      <c r="T56" s="608"/>
      <c r="U56" s="615"/>
      <c r="V56" s="18"/>
      <c r="W56" s="18"/>
      <c r="X56" s="18"/>
      <c r="Y56" s="18"/>
      <c r="Z56" s="18"/>
      <c r="AA56" s="18"/>
      <c r="AB56" s="18"/>
      <c r="AC56" s="18"/>
      <c r="AD56" s="603"/>
      <c r="AE56" s="603"/>
    </row>
    <row r="57" spans="3:31" ht="4.5" customHeight="1">
      <c r="C57" s="1545"/>
      <c r="D57" s="1545"/>
      <c r="E57" s="1545"/>
      <c r="F57" s="1545"/>
      <c r="G57" s="1545"/>
      <c r="H57" s="1545"/>
      <c r="I57" s="1545"/>
      <c r="J57" s="1545"/>
      <c r="K57" s="1545"/>
      <c r="L57" s="1545"/>
      <c r="M57" s="1545"/>
      <c r="N57" s="1545"/>
      <c r="O57" s="1545"/>
      <c r="P57" s="1545"/>
      <c r="Q57" s="1545"/>
      <c r="R57" s="1429"/>
      <c r="S57" s="1429"/>
      <c r="X57" s="18"/>
      <c r="Y57" s="18"/>
      <c r="Z57" s="18"/>
      <c r="AA57" s="18"/>
      <c r="AB57" s="18"/>
      <c r="AC57" s="18"/>
      <c r="AD57" s="603"/>
      <c r="AE57" s="603"/>
    </row>
    <row r="58" spans="3:31" ht="15" customHeight="1">
      <c r="C58" s="1430" t="str">
        <f>IF(Indice_index!$Z$1=1,"Notas:","Notes:")</f>
        <v>Notes:</v>
      </c>
      <c r="D58" s="635"/>
      <c r="E58" s="636"/>
      <c r="F58" s="635"/>
      <c r="G58" s="635"/>
      <c r="H58" s="635"/>
      <c r="I58" s="635"/>
      <c r="J58" s="635"/>
      <c r="K58" s="635"/>
      <c r="L58" s="637"/>
      <c r="M58" s="635"/>
      <c r="N58" s="635"/>
      <c r="O58" s="635"/>
      <c r="P58" s="635"/>
      <c r="Q58" s="1431"/>
      <c r="R58" s="635"/>
      <c r="S58" s="1432"/>
      <c r="X58" s="18"/>
      <c r="Y58" s="18"/>
      <c r="Z58" s="18"/>
      <c r="AA58" s="18"/>
      <c r="AB58" s="18"/>
      <c r="AC58" s="18"/>
      <c r="AD58" s="603"/>
      <c r="AE58" s="603"/>
    </row>
    <row r="59" spans="3:31" ht="21" customHeight="1">
      <c r="C59" s="1545" t="str">
        <f>IF(Indice_index!$Z$1=1,"A execução da Administração Regional e Local acima identificada difere da soma da execução dos setores (12 - Adm R e 13 - Adm Loc) devido à inclusão de uma estimativa das freguesias na conta consolidada.","The Regional and Local Government data identified in the table above differs from the sum of each sector (12 - Adm R and 13 - Adm Loc) due to the inclusion in the consolidated account of a budget execution estimate for parishes.")</f>
        <v>The Regional and Local Government data identified in the table above differs from the sum of each sector (12 - Adm R and 13 - Adm Loc) due to the inclusion in the consolidated account of a budget execution estimate for parishes.</v>
      </c>
      <c r="D59" s="1545"/>
      <c r="E59" s="1545"/>
      <c r="F59" s="1545"/>
      <c r="G59" s="1545"/>
      <c r="H59" s="1545"/>
      <c r="I59" s="1545"/>
      <c r="J59" s="1545"/>
      <c r="K59" s="1545"/>
      <c r="L59" s="1545"/>
      <c r="M59" s="1545"/>
      <c r="N59" s="1545"/>
      <c r="O59" s="1545"/>
      <c r="P59" s="1545"/>
      <c r="Q59" s="1545"/>
      <c r="R59" s="1545"/>
      <c r="S59" s="1545"/>
      <c r="U59" s="616"/>
      <c r="X59" s="18"/>
      <c r="Y59" s="18"/>
      <c r="Z59" s="18"/>
      <c r="AA59" s="18"/>
      <c r="AB59" s="18"/>
      <c r="AC59" s="18"/>
      <c r="AD59" s="603"/>
      <c r="AE59" s="603"/>
    </row>
    <row r="60" spans="3:31" ht="26.1" customHeight="1">
      <c r="C60" s="1545" t="str">
        <f>IF(Indice_index!$Z$1=1,"Nas contas consolidadas acima apresentadas, referentes à Conta Geral do Estado de 2020 e ao Orçamento do Estado para 2021, em relação ao processo de consolidação de juros pagos pelo Estado à Segurança Social","In the consolidated accounts presented above, referring to the Final Execution of 2020 and the State Budget for 2021, in relation to the process of consolidating interest paid by the State to Social Security")&amp;IF(Indice_index!$Z$1=1,", passou a considerar-se a receita da Segurança Social idêntica à despesa registada pelo Estado, o que não se efetuou em anteriores divulgações dos referidos exercícios.",", Social Security revenue is now considered identical to the expense recorded by the State, which was not done in previous disclosures of the referred exercises.")</f>
        <v>In the consolidated accounts presented above, referring to the Final Execution of 2020 and the State Budget for 2021, in relation to the process of consolidating interest paid by the State to Social Security, Social Security revenue is now considered identical to the expense recorded by the State, which was not done in previous disclosures of the referred exercises.</v>
      </c>
      <c r="D60" s="1545"/>
      <c r="E60" s="1545"/>
      <c r="F60" s="1545"/>
      <c r="G60" s="1545"/>
      <c r="H60" s="1545"/>
      <c r="I60" s="1545"/>
      <c r="J60" s="1545"/>
      <c r="K60" s="1545"/>
      <c r="L60" s="1545"/>
      <c r="M60" s="1545"/>
      <c r="N60" s="1545"/>
      <c r="O60" s="1545"/>
      <c r="P60" s="1545"/>
      <c r="Q60" s="1545"/>
      <c r="R60" s="1545"/>
      <c r="S60" s="1545"/>
      <c r="U60" s="616"/>
      <c r="X60" s="18"/>
      <c r="Y60" s="18"/>
      <c r="Z60" s="18"/>
      <c r="AA60" s="18"/>
      <c r="AB60" s="18"/>
      <c r="AC60" s="18"/>
      <c r="AD60" s="603"/>
      <c r="AE60" s="603"/>
    </row>
    <row r="61" spans="3:31" ht="25.5" customHeight="1">
      <c r="C61" s="1545" t="str">
        <f>IF(Indice_index!$Z$1=1,"Os valores apresentados em dezembro de 2020 para os subsetores Estado, Serviços e Fundos Autónomos e Segurança Social dizem respeito à Conta Geral do Estado de 2020,","The figures presented in December 2020 for the subsectors State, Services and Autonomous Funds and Social Security refer to the 2020 General State Accounts (CGE 2020), ")&amp;IF(Indice_index!$Z$1=1," enquanto que para a Adm. Regional diferem dos apresentados na CGE 2020 por refletirem informação mais atualizada, designadamente a disponibilizada nas Contas de Gerência de 2020.","while for Regional Administration subsector, differ from those presented in the 2020 CGE report, because they reflect the most up-to-date available information in the 2020 Final Accounts.")</f>
        <v>The figures presented in December 2020 for the subsectors State, Services and Autonomous Funds and Social Security refer to the 2020 General State Accounts (CGE 2020), while for Regional Administration subsector, differ from those presented in the 2020 CGE report, because they reflect the most up-to-date available information in the 2020 Final Accounts.</v>
      </c>
      <c r="D61" s="1545"/>
      <c r="E61" s="1545"/>
      <c r="F61" s="1545"/>
      <c r="G61" s="1545"/>
      <c r="H61" s="1545"/>
      <c r="I61" s="1545"/>
      <c r="J61" s="1545"/>
      <c r="K61" s="1545"/>
      <c r="L61" s="1545"/>
      <c r="M61" s="1545"/>
      <c r="N61" s="1545"/>
      <c r="O61" s="1545"/>
      <c r="P61" s="1545"/>
      <c r="Q61" s="1545"/>
      <c r="R61" s="1429"/>
      <c r="S61" s="1429"/>
      <c r="X61" s="18"/>
      <c r="Y61" s="18"/>
      <c r="Z61" s="18"/>
      <c r="AA61" s="18"/>
      <c r="AB61" s="18"/>
      <c r="AC61" s="18"/>
      <c r="AD61" s="603"/>
      <c r="AE61" s="603"/>
    </row>
    <row r="62" spans="3:31" s="21" customFormat="1" ht="15" customHeight="1">
      <c r="C62" s="1433" t="str">
        <f>IF(Indice_index!$Z$1=1,"Fonte: Direção-Geral do Orçamento","Source: Budget General Directorate")</f>
        <v>Source: Budget General Directorate</v>
      </c>
      <c r="D62" s="1364"/>
      <c r="E62" s="1364"/>
      <c r="F62" s="1364"/>
      <c r="G62" s="1364"/>
      <c r="H62" s="1364"/>
      <c r="I62" s="1364"/>
      <c r="J62" s="1364"/>
      <c r="K62" s="1364"/>
      <c r="L62" s="1364"/>
      <c r="M62" s="1364"/>
      <c r="N62" s="1364"/>
      <c r="O62" s="1364"/>
      <c r="P62" s="1364"/>
      <c r="Q62" s="1364"/>
      <c r="R62" s="1364"/>
      <c r="S62" s="1364"/>
      <c r="W62" s="617"/>
      <c r="X62" s="618"/>
      <c r="Y62" s="618"/>
      <c r="Z62" s="618"/>
      <c r="AA62" s="618"/>
      <c r="AB62" s="618"/>
      <c r="AC62" s="618"/>
      <c r="AD62" s="618"/>
      <c r="AE62" s="618"/>
    </row>
    <row r="63" spans="3:31" s="21" customFormat="1" ht="15" customHeight="1">
      <c r="C63" s="1433"/>
      <c r="D63" s="1364"/>
      <c r="E63" s="1364"/>
      <c r="F63" s="1364"/>
      <c r="G63" s="1364"/>
      <c r="H63" s="1364"/>
      <c r="I63" s="1364"/>
      <c r="J63" s="1364"/>
      <c r="K63" s="1364"/>
      <c r="L63" s="1364"/>
      <c r="M63" s="1364"/>
      <c r="N63" s="1364"/>
      <c r="O63" s="1364"/>
      <c r="P63" s="1364"/>
      <c r="Q63" s="1364"/>
      <c r="R63" s="1364"/>
      <c r="S63" s="1364"/>
      <c r="W63" s="617"/>
      <c r="X63" s="618"/>
      <c r="Y63" s="618"/>
      <c r="Z63" s="618"/>
      <c r="AA63" s="618"/>
      <c r="AB63" s="618"/>
      <c r="AC63" s="618"/>
      <c r="AD63" s="618"/>
      <c r="AE63" s="618"/>
    </row>
    <row r="64" spans="3:31" s="21" customFormat="1" ht="15" customHeight="1">
      <c r="C64" s="1433"/>
      <c r="D64" s="1364"/>
      <c r="E64" s="1364"/>
      <c r="F64" s="1364"/>
      <c r="G64" s="1364"/>
      <c r="H64" s="1364"/>
      <c r="I64" s="1364"/>
      <c r="J64" s="1364"/>
      <c r="K64" s="1364"/>
      <c r="L64" s="1364"/>
      <c r="M64" s="1364"/>
      <c r="N64" s="1364"/>
      <c r="O64" s="1364"/>
      <c r="P64" s="1364"/>
      <c r="Q64" s="1364"/>
      <c r="R64" s="1364"/>
      <c r="S64" s="1364"/>
      <c r="W64" s="617"/>
      <c r="X64" s="618"/>
      <c r="Y64" s="618"/>
      <c r="Z64" s="618"/>
      <c r="AA64" s="618"/>
      <c r="AB64" s="618"/>
      <c r="AC64" s="618"/>
      <c r="AD64" s="618"/>
      <c r="AE64" s="618"/>
    </row>
    <row r="65" spans="3:32" s="619" customFormat="1" ht="15" customHeight="1">
      <c r="C65" s="849" t="str">
        <f>+'4 - Conta AC + SS'!C5</f>
        <v>Period: January to December</v>
      </c>
      <c r="D65" s="1434"/>
      <c r="E65" s="1434"/>
      <c r="F65" s="1434"/>
      <c r="G65" s="1434"/>
      <c r="H65" s="1434"/>
      <c r="I65" s="1434"/>
      <c r="J65" s="1434"/>
      <c r="K65" s="1434"/>
      <c r="L65" s="1434"/>
      <c r="M65" s="1434"/>
      <c r="N65" s="1434"/>
      <c r="O65" s="1434"/>
      <c r="P65" s="1434"/>
      <c r="Q65" s="1434"/>
      <c r="R65" s="1434"/>
      <c r="S65" s="1435" t="str">
        <f>IF(Indice_index!$Z$1=1,"€ Milhões","€ Millions")</f>
        <v>€ Millions</v>
      </c>
      <c r="W65" s="620"/>
      <c r="X65" s="621"/>
      <c r="Y65" s="621"/>
      <c r="Z65" s="621"/>
      <c r="AA65" s="621"/>
      <c r="AB65" s="621"/>
      <c r="AC65" s="621"/>
      <c r="AD65" s="621"/>
      <c r="AE65" s="621"/>
    </row>
    <row r="66" spans="3:32" ht="20.45" customHeight="1">
      <c r="C66" s="1436"/>
      <c r="D66" s="1436"/>
      <c r="E66" s="1436"/>
      <c r="F66" s="1436"/>
      <c r="G66" s="1543" t="str">
        <f>IF(Indice_index!$Z$1=1,"Variação Homóloga Absoluta","YOY Variation")</f>
        <v>YOY Variation</v>
      </c>
      <c r="H66" s="1543"/>
      <c r="I66" s="1543"/>
      <c r="J66" s="1543"/>
      <c r="K66" s="1543"/>
      <c r="L66" s="1407"/>
      <c r="M66" s="1543" t="str">
        <f>IF(Indice_index!$Z$1=1,"Variação Homóloga Relativa (%)","Relative YOY Variation")</f>
        <v>Relative YOY Variation</v>
      </c>
      <c r="N66" s="1543"/>
      <c r="O66" s="1543"/>
      <c r="P66" s="1543"/>
      <c r="Q66" s="1543"/>
      <c r="R66" s="1436"/>
      <c r="S66" s="1546" t="str">
        <f>IF(Indice_index!$Z$1=1,"VH implícita ao OE (%)","YOY change rate implicit to Budget (%)")</f>
        <v>YOY change rate implicit to Budget (%)</v>
      </c>
      <c r="U66" s="602"/>
      <c r="V66" s="603"/>
      <c r="W66" s="603"/>
      <c r="X66" s="603"/>
      <c r="Y66" s="603"/>
      <c r="Z66" s="603"/>
      <c r="AA66" s="603"/>
      <c r="AB66" s="603"/>
      <c r="AC66" s="603"/>
      <c r="AD66" s="18"/>
      <c r="AE66" s="18"/>
    </row>
    <row r="67" spans="3:32" ht="33" customHeight="1">
      <c r="C67" s="1437"/>
      <c r="D67" s="1437"/>
      <c r="E67" s="1437"/>
      <c r="F67" s="1437"/>
      <c r="G67" s="1438" t="str">
        <f>IF(Indice_index!$Z$1=1,"Estado","State")</f>
        <v>State</v>
      </c>
      <c r="H67" s="1438" t="str">
        <f>IF(Indice_index!$Z$1=1,"Serviços e Fundos Autónomos","Autonomous Funds and Services")</f>
        <v>Autonomous Funds and Services</v>
      </c>
      <c r="I67" s="1438" t="str">
        <f>IF(Indice_index!$Z$1=1,"Adm. Local e Regional","Local and Regional Government")</f>
        <v>Local and Regional Government</v>
      </c>
      <c r="J67" s="1438" t="str">
        <f>IF(Indice_index!$Z$1=1,"Segurança Social","Social Security")</f>
        <v>Social Security</v>
      </c>
      <c r="K67" s="1438" t="str">
        <f>IF(Indice_index!$Z$1=1,"Adm. Públicas","General Government")</f>
        <v>General Government</v>
      </c>
      <c r="L67" s="1439"/>
      <c r="M67" s="1438" t="str">
        <f>IF(Indice_index!$Z$1=1,"Estado","State")</f>
        <v>State</v>
      </c>
      <c r="N67" s="1438" t="str">
        <f>IF(Indice_index!$Z$1=1,"Serviços e Fundos Autónomos","Autonomous Funds and Services")</f>
        <v>Autonomous Funds and Services</v>
      </c>
      <c r="O67" s="1438" t="str">
        <f>IF(Indice_index!$Z$1=1,"Adm. Local e Regional","Local and Regional Government")</f>
        <v>Local and Regional Government</v>
      </c>
      <c r="P67" s="1438" t="str">
        <f>IF(Indice_index!$Z$1=1,"Segurança Social","Social Security")</f>
        <v>Social Security</v>
      </c>
      <c r="Q67" s="1438" t="str">
        <f>IF(Indice_index!$Z$1=1,"Adm. Públicas","General Government")</f>
        <v>General Government</v>
      </c>
      <c r="R67" s="1440"/>
      <c r="S67" s="1547"/>
      <c r="U67" s="602"/>
      <c r="V67" s="603"/>
      <c r="W67" s="603"/>
      <c r="X67" s="603"/>
      <c r="Y67" s="603"/>
      <c r="Z67" s="603"/>
      <c r="AA67" s="603"/>
      <c r="AB67" s="603"/>
      <c r="AC67" s="603"/>
      <c r="AD67" s="18"/>
      <c r="AE67" s="18"/>
    </row>
    <row r="68" spans="3:32" s="600" customFormat="1" ht="15" customHeight="1">
      <c r="C68" s="327" t="str">
        <f>IF(Indice_index!$Z$1=1,"Receita corrente","Current revenue")</f>
        <v>Current revenue</v>
      </c>
      <c r="D68" s="327"/>
      <c r="E68" s="327"/>
      <c r="F68" s="327"/>
      <c r="G68" s="1441">
        <f t="shared" ref="G68:G84" si="49">M9-G9</f>
        <v>3300.8079321800105</v>
      </c>
      <c r="H68" s="1441">
        <f t="shared" ref="H68:H84" si="50">N9-H9</f>
        <v>1694.0360049700212</v>
      </c>
      <c r="I68" s="1441">
        <f t="shared" ref="I68:I84" si="51">O9-I9</f>
        <v>992.93170147881392</v>
      </c>
      <c r="J68" s="1441">
        <f t="shared" ref="J68:J84" si="52">P9-J9</f>
        <v>1334.365818689992</v>
      </c>
      <c r="K68" s="1441">
        <f t="shared" ref="K68:K84" si="53">Q9-K9</f>
        <v>7368.8343298688269</v>
      </c>
      <c r="L68" s="1441"/>
      <c r="M68" s="1442">
        <f t="shared" ref="M68:M76" si="54">IF(IFERROR((M9-G9)/G9*100,"")&gt;500,"-",IFERROR((M9-G9)/G9*100,""))</f>
        <v>7.0797970640957884</v>
      </c>
      <c r="N68" s="1442">
        <f t="shared" ref="N68:N76" si="55">IF(IFERROR((N9-H9)/H9*100,"")&gt;500,"-",IFERROR((N9-H9)/H9*100,""))</f>
        <v>5.3995779302803308</v>
      </c>
      <c r="O68" s="1442">
        <f t="shared" ref="O68:O76" si="56">IF(IFERROR((O9-I9)/I9*100,"")&gt;500,"-",IFERROR((O9-I9)/I9*100,""))</f>
        <v>9.5963549713367602</v>
      </c>
      <c r="P68" s="1442">
        <f t="shared" ref="P68:P76" si="57">IF(IFERROR((P9-J9)/J9*100,"")&gt;500,"-",IFERROR((P9-J9)/J9*100,""))</f>
        <v>4.151107277705715</v>
      </c>
      <c r="Q68" s="1442">
        <f t="shared" ref="Q68:Q76" si="58">IF(IFERROR((Q9-K9)/K9*100,"")&gt;500,"-",IFERROR((Q9-K9)/K9*100,""))</f>
        <v>8.9498374211601401</v>
      </c>
      <c r="R68" s="1441"/>
      <c r="S68" s="1442">
        <v>0.89901703730128624</v>
      </c>
      <c r="T68" s="622"/>
      <c r="U68" s="606"/>
      <c r="V68" s="607"/>
      <c r="W68" s="607"/>
      <c r="X68" s="607"/>
      <c r="Y68" s="607"/>
      <c r="Z68" s="607"/>
      <c r="AA68" s="607"/>
      <c r="AB68" s="607"/>
      <c r="AC68" s="607"/>
      <c r="AD68" s="622"/>
      <c r="AE68" s="622"/>
      <c r="AF68" s="622"/>
    </row>
    <row r="69" spans="3:32" ht="15" customHeight="1">
      <c r="C69" s="755" t="str">
        <f>IF(Indice_index!$Z$1=1,"Receita Fiscal","Tax")</f>
        <v>Tax</v>
      </c>
      <c r="D69" s="1364"/>
      <c r="E69" s="755"/>
      <c r="F69" s="1364"/>
      <c r="G69" s="1418">
        <f t="shared" si="49"/>
        <v>2302.6232523200088</v>
      </c>
      <c r="H69" s="1418">
        <f t="shared" si="50"/>
        <v>6.9538519799999676</v>
      </c>
      <c r="I69" s="1418">
        <f t="shared" si="51"/>
        <v>384.18612446011412</v>
      </c>
      <c r="J69" s="1418">
        <f t="shared" si="52"/>
        <v>8.3073518699999624</v>
      </c>
      <c r="K69" s="1418">
        <f t="shared" si="53"/>
        <v>2702.0705806301266</v>
      </c>
      <c r="L69" s="1418"/>
      <c r="M69" s="1418">
        <f t="shared" si="54"/>
        <v>5.3273957143719919</v>
      </c>
      <c r="N69" s="1418">
        <f t="shared" si="55"/>
        <v>1.2408092351480009</v>
      </c>
      <c r="O69" s="1418">
        <f t="shared" si="56"/>
        <v>8.1788041556602149</v>
      </c>
      <c r="P69" s="1418">
        <f t="shared" si="57"/>
        <v>4.0733579189554332</v>
      </c>
      <c r="Q69" s="1418">
        <f t="shared" si="58"/>
        <v>5.550221153018021</v>
      </c>
      <c r="R69" s="1441"/>
      <c r="S69" s="1418">
        <v>-5.0213224856501482</v>
      </c>
      <c r="T69" s="623"/>
      <c r="U69" s="610"/>
      <c r="V69" s="603"/>
      <c r="W69" s="603"/>
      <c r="X69" s="603"/>
      <c r="Y69" s="603"/>
      <c r="Z69" s="603"/>
      <c r="AA69" s="603"/>
      <c r="AB69" s="603"/>
      <c r="AC69" s="603"/>
      <c r="AD69" s="623"/>
      <c r="AE69" s="623"/>
      <c r="AF69" s="623"/>
    </row>
    <row r="70" spans="3:32" ht="15" customHeight="1">
      <c r="C70" s="715" t="str">
        <f>IF(Indice_index!$Z$1=1,"Impostos diretos","Direct taxes")</f>
        <v>Direct taxes</v>
      </c>
      <c r="D70" s="1364"/>
      <c r="E70" s="715"/>
      <c r="F70" s="1364"/>
      <c r="G70" s="1418">
        <f t="shared" si="49"/>
        <v>800.81806306000726</v>
      </c>
      <c r="H70" s="1418">
        <f t="shared" si="50"/>
        <v>1.5595100000000001E-3</v>
      </c>
      <c r="I70" s="1418">
        <f t="shared" si="51"/>
        <v>320.30098418137595</v>
      </c>
      <c r="J70" s="1418">
        <f t="shared" si="52"/>
        <v>0</v>
      </c>
      <c r="K70" s="1418">
        <f t="shared" si="53"/>
        <v>1121.1206067513849</v>
      </c>
      <c r="L70" s="1418"/>
      <c r="M70" s="1418">
        <f t="shared" si="54"/>
        <v>4.1809656876306835</v>
      </c>
      <c r="N70" s="1418" t="str">
        <f t="shared" si="55"/>
        <v>-</v>
      </c>
      <c r="O70" s="1418">
        <f t="shared" si="56"/>
        <v>8.7353432238161339</v>
      </c>
      <c r="P70" s="1418" t="str">
        <f t="shared" si="57"/>
        <v>-</v>
      </c>
      <c r="Q70" s="1418">
        <f t="shared" si="58"/>
        <v>4.9127512233564241</v>
      </c>
      <c r="R70" s="1418"/>
      <c r="S70" s="1418">
        <v>-4.3589399269543305</v>
      </c>
      <c r="T70" s="623"/>
      <c r="U70" s="610"/>
      <c r="V70" s="603"/>
      <c r="W70" s="603"/>
      <c r="X70" s="603"/>
      <c r="Y70" s="603"/>
      <c r="Z70" s="603"/>
      <c r="AA70" s="603"/>
      <c r="AB70" s="603"/>
      <c r="AC70" s="603"/>
      <c r="AD70" s="623"/>
      <c r="AE70" s="623"/>
      <c r="AF70" s="623"/>
    </row>
    <row r="71" spans="3:32" ht="15" customHeight="1">
      <c r="C71" s="715" t="str">
        <f>IF(Indice_index!$Z$1=1,"Impostos indiretos","Indirect taxes")</f>
        <v>Indirect taxes</v>
      </c>
      <c r="D71" s="1364"/>
      <c r="E71" s="715"/>
      <c r="F71" s="1364"/>
      <c r="G71" s="1418">
        <f t="shared" si="49"/>
        <v>1501.8051892599979</v>
      </c>
      <c r="H71" s="1418">
        <f t="shared" si="50"/>
        <v>6.9522924699999749</v>
      </c>
      <c r="I71" s="1418">
        <f t="shared" si="51"/>
        <v>63.88514027873839</v>
      </c>
      <c r="J71" s="1418">
        <f t="shared" si="52"/>
        <v>8.3073518699999624</v>
      </c>
      <c r="K71" s="1418">
        <f t="shared" si="53"/>
        <v>1580.9499738787381</v>
      </c>
      <c r="L71" s="1418"/>
      <c r="M71" s="1418">
        <f t="shared" si="54"/>
        <v>6.2397374071871061</v>
      </c>
      <c r="N71" s="1418">
        <f t="shared" si="55"/>
        <v>1.2405309642823192</v>
      </c>
      <c r="O71" s="1418">
        <f t="shared" si="56"/>
        <v>6.1987460059792703</v>
      </c>
      <c r="P71" s="1418">
        <f t="shared" si="57"/>
        <v>4.0733579189554332</v>
      </c>
      <c r="Q71" s="1418">
        <f t="shared" si="58"/>
        <v>6.1126943308658133</v>
      </c>
      <c r="R71" s="1418"/>
      <c r="S71" s="1418">
        <v>-5.57385386342375</v>
      </c>
      <c r="T71" s="623"/>
      <c r="U71" s="610"/>
      <c r="V71" s="603"/>
      <c r="W71" s="603"/>
      <c r="X71" s="603"/>
      <c r="Y71" s="603"/>
      <c r="Z71" s="603"/>
      <c r="AA71" s="603"/>
      <c r="AB71" s="603"/>
      <c r="AC71" s="603"/>
      <c r="AD71" s="623"/>
      <c r="AE71" s="623"/>
      <c r="AF71" s="623"/>
    </row>
    <row r="72" spans="3:32" ht="15" customHeight="1">
      <c r="C72" s="713" t="str">
        <f>IF(Indice_index!$Z$1=1,"Contribuições de Segurança Social","Social security contributions")</f>
        <v>Social security contributions</v>
      </c>
      <c r="D72" s="1364"/>
      <c r="E72" s="713"/>
      <c r="F72" s="1364"/>
      <c r="G72" s="1418">
        <f t="shared" si="49"/>
        <v>2.1627825900000062</v>
      </c>
      <c r="H72" s="1418">
        <f t="shared" si="50"/>
        <v>80.072938629999953</v>
      </c>
      <c r="I72" s="1418">
        <f t="shared" si="51"/>
        <v>0</v>
      </c>
      <c r="J72" s="1418">
        <f t="shared" si="52"/>
        <v>1713.3926621399951</v>
      </c>
      <c r="K72" s="1418">
        <f t="shared" si="53"/>
        <v>1795.6283833599955</v>
      </c>
      <c r="L72" s="1418"/>
      <c r="M72" s="1418">
        <f t="shared" si="54"/>
        <v>3.3575372349964723</v>
      </c>
      <c r="N72" s="1418">
        <f t="shared" si="55"/>
        <v>1.9505397641199014</v>
      </c>
      <c r="O72" s="1418" t="str">
        <f t="shared" si="56"/>
        <v>-</v>
      </c>
      <c r="P72" s="1418">
        <f t="shared" si="57"/>
        <v>9.3988031064871489</v>
      </c>
      <c r="Q72" s="1418">
        <f t="shared" si="58"/>
        <v>8.0163818443117449</v>
      </c>
      <c r="R72" s="1418"/>
      <c r="S72" s="1418">
        <v>1.9086028479691652</v>
      </c>
      <c r="T72" s="623"/>
      <c r="U72" s="610"/>
      <c r="V72" s="603"/>
      <c r="W72" s="603"/>
      <c r="X72" s="603"/>
      <c r="Y72" s="603"/>
      <c r="Z72" s="603"/>
      <c r="AA72" s="603"/>
      <c r="AB72" s="603"/>
      <c r="AC72" s="603"/>
      <c r="AD72" s="623"/>
      <c r="AE72" s="623"/>
      <c r="AF72" s="623"/>
    </row>
    <row r="73" spans="3:32" ht="15" customHeight="1">
      <c r="C73" s="713" t="str">
        <f>IF(Indice_index!$Z$1=1,"Transferências Correntes","Current transfers")</f>
        <v>Current transfers</v>
      </c>
      <c r="D73" s="1364"/>
      <c r="E73" s="713"/>
      <c r="F73" s="1364"/>
      <c r="G73" s="1418">
        <f t="shared" si="49"/>
        <v>246.54187400000012</v>
      </c>
      <c r="H73" s="1418">
        <f t="shared" si="50"/>
        <v>742.36413130000074</v>
      </c>
      <c r="I73" s="1418">
        <f t="shared" si="51"/>
        <v>419.66966085512922</v>
      </c>
      <c r="J73" s="1418">
        <f t="shared" si="52"/>
        <v>-655.26125450000291</v>
      </c>
      <c r="K73" s="1418">
        <f t="shared" si="53"/>
        <v>994.467708615123</v>
      </c>
      <c r="L73" s="1418"/>
      <c r="M73" s="1418">
        <f t="shared" si="54"/>
        <v>25.456084854674625</v>
      </c>
      <c r="N73" s="1418">
        <f t="shared" si="55"/>
        <v>3.3897444852105933</v>
      </c>
      <c r="O73" s="1418">
        <f t="shared" si="56"/>
        <v>10.521095307941518</v>
      </c>
      <c r="P73" s="1418">
        <f t="shared" si="57"/>
        <v>-5.0788282880381201</v>
      </c>
      <c r="Q73" s="1418">
        <f t="shared" si="58"/>
        <v>49.126201315391</v>
      </c>
      <c r="R73" s="1418"/>
      <c r="S73" s="1443">
        <v>115.35876658929843</v>
      </c>
      <c r="T73" s="623"/>
      <c r="U73" s="610"/>
      <c r="V73" s="603"/>
      <c r="W73" s="603"/>
      <c r="X73" s="603"/>
      <c r="Y73" s="603"/>
      <c r="Z73" s="603"/>
      <c r="AA73" s="603"/>
      <c r="AB73" s="603"/>
      <c r="AC73" s="603"/>
      <c r="AD73" s="623"/>
      <c r="AE73" s="623"/>
      <c r="AF73" s="623"/>
    </row>
    <row r="74" spans="3:32" ht="15" customHeight="1">
      <c r="C74" s="1419" t="str">
        <f>IF(Indice_index!$Z$1=1,"Administrações Públicas","General Government subsectors")</f>
        <v>General Government subsectors</v>
      </c>
      <c r="D74" s="1364"/>
      <c r="E74" s="713"/>
      <c r="F74" s="1364"/>
      <c r="G74" s="1418">
        <f t="shared" si="49"/>
        <v>-128.56995805999986</v>
      </c>
      <c r="H74" s="1418">
        <f t="shared" si="50"/>
        <v>547.64060846999928</v>
      </c>
      <c r="I74" s="1418">
        <f t="shared" si="51"/>
        <v>371.99600837000708</v>
      </c>
      <c r="J74" s="1418">
        <f t="shared" si="52"/>
        <v>-1032.2199557400018</v>
      </c>
      <c r="K74" s="1418">
        <f t="shared" si="53"/>
        <v>0</v>
      </c>
      <c r="L74" s="1418"/>
      <c r="M74" s="1418">
        <f t="shared" si="54"/>
        <v>-14.735396698936206</v>
      </c>
      <c r="N74" s="1418">
        <f t="shared" si="55"/>
        <v>2.5955359962490636</v>
      </c>
      <c r="O74" s="1418">
        <f t="shared" si="56"/>
        <v>9.6380686757964096</v>
      </c>
      <c r="P74" s="1418">
        <f t="shared" si="57"/>
        <v>-8.6714650041455048</v>
      </c>
      <c r="Q74" s="1418" t="str">
        <f t="shared" si="58"/>
        <v>-</v>
      </c>
      <c r="R74" s="1418"/>
      <c r="S74" s="1443" t="s">
        <v>3</v>
      </c>
      <c r="T74" s="623"/>
      <c r="U74" s="610"/>
      <c r="V74" s="603"/>
      <c r="W74" s="603"/>
      <c r="X74" s="603"/>
      <c r="Y74" s="603"/>
      <c r="Z74" s="603"/>
      <c r="AA74" s="603"/>
      <c r="AB74" s="603"/>
      <c r="AC74" s="603"/>
      <c r="AD74" s="623"/>
      <c r="AE74" s="623"/>
      <c r="AF74" s="623"/>
    </row>
    <row r="75" spans="3:32" ht="15" customHeight="1">
      <c r="C75" s="1419" t="str">
        <f>IF(Indice_index!$Z$1=1,"Outras","Others")</f>
        <v>Others</v>
      </c>
      <c r="D75" s="1364"/>
      <c r="E75" s="713"/>
      <c r="F75" s="1364"/>
      <c r="G75" s="1418">
        <f t="shared" si="49"/>
        <v>375.1118320600001</v>
      </c>
      <c r="H75" s="1418">
        <f t="shared" si="50"/>
        <v>194.72352283000066</v>
      </c>
      <c r="I75" s="1418">
        <f t="shared" si="51"/>
        <v>47.673652485122432</v>
      </c>
      <c r="J75" s="1418">
        <f t="shared" si="52"/>
        <v>376.95870123999998</v>
      </c>
      <c r="K75" s="1418">
        <f t="shared" si="53"/>
        <v>994.467708615123</v>
      </c>
      <c r="L75" s="1418"/>
      <c r="M75" s="1418">
        <f t="shared" si="54"/>
        <v>390.84648506472888</v>
      </c>
      <c r="N75" s="1418">
        <f t="shared" si="55"/>
        <v>24.310922098992503</v>
      </c>
      <c r="O75" s="1418">
        <f t="shared" si="56"/>
        <v>36.902822122441449</v>
      </c>
      <c r="P75" s="1418">
        <f t="shared" si="57"/>
        <v>37.764614352118478</v>
      </c>
      <c r="Q75" s="1418">
        <f t="shared" si="58"/>
        <v>49.126201315391</v>
      </c>
      <c r="R75" s="1418"/>
      <c r="S75" s="1443">
        <v>115.35876658929843</v>
      </c>
      <c r="T75" s="623"/>
      <c r="U75" s="610"/>
      <c r="V75" s="603"/>
      <c r="W75" s="603"/>
      <c r="X75" s="603"/>
      <c r="Y75" s="603"/>
      <c r="Z75" s="603"/>
      <c r="AA75" s="603"/>
      <c r="AB75" s="603"/>
      <c r="AC75" s="603"/>
      <c r="AD75" s="623"/>
      <c r="AE75" s="623"/>
      <c r="AF75" s="623"/>
    </row>
    <row r="76" spans="3:32" ht="15" customHeight="1">
      <c r="C76" s="713" t="str">
        <f>IF(Indice_index!$Z$1=1,"Outras receitas correntes","Other current revenue")</f>
        <v>Other current revenue</v>
      </c>
      <c r="D76" s="1364"/>
      <c r="E76" s="713"/>
      <c r="F76" s="1364"/>
      <c r="G76" s="1418">
        <f t="shared" si="49"/>
        <v>749.48030546999962</v>
      </c>
      <c r="H76" s="1418">
        <f t="shared" si="50"/>
        <v>836.26980560002085</v>
      </c>
      <c r="I76" s="1418">
        <f t="shared" si="51"/>
        <v>195.44757648357108</v>
      </c>
      <c r="J76" s="1418">
        <f t="shared" si="52"/>
        <v>267.92705917999979</v>
      </c>
      <c r="K76" s="1418">
        <f t="shared" si="53"/>
        <v>1854.6643223235897</v>
      </c>
      <c r="L76" s="1418"/>
      <c r="M76" s="1418">
        <f t="shared" si="54"/>
        <v>31.654460713765388</v>
      </c>
      <c r="N76" s="1418">
        <f t="shared" si="55"/>
        <v>17.443635856506354</v>
      </c>
      <c r="O76" s="1418">
        <f t="shared" si="56"/>
        <v>11.813683384843129</v>
      </c>
      <c r="P76" s="1418">
        <f t="shared" si="57"/>
        <v>33.112128155290478</v>
      </c>
      <c r="Q76" s="1418">
        <f t="shared" si="58"/>
        <v>20.143675742059568</v>
      </c>
      <c r="R76" s="1418"/>
      <c r="S76" s="1443">
        <v>7.5104748547732747</v>
      </c>
      <c r="T76" s="623"/>
      <c r="U76" s="610"/>
      <c r="V76" s="603"/>
      <c r="W76" s="603"/>
      <c r="X76" s="603"/>
      <c r="Y76" s="603"/>
      <c r="Z76" s="603"/>
      <c r="AA76" s="603"/>
      <c r="AB76" s="603"/>
      <c r="AC76" s="603"/>
      <c r="AD76" s="623"/>
      <c r="AE76" s="623"/>
      <c r="AF76" s="623"/>
    </row>
    <row r="77" spans="3:32" ht="15" customHeight="1">
      <c r="C77" s="755" t="str">
        <f>IF(Indice_index!$Z$1=1,"Diferenças de consolidação","Consolidation differences")</f>
        <v>Consolidation differences</v>
      </c>
      <c r="D77" s="1364"/>
      <c r="E77" s="1444"/>
      <c r="F77" s="1364"/>
      <c r="G77" s="1418">
        <f t="shared" si="49"/>
        <v>-2.8219999999999981E-4</v>
      </c>
      <c r="H77" s="1418">
        <f t="shared" si="50"/>
        <v>28.37527745999936</v>
      </c>
      <c r="I77" s="1418">
        <f t="shared" si="51"/>
        <v>-6.3716603200002737</v>
      </c>
      <c r="J77" s="1418">
        <f t="shared" si="52"/>
        <v>0</v>
      </c>
      <c r="K77" s="1418">
        <f t="shared" si="53"/>
        <v>22.003334939999082</v>
      </c>
      <c r="L77" s="1418"/>
      <c r="M77" s="1443" t="s">
        <v>3</v>
      </c>
      <c r="N77" s="1443" t="s">
        <v>3</v>
      </c>
      <c r="O77" s="1443" t="s">
        <v>3</v>
      </c>
      <c r="P77" s="1443" t="s">
        <v>3</v>
      </c>
      <c r="Q77" s="1443" t="s">
        <v>3</v>
      </c>
      <c r="R77" s="1443"/>
      <c r="S77" s="1443">
        <v>-62.312211637355993</v>
      </c>
      <c r="T77" s="623"/>
      <c r="U77" s="610"/>
      <c r="V77" s="603"/>
      <c r="W77" s="603"/>
      <c r="X77" s="603"/>
      <c r="Y77" s="603"/>
      <c r="Z77" s="603"/>
      <c r="AA77" s="603"/>
      <c r="AB77" s="603"/>
      <c r="AC77" s="603"/>
      <c r="AD77" s="623"/>
      <c r="AE77" s="623"/>
      <c r="AF77" s="623"/>
    </row>
    <row r="78" spans="3:32" s="600" customFormat="1" ht="15" customHeight="1">
      <c r="C78" s="327" t="str">
        <f>IF(Indice_index!$Z$1=1,"Receita de capital","Capital revenue")</f>
        <v>Capital revenue</v>
      </c>
      <c r="D78" s="327"/>
      <c r="E78" s="327"/>
      <c r="F78" s="327"/>
      <c r="G78" s="1441">
        <f t="shared" si="49"/>
        <v>-47.636369410000015</v>
      </c>
      <c r="H78" s="1441">
        <f t="shared" si="50"/>
        <v>85.151981420000084</v>
      </c>
      <c r="I78" s="1441">
        <f t="shared" si="51"/>
        <v>399.11976483479293</v>
      </c>
      <c r="J78" s="1441">
        <f t="shared" si="52"/>
        <v>-8.5824830000000074E-2</v>
      </c>
      <c r="K78" s="1441">
        <f t="shared" si="53"/>
        <v>433.36420148479283</v>
      </c>
      <c r="L78" s="1441"/>
      <c r="M78" s="1441">
        <f t="shared" ref="M78:Q83" si="59">IF(IFERROR((M19-G19)/G19*100,"")&gt;500,"-",IFERROR((M19-G19)/G19*100,""))</f>
        <v>-36.185250439154274</v>
      </c>
      <c r="N78" s="1441">
        <f t="shared" si="59"/>
        <v>2.9353550769088379</v>
      </c>
      <c r="O78" s="1441">
        <f t="shared" si="59"/>
        <v>34.356429699371354</v>
      </c>
      <c r="P78" s="1441">
        <f t="shared" si="59"/>
        <v>-8.5715292713136098</v>
      </c>
      <c r="Q78" s="1441">
        <f t="shared" si="59"/>
        <v>25.928406506390147</v>
      </c>
      <c r="R78" s="1441"/>
      <c r="S78" s="1442">
        <v>72.433222829129051</v>
      </c>
      <c r="T78" s="622"/>
      <c r="U78" s="606"/>
      <c r="V78" s="607"/>
      <c r="W78" s="607"/>
      <c r="X78" s="607"/>
      <c r="Y78" s="607"/>
      <c r="Z78" s="607"/>
      <c r="AA78" s="607"/>
      <c r="AB78" s="607"/>
      <c r="AC78" s="607"/>
      <c r="AD78" s="622"/>
      <c r="AE78" s="622"/>
      <c r="AF78" s="622"/>
    </row>
    <row r="79" spans="3:32" s="600" customFormat="1" ht="15" customHeight="1">
      <c r="C79" s="713" t="str">
        <f>IF(Indice_index!$Z$1=1,"Venda de bens de investimento","Sale of investment goods")</f>
        <v>Sale of investment goods</v>
      </c>
      <c r="D79" s="327"/>
      <c r="E79" s="327"/>
      <c r="F79" s="327"/>
      <c r="G79" s="1418">
        <f t="shared" si="49"/>
        <v>-34.410064859999991</v>
      </c>
      <c r="H79" s="1418">
        <f t="shared" si="50"/>
        <v>41.01080472999999</v>
      </c>
      <c r="I79" s="1418">
        <f t="shared" si="51"/>
        <v>22.726419853334122</v>
      </c>
      <c r="J79" s="1418">
        <f t="shared" si="52"/>
        <v>5.4629020000000028E-2</v>
      </c>
      <c r="K79" s="1418">
        <f t="shared" si="53"/>
        <v>29.381788743334113</v>
      </c>
      <c r="L79" s="1441"/>
      <c r="M79" s="1418">
        <f t="shared" si="59"/>
        <v>-48.255849981262259</v>
      </c>
      <c r="N79" s="1418">
        <f t="shared" si="59"/>
        <v>55.733251547209228</v>
      </c>
      <c r="O79" s="1418">
        <f t="shared" si="59"/>
        <v>33.340232705139101</v>
      </c>
      <c r="P79" s="1418">
        <f t="shared" si="59"/>
        <v>9.6976186371727415</v>
      </c>
      <c r="Q79" s="1418">
        <f t="shared" si="59"/>
        <v>13.75422391489664</v>
      </c>
      <c r="R79" s="1418"/>
      <c r="S79" s="1443">
        <v>-21.607198137757599</v>
      </c>
      <c r="T79" s="622"/>
      <c r="U79" s="606"/>
      <c r="V79" s="607"/>
      <c r="W79" s="607"/>
      <c r="X79" s="607"/>
      <c r="Y79" s="607"/>
      <c r="Z79" s="607"/>
      <c r="AA79" s="607"/>
      <c r="AB79" s="607"/>
      <c r="AC79" s="607"/>
      <c r="AD79" s="622"/>
      <c r="AE79" s="622"/>
      <c r="AF79" s="622"/>
    </row>
    <row r="80" spans="3:32" s="600" customFormat="1" ht="15" customHeight="1">
      <c r="C80" s="755" t="str">
        <f>IF(Indice_index!$Z$1=1,"Transferências de Capital","Capital transfers")</f>
        <v>Capital transfers</v>
      </c>
      <c r="D80" s="327"/>
      <c r="E80" s="327"/>
      <c r="F80" s="327"/>
      <c r="G80" s="1418">
        <f t="shared" si="49"/>
        <v>-0.91567621000000798</v>
      </c>
      <c r="H80" s="1418">
        <f t="shared" si="50"/>
        <v>85.323979290000352</v>
      </c>
      <c r="I80" s="1418">
        <f t="shared" si="51"/>
        <v>381.19891877268265</v>
      </c>
      <c r="J80" s="1418">
        <f t="shared" si="52"/>
        <v>-0.13800000000000001</v>
      </c>
      <c r="K80" s="1418">
        <f t="shared" si="53"/>
        <v>457.2782577426824</v>
      </c>
      <c r="L80" s="1441"/>
      <c r="M80" s="1418">
        <f t="shared" si="59"/>
        <v>-1.9971073295969137</v>
      </c>
      <c r="N80" s="1418">
        <f t="shared" si="59"/>
        <v>3.0811685259068864</v>
      </c>
      <c r="O80" s="1418">
        <f t="shared" si="59"/>
        <v>35.490739724441553</v>
      </c>
      <c r="P80" s="1418">
        <f t="shared" si="59"/>
        <v>-31.687715269804823</v>
      </c>
      <c r="Q80" s="1418">
        <f t="shared" si="59"/>
        <v>33.483010939340154</v>
      </c>
      <c r="R80" s="1418"/>
      <c r="S80" s="1443">
        <v>110.51475114339779</v>
      </c>
      <c r="T80" s="622"/>
      <c r="U80" s="606"/>
      <c r="V80" s="607"/>
      <c r="W80" s="607"/>
      <c r="X80" s="607"/>
      <c r="Y80" s="607"/>
      <c r="Z80" s="607"/>
      <c r="AA80" s="607"/>
      <c r="AB80" s="607"/>
      <c r="AC80" s="607"/>
      <c r="AD80" s="622"/>
      <c r="AE80" s="622"/>
      <c r="AF80" s="622"/>
    </row>
    <row r="81" spans="2:32" s="600" customFormat="1" ht="15" customHeight="1">
      <c r="C81" s="1419" t="str">
        <f>IF(Indice_index!$Z$1=1,"Administrações Públicas","General Government subsectors")</f>
        <v>General Government subsectors</v>
      </c>
      <c r="D81" s="327"/>
      <c r="E81" s="327"/>
      <c r="F81" s="327"/>
      <c r="G81" s="1418">
        <f t="shared" si="49"/>
        <v>-12.674275909999999</v>
      </c>
      <c r="H81" s="1418">
        <f t="shared" si="50"/>
        <v>-31.156240369999296</v>
      </c>
      <c r="I81" s="1418">
        <f t="shared" si="51"/>
        <v>52.159480390000226</v>
      </c>
      <c r="J81" s="1418">
        <f t="shared" si="52"/>
        <v>-0.13800000000000001</v>
      </c>
      <c r="K81" s="1418">
        <f t="shared" si="53"/>
        <v>0</v>
      </c>
      <c r="L81" s="1441"/>
      <c r="M81" s="1418">
        <f t="shared" si="59"/>
        <v>-42.674152156068779</v>
      </c>
      <c r="N81" s="1418">
        <f t="shared" si="59"/>
        <v>-1.607180465128508</v>
      </c>
      <c r="O81" s="1418">
        <f t="shared" si="59"/>
        <v>9.3952109657562755</v>
      </c>
      <c r="P81" s="1418">
        <f t="shared" si="59"/>
        <v>-31.687715269804823</v>
      </c>
      <c r="Q81" s="1418" t="str">
        <f t="shared" si="59"/>
        <v>-</v>
      </c>
      <c r="R81" s="1441"/>
      <c r="S81" s="1443" t="s">
        <v>3</v>
      </c>
      <c r="T81" s="622"/>
      <c r="U81" s="606"/>
      <c r="V81" s="607"/>
      <c r="W81" s="607"/>
      <c r="X81" s="607"/>
      <c r="Y81" s="607"/>
      <c r="Z81" s="607"/>
      <c r="AA81" s="607"/>
      <c r="AB81" s="607"/>
      <c r="AC81" s="607"/>
      <c r="AD81" s="622"/>
      <c r="AE81" s="622"/>
      <c r="AF81" s="622"/>
    </row>
    <row r="82" spans="2:32" s="600" customFormat="1" ht="15" customHeight="1">
      <c r="C82" s="1419" t="str">
        <f>IF(Indice_index!$Z$1=1,"Outras","Others")</f>
        <v>Others</v>
      </c>
      <c r="D82" s="327"/>
      <c r="E82" s="327"/>
      <c r="F82" s="327"/>
      <c r="G82" s="1418">
        <f t="shared" si="49"/>
        <v>11.758599699999994</v>
      </c>
      <c r="H82" s="1418">
        <f t="shared" si="50"/>
        <v>116.4802196600001</v>
      </c>
      <c r="I82" s="1418">
        <f t="shared" si="51"/>
        <v>329.03943838268242</v>
      </c>
      <c r="J82" s="1418">
        <f t="shared" si="52"/>
        <v>0</v>
      </c>
      <c r="K82" s="1418">
        <f t="shared" si="53"/>
        <v>457.2782577426824</v>
      </c>
      <c r="L82" s="1441"/>
      <c r="M82" s="1418">
        <f t="shared" si="59"/>
        <v>72.808659614740364</v>
      </c>
      <c r="N82" s="1418">
        <f t="shared" si="59"/>
        <v>14.022892731021708</v>
      </c>
      <c r="O82" s="1418">
        <f t="shared" si="59"/>
        <v>63.409852011471472</v>
      </c>
      <c r="P82" s="1418" t="str">
        <f t="shared" si="59"/>
        <v>-</v>
      </c>
      <c r="Q82" s="1418">
        <f t="shared" si="59"/>
        <v>33.483010939340154</v>
      </c>
      <c r="R82" s="1441"/>
      <c r="S82" s="1443">
        <v>110.51475114339779</v>
      </c>
      <c r="T82" s="622"/>
      <c r="U82" s="606"/>
      <c r="V82" s="607"/>
      <c r="W82" s="607"/>
      <c r="X82" s="607"/>
      <c r="Y82" s="607"/>
      <c r="Z82" s="607"/>
      <c r="AA82" s="607"/>
      <c r="AB82" s="607"/>
      <c r="AC82" s="607"/>
      <c r="AD82" s="622"/>
      <c r="AE82" s="622"/>
      <c r="AF82" s="622"/>
    </row>
    <row r="83" spans="2:32" ht="15" customHeight="1">
      <c r="C83" s="713" t="str">
        <f>IF(Indice_index!$Z$1=1,"Outras receitas de capital","Other capital revenue")</f>
        <v>Other capital revenue</v>
      </c>
      <c r="D83" s="1364"/>
      <c r="E83" s="1445"/>
      <c r="F83" s="1364"/>
      <c r="G83" s="1418">
        <f t="shared" si="49"/>
        <v>-9.0062937600000019</v>
      </c>
      <c r="H83" s="1418">
        <f t="shared" si="50"/>
        <v>-41.182802600000016</v>
      </c>
      <c r="I83" s="1418">
        <f t="shared" si="51"/>
        <v>-4.8055737912238516</v>
      </c>
      <c r="J83" s="1418">
        <f t="shared" si="52"/>
        <v>-2.45385E-3</v>
      </c>
      <c r="K83" s="1418">
        <f t="shared" si="53"/>
        <v>-54.997124001223852</v>
      </c>
      <c r="L83" s="1441"/>
      <c r="M83" s="1418">
        <f t="shared" si="59"/>
        <v>-85.724855871648842</v>
      </c>
      <c r="N83" s="1418">
        <f t="shared" si="59"/>
        <v>-70.862471392071669</v>
      </c>
      <c r="O83" s="1418">
        <f t="shared" si="59"/>
        <v>-24.696953564558804</v>
      </c>
      <c r="P83" s="1418">
        <f t="shared" si="59"/>
        <v>-100</v>
      </c>
      <c r="Q83" s="1418">
        <f t="shared" si="59"/>
        <v>-62.437710035759252</v>
      </c>
      <c r="R83" s="1441"/>
      <c r="S83" s="1443">
        <v>7.9486071468873876</v>
      </c>
      <c r="T83" s="623"/>
      <c r="U83" s="610"/>
      <c r="V83" s="603"/>
      <c r="W83" s="603"/>
      <c r="X83" s="603"/>
      <c r="Y83" s="603"/>
      <c r="Z83" s="603"/>
      <c r="AA83" s="603"/>
      <c r="AB83" s="603"/>
      <c r="AC83" s="603"/>
      <c r="AD83" s="623"/>
      <c r="AE83" s="623"/>
      <c r="AF83" s="623"/>
    </row>
    <row r="84" spans="2:32" ht="15" customHeight="1">
      <c r="B84" s="611"/>
      <c r="C84" s="755" t="str">
        <f>IF(Indice_index!$Z$1=1,"Diferenças de consolidação","Consolidation differences")</f>
        <v>Consolidation differences</v>
      </c>
      <c r="D84" s="1364"/>
      <c r="E84" s="1364"/>
      <c r="F84" s="1364"/>
      <c r="G84" s="1418">
        <f t="shared" si="49"/>
        <v>-3.304334580000007</v>
      </c>
      <c r="H84" s="1418">
        <f t="shared" si="50"/>
        <v>0</v>
      </c>
      <c r="I84" s="1418">
        <f t="shared" si="51"/>
        <v>0</v>
      </c>
      <c r="J84" s="1418">
        <f t="shared" si="52"/>
        <v>0</v>
      </c>
      <c r="K84" s="1418">
        <f t="shared" si="53"/>
        <v>1.7012790000004925</v>
      </c>
      <c r="L84" s="1418"/>
      <c r="M84" s="1443" t="s">
        <v>3</v>
      </c>
      <c r="N84" s="1443" t="s">
        <v>3</v>
      </c>
      <c r="O84" s="1443" t="s">
        <v>3</v>
      </c>
      <c r="P84" s="1443" t="s">
        <v>3</v>
      </c>
      <c r="Q84" s="1443" t="s">
        <v>3</v>
      </c>
      <c r="R84" s="1443"/>
      <c r="S84" s="1443" t="s">
        <v>3</v>
      </c>
      <c r="T84" s="623"/>
      <c r="U84" s="610"/>
      <c r="V84" s="603"/>
      <c r="W84" s="603"/>
      <c r="X84" s="603"/>
      <c r="Y84" s="603"/>
      <c r="Z84" s="603"/>
      <c r="AA84" s="603"/>
      <c r="AB84" s="603"/>
      <c r="AC84" s="603"/>
      <c r="AD84" s="623"/>
      <c r="AE84" s="623"/>
      <c r="AF84" s="623"/>
    </row>
    <row r="85" spans="2:32" s="600" customFormat="1" ht="4.5" customHeight="1">
      <c r="C85" s="1364"/>
      <c r="D85" s="327"/>
      <c r="E85" s="327"/>
      <c r="F85" s="327"/>
      <c r="G85" s="1446"/>
      <c r="H85" s="1446"/>
      <c r="I85" s="1446"/>
      <c r="J85" s="1446"/>
      <c r="K85" s="1446"/>
      <c r="L85" s="1446"/>
      <c r="M85" s="1446"/>
      <c r="N85" s="1446"/>
      <c r="O85" s="1446"/>
      <c r="P85" s="1446"/>
      <c r="Q85" s="1446"/>
      <c r="R85" s="1446"/>
      <c r="S85" s="1446"/>
      <c r="T85" s="622"/>
      <c r="U85" s="606"/>
      <c r="V85" s="607"/>
      <c r="W85" s="607"/>
      <c r="X85" s="607"/>
      <c r="Y85" s="607"/>
      <c r="Z85" s="607"/>
      <c r="AA85" s="607"/>
      <c r="AB85" s="607"/>
      <c r="AC85" s="607"/>
      <c r="AD85" s="622"/>
      <c r="AE85" s="622"/>
      <c r="AF85" s="622"/>
    </row>
    <row r="86" spans="2:32" ht="15" customHeight="1">
      <c r="B86" s="611"/>
      <c r="C86" s="1391" t="str">
        <f>IF(Indice_index!$Z$1=1,"Receita efetiva","Effective revenue")</f>
        <v>Effective revenue</v>
      </c>
      <c r="D86" s="1391"/>
      <c r="E86" s="1391"/>
      <c r="F86" s="1391"/>
      <c r="G86" s="1447">
        <f>M27-G27</f>
        <v>3253.1715627700105</v>
      </c>
      <c r="H86" s="1447">
        <f>N27-H27</f>
        <v>1779.1879863900249</v>
      </c>
      <c r="I86" s="1447">
        <f>O27-I27</f>
        <v>1392.0514663136073</v>
      </c>
      <c r="J86" s="1447">
        <f>P27-J27</f>
        <v>1334.2799938599892</v>
      </c>
      <c r="K86" s="1447">
        <f>Q27-K27</f>
        <v>7802.1985313536279</v>
      </c>
      <c r="L86" s="1441"/>
      <c r="M86" s="1447">
        <f>IF(IFERROR((M27-G27)/G27*100,"")&gt;500,"-",IFERROR((M27-G27)/G27*100,""))</f>
        <v>6.9579765990405997</v>
      </c>
      <c r="N86" s="1447">
        <f>IF(IFERROR((N27-H27)/H27*100,"")&gt;500,"-",IFERROR((N27-H27)/H27*100,""))</f>
        <v>5.1910115733437472</v>
      </c>
      <c r="O86" s="1447">
        <f>IF(IFERROR((O27-I27)/I27*100,"")&gt;500,"-",IFERROR((O27-I27)/I27*100,""))</f>
        <v>12.095675782444172</v>
      </c>
      <c r="P86" s="1447">
        <f>IF(IFERROR((P27-J27)/J27*100,"")&gt;500,"-",IFERROR((P27-J27)/J27*100,""))</f>
        <v>4.1507109930277464</v>
      </c>
      <c r="Q86" s="1447">
        <f>IF(IFERROR((Q27-K27)/K27*100,"")&gt;500,"-",IFERROR((Q27-K27)/K27*100,""))</f>
        <v>9.2876429928896354</v>
      </c>
      <c r="R86" s="1441"/>
      <c r="S86" s="1447">
        <v>2.6589598449977991</v>
      </c>
      <c r="T86" s="623"/>
      <c r="U86" s="623"/>
      <c r="V86" s="20"/>
      <c r="W86" s="20"/>
      <c r="AD86" s="623"/>
      <c r="AE86" s="623"/>
      <c r="AF86" s="623"/>
    </row>
    <row r="87" spans="2:32" s="600" customFormat="1" ht="4.5" customHeight="1">
      <c r="C87" s="1364"/>
      <c r="D87" s="327"/>
      <c r="E87" s="327"/>
      <c r="F87" s="327"/>
      <c r="G87" s="1446"/>
      <c r="H87" s="1446"/>
      <c r="I87" s="1446"/>
      <c r="J87" s="1446"/>
      <c r="K87" s="1448"/>
      <c r="L87" s="1446"/>
      <c r="M87" s="1446"/>
      <c r="N87" s="1446"/>
      <c r="O87" s="1446"/>
      <c r="P87" s="1446"/>
      <c r="Q87" s="1446"/>
      <c r="R87" s="1446"/>
      <c r="S87" s="1446"/>
      <c r="T87" s="622"/>
      <c r="U87" s="622"/>
      <c r="V87" s="601"/>
      <c r="W87" s="601"/>
      <c r="X87" s="601"/>
      <c r="Y87" s="601"/>
      <c r="Z87" s="601"/>
      <c r="AA87" s="601"/>
      <c r="AB87" s="601"/>
      <c r="AC87" s="601"/>
      <c r="AD87" s="622"/>
      <c r="AE87" s="622"/>
      <c r="AF87" s="622"/>
    </row>
    <row r="88" spans="2:32" ht="15" customHeight="1">
      <c r="C88" s="327" t="str">
        <f>IF(Indice_index!$Z$1=1,"Despesa corrente","Current expenditure")</f>
        <v>Current expenditure</v>
      </c>
      <c r="D88" s="1364"/>
      <c r="E88" s="755"/>
      <c r="F88" s="1364"/>
      <c r="G88" s="1441">
        <f t="shared" ref="G88:G107" si="60">M29-G29</f>
        <v>453.39460835998034</v>
      </c>
      <c r="H88" s="1441">
        <f t="shared" ref="H88:H107" si="61">N29-H29</f>
        <v>1819.1634465200113</v>
      </c>
      <c r="I88" s="1441">
        <f t="shared" ref="I88:I107" si="62">O29-I29</f>
        <v>809.24934959989878</v>
      </c>
      <c r="J88" s="1441">
        <f t="shared" ref="J88:J107" si="63">P29-J29</f>
        <v>1204.3108942399922</v>
      </c>
      <c r="K88" s="1441">
        <f t="shared" ref="K88:K107" si="64">Q29-K29</f>
        <v>4332.8111712698737</v>
      </c>
      <c r="L88" s="1441"/>
      <c r="M88" s="1441">
        <f t="shared" ref="M88:M99" si="65">IF(IFERROR((M29-G29)/G29*100,"")&gt;500,"-",IFERROR((M29-G29)/G29*100,""))</f>
        <v>0.81092120410265145</v>
      </c>
      <c r="N88" s="1441">
        <f t="shared" ref="N88:N99" si="66">IF(IFERROR((N29-H29)/H29*100,"")&gt;500,"-",IFERROR((N29-H29)/H29*100,""))</f>
        <v>5.8395394758954833</v>
      </c>
      <c r="O88" s="1441">
        <f t="shared" ref="O88:O99" si="67">IF(IFERROR((O29-I29)/I29*100,"")&gt;500,"-",IFERROR((O29-I29)/I29*100,""))</f>
        <v>8.9827383968855852</v>
      </c>
      <c r="P88" s="1441">
        <f t="shared" ref="P88:P99" si="68">IF(IFERROR((P29-J29)/J29*100,"")&gt;500,"-",IFERROR((P29-J29)/J29*100,""))</f>
        <v>4.017156749755074</v>
      </c>
      <c r="Q88" s="1441">
        <f t="shared" ref="Q88:Q99" si="69">IF(IFERROR((Q29-K29)/K29*100,"")&gt;500,"-",IFERROR((Q29-K29)/K29*100,""))</f>
        <v>4.9293432622321758</v>
      </c>
      <c r="R88" s="1441"/>
      <c r="S88" s="1442">
        <v>11.201647513672208</v>
      </c>
      <c r="T88" s="623"/>
      <c r="U88" s="623"/>
      <c r="V88" s="20"/>
      <c r="W88" s="20"/>
      <c r="AD88" s="623"/>
      <c r="AE88" s="623"/>
      <c r="AF88" s="623"/>
    </row>
    <row r="89" spans="2:32" ht="15" customHeight="1">
      <c r="C89" s="755" t="str">
        <f>IF(Indice_index!$Z$1=1,"Despesas com o pessoal","Compensation of employees")</f>
        <v>Compensation of employees</v>
      </c>
      <c r="D89" s="1364"/>
      <c r="E89" s="755"/>
      <c r="F89" s="1364"/>
      <c r="G89" s="1418">
        <f t="shared" si="60"/>
        <v>271.1006911999757</v>
      </c>
      <c r="H89" s="1418">
        <f t="shared" si="61"/>
        <v>443.62016144999779</v>
      </c>
      <c r="I89" s="1418">
        <f t="shared" si="62"/>
        <v>284.91912166525435</v>
      </c>
      <c r="J89" s="1418">
        <f t="shared" si="63"/>
        <v>6.7228887499998677</v>
      </c>
      <c r="K89" s="1418">
        <f t="shared" si="64"/>
        <v>1006.3628630652311</v>
      </c>
      <c r="L89" s="1418"/>
      <c r="M89" s="1418">
        <f t="shared" si="65"/>
        <v>2.7336360224894398</v>
      </c>
      <c r="N89" s="1418">
        <f t="shared" si="66"/>
        <v>5.4995809768161825</v>
      </c>
      <c r="O89" s="1418">
        <f t="shared" si="67"/>
        <v>6.7793403950905997</v>
      </c>
      <c r="P89" s="1418">
        <f t="shared" si="68"/>
        <v>2.3497086092464445</v>
      </c>
      <c r="Q89" s="1418">
        <f t="shared" si="69"/>
        <v>4.4781917965618465</v>
      </c>
      <c r="R89" s="1418"/>
      <c r="S89" s="1418">
        <v>8.3780836356951873</v>
      </c>
      <c r="T89" s="623"/>
      <c r="U89" s="623"/>
      <c r="V89" s="20"/>
      <c r="W89" s="20"/>
      <c r="AD89" s="623"/>
      <c r="AE89" s="623"/>
      <c r="AF89" s="623"/>
    </row>
    <row r="90" spans="2:32" ht="15" customHeight="1">
      <c r="C90" s="868" t="str">
        <f>IF(Indice_index!$Z$1=1,"Remunerações Certas e Permanentes","Certain and permanent wages")</f>
        <v>Certain and permanent wages</v>
      </c>
      <c r="D90" s="1364"/>
      <c r="E90" s="755"/>
      <c r="F90" s="1364"/>
      <c r="G90" s="1418">
        <f t="shared" si="60"/>
        <v>117.31345145997602</v>
      </c>
      <c r="H90" s="1418">
        <f t="shared" si="61"/>
        <v>183.87074043999746</v>
      </c>
      <c r="I90" s="1418">
        <f t="shared" si="62"/>
        <v>199.73042924311494</v>
      </c>
      <c r="J90" s="1418">
        <f t="shared" si="63"/>
        <v>5.84168198999987</v>
      </c>
      <c r="K90" s="1418">
        <f t="shared" si="64"/>
        <v>506.75630313309011</v>
      </c>
      <c r="L90" s="1418"/>
      <c r="M90" s="1418">
        <f t="shared" si="65"/>
        <v>1.6211459822768941</v>
      </c>
      <c r="N90" s="1418">
        <f t="shared" si="66"/>
        <v>3.1967912851795095</v>
      </c>
      <c r="O90" s="1418">
        <f t="shared" si="67"/>
        <v>6.3830965684369581</v>
      </c>
      <c r="P90" s="1418">
        <f t="shared" si="68"/>
        <v>2.5637583338187335</v>
      </c>
      <c r="Q90" s="1418">
        <f t="shared" si="69"/>
        <v>3.1003582622236108</v>
      </c>
      <c r="R90" s="1418"/>
      <c r="S90" s="1418">
        <v>11.931656948116531</v>
      </c>
      <c r="T90" s="623"/>
      <c r="U90" s="623"/>
      <c r="V90" s="20"/>
      <c r="W90" s="20"/>
      <c r="AD90" s="623"/>
      <c r="AE90" s="623"/>
      <c r="AF90" s="623"/>
    </row>
    <row r="91" spans="2:32" ht="15" customHeight="1">
      <c r="C91" s="868" t="str">
        <f>IF(Indice_index!$Z$1=1,"Abonos Variáveis ou Eventuais","Variable or contingent bonuses")</f>
        <v>Variable or contingent bonuses</v>
      </c>
      <c r="D91" s="1364"/>
      <c r="E91" s="755"/>
      <c r="F91" s="1364"/>
      <c r="G91" s="1418">
        <f t="shared" si="60"/>
        <v>25.843736010001123</v>
      </c>
      <c r="H91" s="1418">
        <f t="shared" si="61"/>
        <v>175.18325746000164</v>
      </c>
      <c r="I91" s="1418">
        <f t="shared" si="62"/>
        <v>30.564267873453105</v>
      </c>
      <c r="J91" s="1418">
        <f t="shared" si="63"/>
        <v>0.52412525999999904</v>
      </c>
      <c r="K91" s="1418">
        <f t="shared" si="64"/>
        <v>232.11538660345582</v>
      </c>
      <c r="L91" s="1418"/>
      <c r="M91" s="1418">
        <f t="shared" si="65"/>
        <v>7.1549722019670758</v>
      </c>
      <c r="N91" s="1418">
        <f t="shared" si="66"/>
        <v>22.71237508429558</v>
      </c>
      <c r="O91" s="1418">
        <f t="shared" si="67"/>
        <v>15.200088554864516</v>
      </c>
      <c r="P91" s="1418">
        <f t="shared" si="68"/>
        <v>11.411895044993207</v>
      </c>
      <c r="Q91" s="1418">
        <f t="shared" si="69"/>
        <v>17.345551771788465</v>
      </c>
      <c r="R91" s="1418"/>
      <c r="S91" s="1418">
        <v>1.313744897607938</v>
      </c>
      <c r="T91" s="623"/>
      <c r="U91" s="623"/>
      <c r="V91" s="20"/>
      <c r="W91" s="20"/>
      <c r="AD91" s="623"/>
      <c r="AE91" s="623"/>
      <c r="AF91" s="623"/>
    </row>
    <row r="92" spans="2:32" ht="15" customHeight="1">
      <c r="C92" s="868" t="str">
        <f>IF(Indice_index!$Z$1=1,"Segurança social","Social security")</f>
        <v>Social security</v>
      </c>
      <c r="D92" s="1364"/>
      <c r="E92" s="755"/>
      <c r="F92" s="1364"/>
      <c r="G92" s="1418">
        <f t="shared" si="60"/>
        <v>127.9435037299977</v>
      </c>
      <c r="H92" s="1418">
        <f t="shared" si="61"/>
        <v>84.566163549999601</v>
      </c>
      <c r="I92" s="1418">
        <f t="shared" si="62"/>
        <v>54.624424548686534</v>
      </c>
      <c r="J92" s="1418">
        <f t="shared" si="63"/>
        <v>0.35708150000001382</v>
      </c>
      <c r="K92" s="1418">
        <f t="shared" si="64"/>
        <v>267.49117332868445</v>
      </c>
      <c r="L92" s="1418"/>
      <c r="M92" s="1418">
        <f t="shared" si="65"/>
        <v>5.515833207976887</v>
      </c>
      <c r="N92" s="1418">
        <f t="shared" si="66"/>
        <v>5.4792275849327412</v>
      </c>
      <c r="O92" s="1418">
        <f t="shared" si="67"/>
        <v>6.2597895776280055</v>
      </c>
      <c r="P92" s="1418">
        <f t="shared" si="68"/>
        <v>0.665366801149327</v>
      </c>
      <c r="Q92" s="1418">
        <f t="shared" si="69"/>
        <v>5.5852360498089046</v>
      </c>
      <c r="R92" s="1418"/>
      <c r="S92" s="1418">
        <v>-1.5033730796819911</v>
      </c>
      <c r="T92" s="623"/>
      <c r="U92" s="623"/>
      <c r="V92" s="20"/>
      <c r="W92" s="20"/>
      <c r="AD92" s="623"/>
      <c r="AE92" s="623"/>
      <c r="AF92" s="623"/>
    </row>
    <row r="93" spans="2:32" ht="15" customHeight="1">
      <c r="C93" s="755" t="str">
        <f>IF(Indice_index!$Z$1=1,"Aquisição de bens e serviços","Purchase of goods and services")</f>
        <v>Purchase of goods and services</v>
      </c>
      <c r="D93" s="1364"/>
      <c r="E93" s="755"/>
      <c r="F93" s="1364"/>
      <c r="G93" s="1418">
        <f t="shared" si="60"/>
        <v>589.1412840999908</v>
      </c>
      <c r="H93" s="1418">
        <f t="shared" si="61"/>
        <v>508.49933648002479</v>
      </c>
      <c r="I93" s="1418">
        <f t="shared" si="62"/>
        <v>250.86737278202327</v>
      </c>
      <c r="J93" s="1418">
        <f t="shared" si="63"/>
        <v>13.163405669999989</v>
      </c>
      <c r="K93" s="1418">
        <f t="shared" si="64"/>
        <v>1357.8140474620395</v>
      </c>
      <c r="L93" s="1418"/>
      <c r="M93" s="1418">
        <f t="shared" si="65"/>
        <v>48.528803066826534</v>
      </c>
      <c r="N93" s="1418">
        <f t="shared" si="66"/>
        <v>5.6487040663919377</v>
      </c>
      <c r="O93" s="1418">
        <f t="shared" si="67"/>
        <v>8.1256022350314936</v>
      </c>
      <c r="P93" s="1418">
        <f t="shared" si="68"/>
        <v>15.238214751942497</v>
      </c>
      <c r="Q93" s="1418">
        <f t="shared" si="69"/>
        <v>10.142542535453856</v>
      </c>
      <c r="R93" s="1418"/>
      <c r="S93" s="1418">
        <v>15.131897510797131</v>
      </c>
      <c r="T93" s="623"/>
      <c r="U93" s="623"/>
      <c r="V93" s="20"/>
      <c r="W93" s="20"/>
      <c r="AD93" s="623"/>
      <c r="AE93" s="623"/>
      <c r="AF93" s="623"/>
    </row>
    <row r="94" spans="2:32" ht="15" customHeight="1">
      <c r="C94" s="755" t="str">
        <f>IF(Indice_index!$Z$1=1,"Juros e outros encargos","Interests and other charges")</f>
        <v>Interests and other charges</v>
      </c>
      <c r="D94" s="1364"/>
      <c r="E94" s="755"/>
      <c r="F94" s="1364"/>
      <c r="G94" s="1418">
        <f t="shared" si="60"/>
        <v>-544.84721569999783</v>
      </c>
      <c r="H94" s="1418">
        <f t="shared" si="61"/>
        <v>25.125352369999746</v>
      </c>
      <c r="I94" s="1418">
        <f t="shared" si="62"/>
        <v>-38.26433320628027</v>
      </c>
      <c r="J94" s="1418">
        <f t="shared" si="63"/>
        <v>-0.47417796999999862</v>
      </c>
      <c r="K94" s="1418">
        <f t="shared" si="64"/>
        <v>-639.53818233627771</v>
      </c>
      <c r="L94" s="1418"/>
      <c r="M94" s="1418">
        <f t="shared" si="65"/>
        <v>-7.8670628122566546</v>
      </c>
      <c r="N94" s="1418">
        <f t="shared" si="66"/>
        <v>4.1328129667596833</v>
      </c>
      <c r="O94" s="1418">
        <f t="shared" si="67"/>
        <v>-18.681017897219611</v>
      </c>
      <c r="P94" s="1418">
        <f t="shared" si="68"/>
        <v>-6.8083389210276195</v>
      </c>
      <c r="Q94" s="1418">
        <f t="shared" si="69"/>
        <v>-8.4198154688897926</v>
      </c>
      <c r="R94" s="1418"/>
      <c r="S94" s="1418">
        <v>-9.978826219165903</v>
      </c>
      <c r="T94" s="623"/>
      <c r="U94" s="623"/>
      <c r="V94" s="20"/>
      <c r="W94" s="20"/>
      <c r="AD94" s="623"/>
      <c r="AE94" s="623"/>
      <c r="AF94" s="623"/>
    </row>
    <row r="95" spans="2:32" ht="15" customHeight="1">
      <c r="C95" s="755" t="str">
        <f>IF(Indice_index!$Z$1=1,"Transferências correntes","Current transfers")</f>
        <v>Current transfers</v>
      </c>
      <c r="D95" s="1364"/>
      <c r="E95" s="755"/>
      <c r="F95" s="1364"/>
      <c r="G95" s="1418">
        <f t="shared" si="60"/>
        <v>47.107037740010128</v>
      </c>
      <c r="H95" s="1418">
        <f t="shared" si="61"/>
        <v>596.31983372999275</v>
      </c>
      <c r="I95" s="1418">
        <f t="shared" si="62"/>
        <v>178.02578663259726</v>
      </c>
      <c r="J95" s="1418">
        <f t="shared" si="63"/>
        <v>935.36718379999365</v>
      </c>
      <c r="K95" s="1418">
        <f t="shared" si="64"/>
        <v>1903.5238841725877</v>
      </c>
      <c r="L95" s="1418"/>
      <c r="M95" s="1418">
        <f t="shared" si="65"/>
        <v>0.12614771535239144</v>
      </c>
      <c r="N95" s="1418">
        <f t="shared" si="66"/>
        <v>4.763508995685239</v>
      </c>
      <c r="O95" s="1418">
        <f t="shared" si="67"/>
        <v>19.243051265756982</v>
      </c>
      <c r="P95" s="1418">
        <f t="shared" si="68"/>
        <v>3.2411127726686821</v>
      </c>
      <c r="Q95" s="1418">
        <f t="shared" si="69"/>
        <v>4.5419264502714709</v>
      </c>
      <c r="R95" s="1418"/>
      <c r="S95" s="1418">
        <v>10.424509035728068</v>
      </c>
      <c r="T95" s="623"/>
      <c r="U95" s="623"/>
      <c r="V95" s="20"/>
      <c r="W95" s="20"/>
      <c r="AD95" s="623"/>
      <c r="AE95" s="623"/>
      <c r="AF95" s="623"/>
    </row>
    <row r="96" spans="2:32" ht="15" customHeight="1">
      <c r="C96" s="1419" t="str">
        <f>IF(Indice_index!$Z$1=1,"Administrações Públicas","General Government subsectors")</f>
        <v>General Government subsectors</v>
      </c>
      <c r="D96" s="1364"/>
      <c r="E96" s="755"/>
      <c r="F96" s="1364"/>
      <c r="G96" s="1418">
        <f t="shared" si="60"/>
        <v>-317.0767505299882</v>
      </c>
      <c r="H96" s="1418">
        <f t="shared" si="61"/>
        <v>-17.426050599999598</v>
      </c>
      <c r="I96" s="1418">
        <f t="shared" si="62"/>
        <v>33.890095370000097</v>
      </c>
      <c r="J96" s="1418">
        <f t="shared" si="63"/>
        <v>153.90866348999975</v>
      </c>
      <c r="K96" s="1418">
        <f t="shared" si="64"/>
        <v>0</v>
      </c>
      <c r="L96" s="1418"/>
      <c r="M96" s="1418">
        <f t="shared" si="65"/>
        <v>-0.92084821413494566</v>
      </c>
      <c r="N96" s="1418">
        <f t="shared" si="66"/>
        <v>-1.4189607587863737</v>
      </c>
      <c r="O96" s="1418">
        <f t="shared" si="67"/>
        <v>26.003530490704041</v>
      </c>
      <c r="P96" s="1418">
        <f t="shared" si="68"/>
        <v>7.9160528298436299</v>
      </c>
      <c r="Q96" s="1418" t="str">
        <f t="shared" si="69"/>
        <v>-</v>
      </c>
      <c r="R96" s="1418"/>
      <c r="S96" s="1443" t="s">
        <v>3</v>
      </c>
      <c r="T96" s="623"/>
      <c r="U96" s="623"/>
      <c r="V96" s="20"/>
      <c r="W96" s="20"/>
      <c r="AD96" s="623"/>
      <c r="AE96" s="623"/>
      <c r="AF96" s="623"/>
    </row>
    <row r="97" spans="2:32" ht="15" customHeight="1">
      <c r="C97" s="1419" t="str">
        <f>IF(Indice_index!$Z$1=1,"Outras","Others")</f>
        <v>Others</v>
      </c>
      <c r="D97" s="1364"/>
      <c r="E97" s="755"/>
      <c r="F97" s="1364"/>
      <c r="G97" s="1418">
        <f t="shared" si="60"/>
        <v>364.18378826999924</v>
      </c>
      <c r="H97" s="1418">
        <f t="shared" si="61"/>
        <v>613.74588432999371</v>
      </c>
      <c r="I97" s="1418">
        <f t="shared" si="62"/>
        <v>144.13569126259711</v>
      </c>
      <c r="J97" s="1418">
        <f t="shared" si="63"/>
        <v>781.45852030999595</v>
      </c>
      <c r="K97" s="1418">
        <f t="shared" si="64"/>
        <v>1903.5238841725877</v>
      </c>
      <c r="L97" s="1418"/>
      <c r="M97" s="1418">
        <f t="shared" si="65"/>
        <v>12.51644876633978</v>
      </c>
      <c r="N97" s="1418">
        <f t="shared" si="66"/>
        <v>5.435991097252125</v>
      </c>
      <c r="O97" s="1418">
        <f t="shared" si="67"/>
        <v>18.134509078545218</v>
      </c>
      <c r="P97" s="1418">
        <f t="shared" si="68"/>
        <v>2.9034112253704407</v>
      </c>
      <c r="Q97" s="1418">
        <f t="shared" si="69"/>
        <v>4.5419264502714709</v>
      </c>
      <c r="R97" s="1418"/>
      <c r="S97" s="1443">
        <v>10.424509035728068</v>
      </c>
      <c r="T97" s="623"/>
      <c r="U97" s="623"/>
      <c r="V97" s="20"/>
      <c r="W97" s="20"/>
      <c r="AD97" s="623"/>
      <c r="AE97" s="623"/>
      <c r="AF97" s="623"/>
    </row>
    <row r="98" spans="2:32" ht="15" customHeight="1">
      <c r="C98" s="755" t="str">
        <f>IF(Indice_index!$Z$1=1,"Subsídios","Subsidies")</f>
        <v>Subsidies</v>
      </c>
      <c r="D98" s="1364"/>
      <c r="E98" s="755"/>
      <c r="F98" s="1364"/>
      <c r="G98" s="1418">
        <f t="shared" si="60"/>
        <v>112.19058046000005</v>
      </c>
      <c r="H98" s="1418">
        <f t="shared" si="61"/>
        <v>266.99677840999937</v>
      </c>
      <c r="I98" s="1418">
        <f t="shared" si="62"/>
        <v>125.79445527168747</v>
      </c>
      <c r="J98" s="1418">
        <f t="shared" si="63"/>
        <v>248.22222893999992</v>
      </c>
      <c r="K98" s="1418">
        <f t="shared" si="64"/>
        <v>547.6372959916871</v>
      </c>
      <c r="L98" s="1418"/>
      <c r="M98" s="1418">
        <f t="shared" si="65"/>
        <v>133.25301191196073</v>
      </c>
      <c r="N98" s="1418">
        <f t="shared" si="66"/>
        <v>38.160906599604886</v>
      </c>
      <c r="O98" s="1418">
        <f t="shared" si="67"/>
        <v>26.641415972749559</v>
      </c>
      <c r="P98" s="1418">
        <f t="shared" si="68"/>
        <v>33.906874367782073</v>
      </c>
      <c r="Q98" s="1418">
        <f t="shared" si="69"/>
        <v>32.866641910287342</v>
      </c>
      <c r="R98" s="1418"/>
      <c r="S98" s="1418">
        <v>98.916569677183432</v>
      </c>
      <c r="T98" s="623"/>
      <c r="U98" s="623"/>
      <c r="V98" s="20"/>
      <c r="W98" s="20"/>
      <c r="AD98" s="623"/>
      <c r="AE98" s="623"/>
      <c r="AF98" s="623"/>
    </row>
    <row r="99" spans="2:32" ht="15" customHeight="1">
      <c r="C99" s="755" t="str">
        <f>IF(Indice_index!$Z$1=1,"Outras despesas correntes","Other current expenditures")</f>
        <v>Other current expenditures</v>
      </c>
      <c r="D99" s="1364"/>
      <c r="E99" s="1449"/>
      <c r="F99" s="1364"/>
      <c r="G99" s="1418">
        <f t="shared" si="60"/>
        <v>-20.670619390000297</v>
      </c>
      <c r="H99" s="1418">
        <f t="shared" si="61"/>
        <v>-20.727849330000311</v>
      </c>
      <c r="I99" s="1418">
        <f t="shared" si="62"/>
        <v>1.1766150246183571</v>
      </c>
      <c r="J99" s="1418">
        <f t="shared" si="63"/>
        <v>1.3093650499999985</v>
      </c>
      <c r="K99" s="1418">
        <f t="shared" si="64"/>
        <v>-38.912488645382268</v>
      </c>
      <c r="L99" s="1418"/>
      <c r="M99" s="1418">
        <f t="shared" si="65"/>
        <v>-4.8755790147604063</v>
      </c>
      <c r="N99" s="1418">
        <f t="shared" si="66"/>
        <v>-8.1625852248042925</v>
      </c>
      <c r="O99" s="1418">
        <f t="shared" si="67"/>
        <v>1.0085569244277597</v>
      </c>
      <c r="P99" s="1418">
        <f t="shared" si="68"/>
        <v>15.958109402870171</v>
      </c>
      <c r="Q99" s="1418">
        <f t="shared" si="69"/>
        <v>-4.8472900752843273</v>
      </c>
      <c r="R99" s="1418"/>
      <c r="S99" s="1418">
        <v>101.73736421513281</v>
      </c>
      <c r="T99" s="623"/>
      <c r="U99" s="623"/>
      <c r="V99" s="20"/>
      <c r="W99" s="20"/>
      <c r="AD99" s="623"/>
      <c r="AE99" s="623"/>
      <c r="AF99" s="623"/>
    </row>
    <row r="100" spans="2:32" s="600" customFormat="1" ht="15" customHeight="1">
      <c r="C100" s="755" t="str">
        <f>IF(Indice_index!$Z$1=1,"Diferenças de consolidação","Consolidation differences")</f>
        <v>Consolidation differences</v>
      </c>
      <c r="D100" s="327"/>
      <c r="E100" s="327"/>
      <c r="F100" s="327"/>
      <c r="G100" s="1418">
        <f t="shared" si="60"/>
        <v>-0.62715004999957369</v>
      </c>
      <c r="H100" s="1418">
        <f t="shared" si="61"/>
        <v>-0.67016659000364598</v>
      </c>
      <c r="I100" s="1418">
        <f t="shared" si="62"/>
        <v>6.7303314299999784</v>
      </c>
      <c r="J100" s="1418">
        <f t="shared" si="63"/>
        <v>0</v>
      </c>
      <c r="K100" s="1418">
        <f t="shared" si="64"/>
        <v>195.92375155998928</v>
      </c>
      <c r="L100" s="1418"/>
      <c r="M100" s="1443" t="s">
        <v>3</v>
      </c>
      <c r="N100" s="1443" t="s">
        <v>3</v>
      </c>
      <c r="O100" s="1443" t="s">
        <v>3</v>
      </c>
      <c r="P100" s="1443" t="s">
        <v>3</v>
      </c>
      <c r="Q100" s="1443" t="s">
        <v>3</v>
      </c>
      <c r="R100" s="1443"/>
      <c r="S100" s="1443" t="s">
        <v>3</v>
      </c>
      <c r="T100" s="622"/>
      <c r="U100" s="622"/>
      <c r="V100" s="601"/>
      <c r="W100" s="601"/>
      <c r="X100" s="601"/>
      <c r="Y100" s="601"/>
      <c r="Z100" s="601"/>
      <c r="AA100" s="601"/>
      <c r="AB100" s="601"/>
      <c r="AC100" s="601"/>
      <c r="AD100" s="622"/>
      <c r="AE100" s="622"/>
      <c r="AF100" s="622"/>
    </row>
    <row r="101" spans="2:32" ht="15" customHeight="1">
      <c r="C101" s="327" t="str">
        <f>IF(Indice_index!$Z$1=1,"Despesa de capital","Capital expenditure")</f>
        <v>Capital expenditure</v>
      </c>
      <c r="D101" s="1364"/>
      <c r="E101" s="755"/>
      <c r="F101" s="1364"/>
      <c r="G101" s="1441">
        <f t="shared" si="60"/>
        <v>185.843542229999</v>
      </c>
      <c r="H101" s="1441">
        <f t="shared" si="61"/>
        <v>-330.04050264000216</v>
      </c>
      <c r="I101" s="1441">
        <f t="shared" si="62"/>
        <v>747.54118027513823</v>
      </c>
      <c r="J101" s="1441">
        <f t="shared" si="63"/>
        <v>7.7117101600000169</v>
      </c>
      <c r="K101" s="1441">
        <f t="shared" si="64"/>
        <v>607.87057949513473</v>
      </c>
      <c r="L101" s="1441"/>
      <c r="M101" s="1441">
        <f t="shared" ref="M101:Q106" si="70">IF(IFERROR((M42-G42)/G42*100,"")&gt;500,"-",IFERROR((M42-G42)/G42*100,""))</f>
        <v>6.0972559942523938</v>
      </c>
      <c r="N101" s="1441">
        <f t="shared" si="70"/>
        <v>-7.2833371547427115</v>
      </c>
      <c r="O101" s="1441">
        <f t="shared" si="70"/>
        <v>27.969085915490744</v>
      </c>
      <c r="P101" s="1441">
        <f t="shared" si="70"/>
        <v>21.964947998389562</v>
      </c>
      <c r="Q101" s="1441">
        <f t="shared" si="70"/>
        <v>7.8299420018972024</v>
      </c>
      <c r="R101" s="1441"/>
      <c r="S101" s="1442">
        <v>58.030459426534932</v>
      </c>
      <c r="T101" s="623"/>
      <c r="U101" s="623"/>
      <c r="V101" s="20"/>
      <c r="W101" s="20"/>
      <c r="AD101" s="623"/>
      <c r="AE101" s="623"/>
      <c r="AF101" s="623"/>
    </row>
    <row r="102" spans="2:32" ht="15" customHeight="1">
      <c r="C102" s="755" t="str">
        <f>IF(Indice_index!$Z$1=1,"Investimentos","Investments")</f>
        <v>Investments</v>
      </c>
      <c r="D102" s="1364"/>
      <c r="E102" s="755"/>
      <c r="F102" s="1364"/>
      <c r="G102" s="1418">
        <f t="shared" si="60"/>
        <v>162.17407487999787</v>
      </c>
      <c r="H102" s="1418">
        <f t="shared" si="61"/>
        <v>333.2112654099983</v>
      </c>
      <c r="I102" s="1418">
        <f t="shared" si="62"/>
        <v>675.46925600320719</v>
      </c>
      <c r="J102" s="1418">
        <f t="shared" si="63"/>
        <v>8.5323202400000184</v>
      </c>
      <c r="K102" s="1418">
        <f t="shared" si="64"/>
        <v>1179.3869165332035</v>
      </c>
      <c r="L102" s="1418"/>
      <c r="M102" s="1418">
        <f t="shared" si="70"/>
        <v>31.304225902274091</v>
      </c>
      <c r="N102" s="1418">
        <f t="shared" si="70"/>
        <v>13.834815074374646</v>
      </c>
      <c r="O102" s="1418">
        <f t="shared" si="70"/>
        <v>30.281214208186107</v>
      </c>
      <c r="P102" s="1418">
        <f t="shared" si="70"/>
        <v>28.367355838099961</v>
      </c>
      <c r="Q102" s="1418">
        <f t="shared" si="70"/>
        <v>22.736095754889575</v>
      </c>
      <c r="R102" s="1418"/>
      <c r="S102" s="1418">
        <v>59.794892152349988</v>
      </c>
      <c r="T102" s="623"/>
      <c r="U102" s="623"/>
      <c r="V102" s="20"/>
      <c r="W102" s="20"/>
      <c r="AD102" s="623"/>
      <c r="AE102" s="623"/>
      <c r="AF102" s="623"/>
    </row>
    <row r="103" spans="2:32" ht="15" customHeight="1">
      <c r="C103" s="755" t="str">
        <f>IF(Indice_index!$Z$1=1,"Transferências de capital","Capital transfers")</f>
        <v>Capital transfers</v>
      </c>
      <c r="D103" s="1364"/>
      <c r="E103" s="755"/>
      <c r="F103" s="1364"/>
      <c r="G103" s="1418">
        <f t="shared" si="60"/>
        <v>1.9912203300009423</v>
      </c>
      <c r="H103" s="1418">
        <f t="shared" si="61"/>
        <v>-751.29802238999969</v>
      </c>
      <c r="I103" s="1418">
        <f t="shared" si="62"/>
        <v>81.564233394107248</v>
      </c>
      <c r="J103" s="1418">
        <f t="shared" si="63"/>
        <v>-0.8206100799999998</v>
      </c>
      <c r="K103" s="1418">
        <f t="shared" si="64"/>
        <v>-666.38624647589268</v>
      </c>
      <c r="L103" s="1418"/>
      <c r="M103" s="1418">
        <f t="shared" si="70"/>
        <v>7.9090170544568378E-2</v>
      </c>
      <c r="N103" s="1418">
        <f t="shared" si="70"/>
        <v>-36.904280813356152</v>
      </c>
      <c r="O103" s="1418">
        <f t="shared" si="70"/>
        <v>19.195796883070305</v>
      </c>
      <c r="P103" s="1418">
        <f t="shared" si="70"/>
        <v>-16.310384092543828</v>
      </c>
      <c r="Q103" s="1418">
        <f t="shared" si="70"/>
        <v>-27.153286994039789</v>
      </c>
      <c r="R103" s="1418"/>
      <c r="S103" s="1418">
        <v>19.542469971670371</v>
      </c>
      <c r="T103" s="623"/>
      <c r="U103" s="623"/>
      <c r="V103" s="20"/>
      <c r="W103" s="20"/>
      <c r="AD103" s="623"/>
      <c r="AE103" s="623"/>
      <c r="AF103" s="623"/>
    </row>
    <row r="104" spans="2:32" ht="15" customHeight="1">
      <c r="C104" s="1419" t="str">
        <f>IF(Indice_index!$Z$1=1,"Administrações Públicas","General Government subsectors")</f>
        <v>General Government subsectors</v>
      </c>
      <c r="D104" s="1364"/>
      <c r="E104" s="755"/>
      <c r="F104" s="1364"/>
      <c r="G104" s="1418">
        <f t="shared" si="60"/>
        <v>6.7572178700011136</v>
      </c>
      <c r="H104" s="1418">
        <f t="shared" si="61"/>
        <v>-13.781009019999985</v>
      </c>
      <c r="I104" s="1418">
        <f t="shared" si="62"/>
        <v>4.8468588800000063</v>
      </c>
      <c r="J104" s="1418">
        <f t="shared" si="63"/>
        <v>0</v>
      </c>
      <c r="K104" s="1418">
        <f t="shared" si="64"/>
        <v>0</v>
      </c>
      <c r="L104" s="1418"/>
      <c r="M104" s="1418">
        <f t="shared" si="70"/>
        <v>0.27585748192844106</v>
      </c>
      <c r="N104" s="1418">
        <f t="shared" si="70"/>
        <v>-19.713840995075813</v>
      </c>
      <c r="O104" s="1418">
        <f t="shared" si="70"/>
        <v>49.475244986048914</v>
      </c>
      <c r="P104" s="1418" t="str">
        <f t="shared" si="70"/>
        <v>-</v>
      </c>
      <c r="Q104" s="1418" t="str">
        <f t="shared" si="70"/>
        <v>-</v>
      </c>
      <c r="R104" s="1418"/>
      <c r="S104" s="1443" t="s">
        <v>3</v>
      </c>
      <c r="T104" s="623"/>
      <c r="U104" s="623"/>
      <c r="V104" s="20"/>
      <c r="W104" s="20"/>
      <c r="AD104" s="623"/>
      <c r="AE104" s="623"/>
      <c r="AF104" s="623"/>
    </row>
    <row r="105" spans="2:32" ht="15" customHeight="1">
      <c r="C105" s="1419" t="str">
        <f>IF(Indice_index!$Z$1=1,"Outras","Others")</f>
        <v>Others</v>
      </c>
      <c r="D105" s="1364"/>
      <c r="E105" s="755"/>
      <c r="F105" s="1364"/>
      <c r="G105" s="1418">
        <f t="shared" si="60"/>
        <v>-4.7659975400000008</v>
      </c>
      <c r="H105" s="1418">
        <f t="shared" si="61"/>
        <v>-737.51701336999986</v>
      </c>
      <c r="I105" s="1418">
        <f t="shared" si="62"/>
        <v>76.717374514107235</v>
      </c>
      <c r="J105" s="1418">
        <f t="shared" si="63"/>
        <v>-0.8206100799999998</v>
      </c>
      <c r="K105" s="1418">
        <f t="shared" si="64"/>
        <v>-666.38624647589268</v>
      </c>
      <c r="L105" s="1418"/>
      <c r="M105" s="1418">
        <f t="shared" si="70"/>
        <v>-6.9958363565601571</v>
      </c>
      <c r="N105" s="1418">
        <f t="shared" si="70"/>
        <v>-37.515555045632127</v>
      </c>
      <c r="O105" s="1418">
        <f t="shared" si="70"/>
        <v>18.481206820536201</v>
      </c>
      <c r="P105" s="1418">
        <f t="shared" si="70"/>
        <v>-16.310384092543828</v>
      </c>
      <c r="Q105" s="1418">
        <f t="shared" si="70"/>
        <v>-27.153286994039789</v>
      </c>
      <c r="R105" s="1418"/>
      <c r="S105" s="1443">
        <v>19.542469971670371</v>
      </c>
      <c r="T105" s="623"/>
      <c r="U105" s="623"/>
      <c r="V105" s="20"/>
      <c r="W105" s="20"/>
      <c r="AD105" s="623"/>
      <c r="AE105" s="623"/>
      <c r="AF105" s="623"/>
    </row>
    <row r="106" spans="2:32" ht="15" customHeight="1">
      <c r="C106" s="755" t="str">
        <f>IF(Indice_index!$Z$1=1,"Outras despesas de capital","Other capital expenditures")</f>
        <v>Other capital expenditures</v>
      </c>
      <c r="D106" s="1364"/>
      <c r="E106" s="1449"/>
      <c r="F106" s="1364"/>
      <c r="G106" s="1418">
        <f t="shared" si="60"/>
        <v>21.678247020000008</v>
      </c>
      <c r="H106" s="1418">
        <f t="shared" si="61"/>
        <v>47.822770540000008</v>
      </c>
      <c r="I106" s="1418">
        <f t="shared" si="62"/>
        <v>-9.5561763021765493</v>
      </c>
      <c r="J106" s="1418">
        <f t="shared" si="63"/>
        <v>0</v>
      </c>
      <c r="K106" s="1418">
        <f t="shared" si="64"/>
        <v>59.944841257823484</v>
      </c>
      <c r="L106" s="1418"/>
      <c r="M106" s="1418">
        <f t="shared" si="70"/>
        <v>176.67620303870277</v>
      </c>
      <c r="N106" s="1418">
        <f t="shared" si="70"/>
        <v>70.322869992666966</v>
      </c>
      <c r="O106" s="1418">
        <f t="shared" si="70"/>
        <v>-55.67939639405742</v>
      </c>
      <c r="P106" s="1418" t="str">
        <f t="shared" si="70"/>
        <v>-</v>
      </c>
      <c r="Q106" s="1418">
        <f t="shared" si="70"/>
        <v>61.521337893224924</v>
      </c>
      <c r="R106" s="1418"/>
      <c r="S106" s="1418" t="s">
        <v>3</v>
      </c>
      <c r="T106" s="623"/>
      <c r="U106" s="623"/>
      <c r="V106" s="20"/>
      <c r="W106" s="20"/>
      <c r="AD106" s="623"/>
      <c r="AE106" s="623"/>
      <c r="AF106" s="623"/>
    </row>
    <row r="107" spans="2:32" ht="15" customHeight="1">
      <c r="B107" s="611"/>
      <c r="C107" s="755" t="str">
        <f>IF(Indice_index!$Z$1=1,"Diferenças de consolidação","Consolidation differences")</f>
        <v>Consolidation differences</v>
      </c>
      <c r="D107" s="1364"/>
      <c r="E107" s="740"/>
      <c r="F107" s="1364"/>
      <c r="G107" s="1418">
        <f t="shared" si="60"/>
        <v>0</v>
      </c>
      <c r="H107" s="1418">
        <f t="shared" si="61"/>
        <v>40.223483799999883</v>
      </c>
      <c r="I107" s="1418">
        <f t="shared" si="62"/>
        <v>6.3867180000016788E-2</v>
      </c>
      <c r="J107" s="1418">
        <f t="shared" si="63"/>
        <v>0</v>
      </c>
      <c r="K107" s="1418">
        <f t="shared" si="64"/>
        <v>34.925068180000125</v>
      </c>
      <c r="L107" s="1418"/>
      <c r="M107" s="1443" t="s">
        <v>3</v>
      </c>
      <c r="N107" s="1443" t="s">
        <v>3</v>
      </c>
      <c r="O107" s="1443" t="s">
        <v>3</v>
      </c>
      <c r="P107" s="1443" t="s">
        <v>3</v>
      </c>
      <c r="Q107" s="1443" t="s">
        <v>3</v>
      </c>
      <c r="R107" s="1443"/>
      <c r="S107" s="1443" t="s">
        <v>3</v>
      </c>
      <c r="T107" s="623"/>
      <c r="U107" s="623"/>
      <c r="V107" s="20"/>
      <c r="W107" s="20"/>
      <c r="AD107" s="623"/>
      <c r="AE107" s="623"/>
      <c r="AF107" s="623"/>
    </row>
    <row r="108" spans="2:32" s="600" customFormat="1" ht="4.5" customHeight="1">
      <c r="C108" s="740"/>
      <c r="D108" s="327"/>
      <c r="E108" s="327"/>
      <c r="F108" s="327"/>
      <c r="G108" s="819"/>
      <c r="H108" s="819"/>
      <c r="I108" s="819"/>
      <c r="J108" s="819"/>
      <c r="K108" s="819"/>
      <c r="L108" s="819"/>
      <c r="M108" s="819"/>
      <c r="N108" s="819"/>
      <c r="O108" s="819"/>
      <c r="P108" s="819"/>
      <c r="Q108" s="819"/>
      <c r="R108" s="819"/>
      <c r="S108" s="819"/>
      <c r="T108" s="622"/>
      <c r="U108" s="622"/>
      <c r="V108" s="601"/>
      <c r="W108" s="601"/>
      <c r="X108" s="601"/>
      <c r="Y108" s="601"/>
      <c r="Z108" s="601"/>
      <c r="AA108" s="601"/>
      <c r="AB108" s="601"/>
      <c r="AC108" s="601"/>
      <c r="AD108" s="622"/>
      <c r="AE108" s="622"/>
      <c r="AF108" s="622"/>
    </row>
    <row r="109" spans="2:32" ht="15" customHeight="1">
      <c r="B109" s="611"/>
      <c r="C109" s="1391" t="str">
        <f>IF(Indice_index!$Z$1=1,"Despesa efetiva","Effective expenditure")</f>
        <v>Effective expenditure</v>
      </c>
      <c r="D109" s="1391"/>
      <c r="E109" s="1391"/>
      <c r="F109" s="1391"/>
      <c r="G109" s="1447">
        <f>M50-G50</f>
        <v>639.23815058998298</v>
      </c>
      <c r="H109" s="1447">
        <f>N50-H50</f>
        <v>1489.1229438800146</v>
      </c>
      <c r="I109" s="1447">
        <f>O50-I50</f>
        <v>1556.7905298750375</v>
      </c>
      <c r="J109" s="1447">
        <f>P50-J50</f>
        <v>1212.0226043999901</v>
      </c>
      <c r="K109" s="1447">
        <f>Q50-K50</f>
        <v>4940.6817507649976</v>
      </c>
      <c r="L109" s="1441"/>
      <c r="M109" s="1447">
        <f>IF(IFERROR((M50-G50)/G50*100,"")&gt;500,"-",IFERROR((M50-G50)/G50*100,""))</f>
        <v>1.0842071432230094</v>
      </c>
      <c r="N109" s="1447">
        <f>IF(IFERROR((N50-H50)/H50*100,"")&gt;500,"-",IFERROR((N50-H50)/H50*100,""))</f>
        <v>4.173087487296141</v>
      </c>
      <c r="O109" s="1447">
        <f>IF(IFERROR((O50-I50)/I50*100,"")&gt;500,"-",IFERROR((O50-I50)/I50*100,""))</f>
        <v>13.326770296747666</v>
      </c>
      <c r="P109" s="1447">
        <f>IF(IFERROR((P50-J50)/J50*100,"")&gt;500,"-",IFERROR((P50-J50)/J50*100,""))</f>
        <v>4.0381511454999792</v>
      </c>
      <c r="Q109" s="1447">
        <f>IF(IFERROR((Q50-K50)/K50*100,"")&gt;500,"-",IFERROR((Q50-K50)/K50*100,""))</f>
        <v>5.1647407817352597</v>
      </c>
      <c r="R109" s="1441"/>
      <c r="S109" s="1447">
        <v>14.388657281764328</v>
      </c>
      <c r="T109" s="623"/>
      <c r="U109" s="623"/>
      <c r="V109" s="20"/>
      <c r="W109" s="20"/>
      <c r="AD109" s="623"/>
      <c r="AE109" s="623"/>
      <c r="AF109" s="623"/>
    </row>
    <row r="110" spans="2:32" s="600" customFormat="1" ht="4.5" customHeight="1">
      <c r="C110" s="327"/>
      <c r="D110" s="1450"/>
      <c r="E110" s="755"/>
      <c r="F110" s="1450"/>
      <c r="G110" s="1451"/>
      <c r="H110" s="1451"/>
      <c r="I110" s="1451"/>
      <c r="J110" s="1451"/>
      <c r="K110" s="1451"/>
      <c r="L110" s="1452"/>
      <c r="M110" s="1451"/>
      <c r="N110" s="1451"/>
      <c r="O110" s="1451"/>
      <c r="P110" s="1451"/>
      <c r="Q110" s="1451"/>
      <c r="R110" s="1452"/>
      <c r="S110" s="1451"/>
      <c r="T110" s="622"/>
      <c r="U110" s="622"/>
      <c r="V110" s="601"/>
      <c r="W110" s="601"/>
      <c r="X110" s="601"/>
      <c r="Y110" s="601"/>
      <c r="Z110" s="601"/>
      <c r="AA110" s="601"/>
      <c r="AB110" s="601"/>
      <c r="AC110" s="601"/>
      <c r="AD110" s="622"/>
      <c r="AE110" s="622"/>
      <c r="AF110" s="622"/>
    </row>
    <row r="111" spans="2:32" ht="15" customHeight="1">
      <c r="C111" s="1391" t="str">
        <f>IF(Indice_index!$Z$1=1,"Saldo global","Overall balance")</f>
        <v>Overall balance</v>
      </c>
      <c r="D111" s="1391"/>
      <c r="E111" s="1391"/>
      <c r="F111" s="1391"/>
      <c r="G111" s="1447">
        <f t="shared" ref="G111:K115" si="71">M52-G52</f>
        <v>2613.9334121800275</v>
      </c>
      <c r="H111" s="1447">
        <f t="shared" si="71"/>
        <v>290.06504251001024</v>
      </c>
      <c r="I111" s="1447">
        <f t="shared" si="71"/>
        <v>-164.73906356143016</v>
      </c>
      <c r="J111" s="1447">
        <f t="shared" si="71"/>
        <v>122.2573894599991</v>
      </c>
      <c r="K111" s="1447">
        <f t="shared" si="71"/>
        <v>2861.5167805886304</v>
      </c>
      <c r="L111" s="1441"/>
      <c r="M111" s="1447"/>
      <c r="N111" s="1447"/>
      <c r="O111" s="1447"/>
      <c r="P111" s="1447"/>
      <c r="Q111" s="1447"/>
      <c r="R111" s="1441"/>
      <c r="S111" s="1447" t="s">
        <v>3</v>
      </c>
      <c r="T111" s="623"/>
      <c r="U111" s="623"/>
      <c r="V111" s="20"/>
      <c r="W111" s="20"/>
      <c r="AD111" s="623"/>
      <c r="AE111" s="623"/>
      <c r="AF111" s="623"/>
    </row>
    <row r="112" spans="2:32" ht="15" customHeight="1">
      <c r="C112" s="715" t="str">
        <f>IF(Indice_index!$Z$1=1,"Despesa primária","Primary expenditure")</f>
        <v>Primary expenditure</v>
      </c>
      <c r="D112" s="718"/>
      <c r="E112" s="715"/>
      <c r="F112" s="718"/>
      <c r="G112" s="825">
        <f t="shared" si="71"/>
        <v>1184.0853662899826</v>
      </c>
      <c r="H112" s="825">
        <f t="shared" si="71"/>
        <v>1463.9975915100149</v>
      </c>
      <c r="I112" s="825">
        <f t="shared" si="71"/>
        <v>1595.0548630813173</v>
      </c>
      <c r="J112" s="825">
        <f t="shared" si="71"/>
        <v>1212.4967823699881</v>
      </c>
      <c r="K112" s="825">
        <f t="shared" si="71"/>
        <v>5580.2199331012671</v>
      </c>
      <c r="L112" s="825"/>
      <c r="M112" s="1418">
        <f>IF(IFERROR((M53-G53)/G53*100,"")&gt;500,"-",IFERROR((M53-G53)/G53*100,""))</f>
        <v>2.2756270188542351</v>
      </c>
      <c r="N112" s="1418">
        <f>IF(IFERROR((N53-H53)/H53*100,"")&gt;500,"-",IFERROR((N53-H53)/H53*100,""))</f>
        <v>4.1737855373360864</v>
      </c>
      <c r="O112" s="1418">
        <f>IF(IFERROR((O53-I53)/I53*100,"")&gt;500,"-",IFERROR((O53-I53)/I53*100,""))</f>
        <v>13.898020818972961</v>
      </c>
      <c r="P112" s="1418">
        <f>IF(IFERROR((P53-J53)/J53*100,"")&gt;500,"-",IFERROR((P53-J53)/J53*100,""))</f>
        <v>4.0406686025349252</v>
      </c>
      <c r="Q112" s="1418">
        <f>IF(IFERROR((Q53-K53)/K53*100,"")&gt;500,"-",IFERROR((Q53-K53)/K53*100,""))</f>
        <v>6.3363977381465082</v>
      </c>
      <c r="R112" s="825"/>
      <c r="S112" s="825"/>
      <c r="T112" s="623"/>
      <c r="U112" s="623"/>
      <c r="V112" s="20"/>
      <c r="W112" s="20"/>
      <c r="AD112" s="623"/>
      <c r="AE112" s="623"/>
      <c r="AF112" s="623"/>
    </row>
    <row r="113" spans="2:32" ht="15" customHeight="1">
      <c r="C113" s="715" t="str">
        <f>IF(Indice_index!$Z$1=1,"Saldo corrente","Current balance")</f>
        <v>Current balance</v>
      </c>
      <c r="D113" s="718"/>
      <c r="E113" s="715"/>
      <c r="F113" s="718"/>
      <c r="G113" s="825">
        <f t="shared" si="71"/>
        <v>2847.4133238200302</v>
      </c>
      <c r="H113" s="825">
        <f t="shared" si="71"/>
        <v>-125.12744154999018</v>
      </c>
      <c r="I113" s="825">
        <f t="shared" si="71"/>
        <v>183.68235187891514</v>
      </c>
      <c r="J113" s="825">
        <f t="shared" si="71"/>
        <v>130.05492444999982</v>
      </c>
      <c r="K113" s="825">
        <f t="shared" si="71"/>
        <v>3036.0231585989532</v>
      </c>
      <c r="L113" s="825"/>
      <c r="M113" s="825"/>
      <c r="N113" s="825"/>
      <c r="O113" s="825"/>
      <c r="P113" s="825"/>
      <c r="Q113" s="825"/>
      <c r="R113" s="825"/>
      <c r="S113" s="825"/>
      <c r="T113" s="623"/>
      <c r="U113" s="623"/>
      <c r="V113" s="20"/>
      <c r="W113" s="20"/>
      <c r="AD113" s="623"/>
      <c r="AE113" s="623"/>
      <c r="AF113" s="623"/>
    </row>
    <row r="114" spans="2:32" ht="15" customHeight="1">
      <c r="B114" s="21"/>
      <c r="C114" s="715" t="str">
        <f>IF(Indice_index!$Z$1=1,"Saldo de capital","Capital balance")</f>
        <v>Capital balance</v>
      </c>
      <c r="D114" s="182"/>
      <c r="E114" s="715"/>
      <c r="F114" s="182"/>
      <c r="G114" s="1418">
        <f t="shared" si="71"/>
        <v>-233.47991163999905</v>
      </c>
      <c r="H114" s="1418">
        <f t="shared" si="71"/>
        <v>415.19248406000224</v>
      </c>
      <c r="I114" s="1418">
        <f t="shared" si="71"/>
        <v>-348.4214154403453</v>
      </c>
      <c r="J114" s="1418">
        <f t="shared" si="71"/>
        <v>-7.7975349900000168</v>
      </c>
      <c r="K114" s="1418">
        <f t="shared" si="71"/>
        <v>-174.50637801034281</v>
      </c>
      <c r="L114" s="1418"/>
      <c r="M114" s="1418"/>
      <c r="N114" s="1418"/>
      <c r="O114" s="1418"/>
      <c r="P114" s="1418"/>
      <c r="Q114" s="1418"/>
      <c r="R114" s="1418"/>
      <c r="S114" s="1418"/>
      <c r="T114" s="623"/>
      <c r="U114" s="623"/>
      <c r="V114" s="20"/>
      <c r="W114" s="20"/>
      <c r="AD114" s="623"/>
      <c r="AE114" s="623"/>
      <c r="AF114" s="623"/>
    </row>
    <row r="115" spans="2:32" ht="15" customHeight="1">
      <c r="C115" s="1395" t="str">
        <f>IF(Indice_index!$Z$1=1,"Saldo primário","Primary balance")</f>
        <v>Primary balance</v>
      </c>
      <c r="D115" s="1396"/>
      <c r="E115" s="1395"/>
      <c r="F115" s="1396"/>
      <c r="G115" s="1396">
        <f t="shared" si="71"/>
        <v>2069.0861964800279</v>
      </c>
      <c r="H115" s="1396">
        <f t="shared" si="71"/>
        <v>315.19039488000999</v>
      </c>
      <c r="I115" s="1396">
        <f t="shared" si="71"/>
        <v>-203.00339676771</v>
      </c>
      <c r="J115" s="1396">
        <f t="shared" si="71"/>
        <v>121.78321149000112</v>
      </c>
      <c r="K115" s="1396">
        <f t="shared" si="71"/>
        <v>2221.9785982523608</v>
      </c>
      <c r="L115" s="1396"/>
      <c r="M115" s="1396"/>
      <c r="N115" s="1396"/>
      <c r="O115" s="1396"/>
      <c r="P115" s="1396"/>
      <c r="Q115" s="1396"/>
      <c r="R115" s="1396"/>
      <c r="S115" s="1396"/>
      <c r="T115" s="623"/>
      <c r="U115" s="623"/>
      <c r="V115" s="20"/>
      <c r="W115" s="20"/>
      <c r="AD115" s="623"/>
      <c r="AE115" s="623"/>
      <c r="AF115" s="623"/>
    </row>
    <row r="116" spans="2:32" ht="4.5" customHeight="1">
      <c r="C116" s="1545"/>
      <c r="D116" s="1545"/>
      <c r="E116" s="1545"/>
      <c r="F116" s="1545"/>
      <c r="G116" s="1545"/>
      <c r="H116" s="1545"/>
      <c r="I116" s="1545"/>
      <c r="J116" s="1545"/>
      <c r="K116" s="1545"/>
      <c r="L116" s="1545"/>
      <c r="M116" s="1545"/>
      <c r="N116" s="1545"/>
      <c r="O116" s="1545"/>
      <c r="P116" s="1545"/>
      <c r="Q116" s="1545"/>
      <c r="R116" s="1429"/>
      <c r="S116" s="1429"/>
      <c r="X116" s="18"/>
      <c r="Y116" s="18"/>
      <c r="Z116" s="18"/>
      <c r="AA116" s="18"/>
      <c r="AB116" s="18"/>
      <c r="AC116" s="18"/>
      <c r="AD116" s="603"/>
      <c r="AE116" s="603"/>
    </row>
    <row r="117" spans="2:32" ht="15" customHeight="1">
      <c r="C117" s="1453" t="str">
        <f>IF(Indice_index!$Z$1=1,"Fonte: Direção-Geral do Orçamento","Source: Budget General Directorate")</f>
        <v>Source: Budget General Directorate</v>
      </c>
      <c r="D117" s="1454"/>
      <c r="E117" s="1453"/>
      <c r="F117" s="1454"/>
      <c r="G117" s="635"/>
      <c r="H117" s="635"/>
      <c r="I117" s="635"/>
      <c r="J117" s="635"/>
      <c r="K117" s="635"/>
      <c r="L117" s="637"/>
      <c r="M117" s="635"/>
      <c r="N117" s="635"/>
      <c r="O117" s="635"/>
      <c r="P117" s="635"/>
      <c r="Q117" s="635"/>
      <c r="R117" s="1454"/>
      <c r="S117" s="635"/>
      <c r="V117" s="20"/>
      <c r="W117" s="20"/>
      <c r="AD117" s="18"/>
      <c r="AE117" s="18"/>
    </row>
    <row r="118" spans="2:32">
      <c r="C118" s="636"/>
      <c r="D118" s="635"/>
      <c r="E118" s="636"/>
      <c r="F118" s="635"/>
      <c r="G118" s="638"/>
      <c r="H118" s="638"/>
      <c r="I118" s="638"/>
      <c r="J118" s="638"/>
      <c r="K118" s="638"/>
      <c r="L118" s="637"/>
      <c r="M118" s="639"/>
      <c r="N118" s="639"/>
      <c r="O118" s="639"/>
      <c r="P118" s="639"/>
      <c r="Q118" s="639"/>
      <c r="R118" s="635"/>
      <c r="S118" s="635"/>
      <c r="V118" s="20"/>
      <c r="W118" s="20"/>
      <c r="AD118" s="18"/>
      <c r="AE118" s="18"/>
    </row>
    <row r="119" spans="2:32">
      <c r="C119" s="635"/>
      <c r="D119" s="635"/>
      <c r="E119" s="635"/>
      <c r="F119" s="635"/>
      <c r="G119" s="638"/>
      <c r="H119" s="638"/>
      <c r="I119" s="638"/>
      <c r="J119" s="638"/>
      <c r="K119" s="638"/>
      <c r="L119" s="637"/>
      <c r="M119" s="639"/>
      <c r="N119" s="639"/>
      <c r="O119" s="639"/>
      <c r="P119" s="639"/>
      <c r="Q119" s="639"/>
      <c r="R119" s="635"/>
      <c r="S119" s="635"/>
      <c r="V119" s="20"/>
      <c r="W119" s="20"/>
      <c r="AD119" s="18"/>
      <c r="AE119" s="18"/>
    </row>
    <row r="120" spans="2:32">
      <c r="C120" s="635"/>
      <c r="D120" s="635"/>
      <c r="E120" s="635"/>
      <c r="F120" s="635"/>
      <c r="G120" s="638"/>
      <c r="H120" s="638"/>
      <c r="I120" s="638"/>
      <c r="J120" s="638"/>
      <c r="K120" s="638"/>
      <c r="L120" s="640"/>
      <c r="M120" s="639"/>
      <c r="N120" s="639"/>
      <c r="O120" s="639"/>
      <c r="P120" s="639"/>
      <c r="Q120" s="639"/>
      <c r="R120" s="635"/>
      <c r="S120" s="641"/>
      <c r="V120" s="20"/>
      <c r="W120" s="20"/>
      <c r="AD120" s="18"/>
      <c r="AE120" s="18"/>
    </row>
    <row r="121" spans="2:32">
      <c r="C121" s="635"/>
      <c r="D121" s="635"/>
      <c r="E121" s="635"/>
      <c r="F121" s="635"/>
      <c r="G121" s="638"/>
      <c r="H121" s="638"/>
      <c r="I121" s="638"/>
      <c r="J121" s="638"/>
      <c r="K121" s="638"/>
      <c r="L121" s="640"/>
      <c r="M121" s="639"/>
      <c r="N121" s="639"/>
      <c r="O121" s="639"/>
      <c r="P121" s="639"/>
      <c r="Q121" s="639"/>
      <c r="R121" s="635"/>
      <c r="S121" s="641"/>
      <c r="V121" s="20"/>
      <c r="W121" s="20"/>
      <c r="AD121" s="18"/>
      <c r="AE121" s="18"/>
    </row>
    <row r="122" spans="2:32">
      <c r="C122" s="635"/>
      <c r="D122" s="635"/>
      <c r="E122" s="635"/>
      <c r="F122" s="635"/>
      <c r="G122" s="638"/>
      <c r="H122" s="638"/>
      <c r="I122" s="638"/>
      <c r="J122" s="638"/>
      <c r="K122" s="638"/>
      <c r="L122" s="640"/>
      <c r="M122" s="639"/>
      <c r="N122" s="639"/>
      <c r="O122" s="639"/>
      <c r="P122" s="639"/>
      <c r="Q122" s="639"/>
      <c r="R122" s="635"/>
      <c r="S122" s="641"/>
      <c r="V122" s="20"/>
      <c r="W122" s="20"/>
      <c r="AD122" s="18"/>
      <c r="AE122" s="18"/>
    </row>
    <row r="123" spans="2:32">
      <c r="C123" s="635"/>
      <c r="D123" s="635"/>
      <c r="E123" s="635"/>
      <c r="F123" s="635"/>
      <c r="G123" s="638"/>
      <c r="H123" s="638"/>
      <c r="I123" s="638"/>
      <c r="J123" s="638"/>
      <c r="K123" s="638"/>
      <c r="L123" s="640"/>
      <c r="M123" s="639"/>
      <c r="N123" s="639"/>
      <c r="O123" s="639"/>
      <c r="P123" s="639"/>
      <c r="Q123" s="639"/>
      <c r="R123" s="635"/>
      <c r="S123" s="641"/>
      <c r="V123" s="20"/>
      <c r="W123" s="20"/>
      <c r="AD123" s="18"/>
      <c r="AE123" s="18"/>
    </row>
    <row r="124" spans="2:32">
      <c r="C124" s="635"/>
      <c r="D124" s="635"/>
      <c r="E124" s="635"/>
      <c r="F124" s="635"/>
      <c r="G124" s="638"/>
      <c r="H124" s="638"/>
      <c r="I124" s="638"/>
      <c r="J124" s="638"/>
      <c r="K124" s="638"/>
      <c r="L124" s="640"/>
      <c r="M124" s="639"/>
      <c r="N124" s="639"/>
      <c r="O124" s="639"/>
      <c r="P124" s="639"/>
      <c r="Q124" s="639"/>
      <c r="R124" s="635"/>
      <c r="S124" s="641"/>
      <c r="V124" s="20"/>
      <c r="W124" s="20"/>
      <c r="AD124" s="18"/>
      <c r="AE124" s="18"/>
    </row>
    <row r="125" spans="2:32">
      <c r="C125" s="635"/>
      <c r="D125" s="635"/>
      <c r="E125" s="635"/>
      <c r="F125" s="635"/>
      <c r="G125" s="638"/>
      <c r="H125" s="638"/>
      <c r="I125" s="638"/>
      <c r="J125" s="638"/>
      <c r="K125" s="638"/>
      <c r="L125" s="640"/>
      <c r="M125" s="639"/>
      <c r="N125" s="639"/>
      <c r="O125" s="639"/>
      <c r="P125" s="639"/>
      <c r="Q125" s="639"/>
      <c r="R125" s="635"/>
      <c r="S125" s="641"/>
      <c r="V125" s="20"/>
      <c r="W125" s="20"/>
      <c r="AD125" s="18"/>
      <c r="AE125" s="18"/>
    </row>
    <row r="126" spans="2:32">
      <c r="C126" s="635"/>
      <c r="D126" s="635"/>
      <c r="E126" s="635"/>
      <c r="F126" s="635"/>
      <c r="G126" s="638"/>
      <c r="H126" s="638"/>
      <c r="I126" s="638"/>
      <c r="J126" s="638"/>
      <c r="K126" s="638"/>
      <c r="L126" s="637"/>
      <c r="M126" s="639"/>
      <c r="N126" s="639"/>
      <c r="O126" s="639"/>
      <c r="P126" s="639"/>
      <c r="Q126" s="639"/>
      <c r="R126" s="635"/>
      <c r="S126" s="635"/>
      <c r="V126" s="20"/>
      <c r="W126" s="20"/>
      <c r="AD126" s="18"/>
      <c r="AE126" s="18"/>
    </row>
    <row r="127" spans="2:32">
      <c r="C127" s="635"/>
      <c r="D127" s="635"/>
      <c r="E127" s="635"/>
      <c r="F127" s="635"/>
      <c r="G127" s="638"/>
      <c r="H127" s="638"/>
      <c r="I127" s="638"/>
      <c r="J127" s="638"/>
      <c r="K127" s="638"/>
      <c r="L127" s="637"/>
      <c r="M127" s="639"/>
      <c r="N127" s="639"/>
      <c r="O127" s="639"/>
      <c r="P127" s="639"/>
      <c r="Q127" s="639"/>
      <c r="R127" s="635"/>
      <c r="S127" s="635"/>
      <c r="V127" s="20"/>
      <c r="W127" s="20"/>
      <c r="AD127" s="18"/>
      <c r="AE127" s="18"/>
    </row>
    <row r="128" spans="2:32">
      <c r="C128" s="635"/>
      <c r="D128" s="635"/>
      <c r="E128" s="635"/>
      <c r="F128" s="635"/>
      <c r="G128" s="638"/>
      <c r="H128" s="638"/>
      <c r="I128" s="638"/>
      <c r="J128" s="638"/>
      <c r="K128" s="638"/>
      <c r="L128" s="637"/>
      <c r="M128" s="639"/>
      <c r="N128" s="639"/>
      <c r="O128" s="639"/>
      <c r="P128" s="639"/>
      <c r="Q128" s="639"/>
      <c r="R128" s="635"/>
      <c r="S128" s="635"/>
      <c r="V128" s="20"/>
      <c r="W128" s="20"/>
      <c r="AD128" s="18"/>
      <c r="AE128" s="18"/>
    </row>
    <row r="129" spans="3:29" s="18" customFormat="1">
      <c r="C129" s="635"/>
      <c r="D129" s="635"/>
      <c r="E129" s="635"/>
      <c r="F129" s="635"/>
      <c r="G129" s="638"/>
      <c r="H129" s="638"/>
      <c r="I129" s="638"/>
      <c r="J129" s="638"/>
      <c r="K129" s="638"/>
      <c r="L129" s="637"/>
      <c r="M129" s="639"/>
      <c r="N129" s="639"/>
      <c r="O129" s="639"/>
      <c r="P129" s="639"/>
      <c r="Q129" s="639"/>
      <c r="R129" s="635"/>
      <c r="S129" s="635"/>
      <c r="V129" s="20"/>
      <c r="W129" s="20"/>
      <c r="X129" s="20"/>
      <c r="Y129" s="20"/>
      <c r="Z129" s="20"/>
      <c r="AA129" s="20"/>
      <c r="AB129" s="20"/>
      <c r="AC129" s="20"/>
    </row>
    <row r="130" spans="3:29" s="18" customFormat="1">
      <c r="C130" s="635"/>
      <c r="D130" s="635"/>
      <c r="E130" s="635"/>
      <c r="F130" s="635"/>
      <c r="G130" s="638"/>
      <c r="H130" s="638"/>
      <c r="I130" s="638"/>
      <c r="J130" s="638"/>
      <c r="K130" s="638"/>
      <c r="L130" s="637"/>
      <c r="M130" s="639"/>
      <c r="N130" s="639"/>
      <c r="O130" s="639"/>
      <c r="P130" s="639"/>
      <c r="Q130" s="639"/>
      <c r="R130" s="635"/>
      <c r="S130" s="635"/>
      <c r="V130" s="20"/>
      <c r="W130" s="20"/>
      <c r="X130" s="20"/>
      <c r="Y130" s="20"/>
      <c r="Z130" s="20"/>
      <c r="AA130" s="20"/>
      <c r="AB130" s="20"/>
      <c r="AC130" s="20"/>
    </row>
    <row r="131" spans="3:29" s="18" customFormat="1">
      <c r="C131" s="635"/>
      <c r="D131" s="635"/>
      <c r="E131" s="635"/>
      <c r="F131" s="635"/>
      <c r="G131" s="638"/>
      <c r="H131" s="638"/>
      <c r="I131" s="638"/>
      <c r="J131" s="638"/>
      <c r="K131" s="638"/>
      <c r="L131" s="637"/>
      <c r="M131" s="639"/>
      <c r="N131" s="639"/>
      <c r="O131" s="639"/>
      <c r="P131" s="639"/>
      <c r="Q131" s="639"/>
      <c r="R131" s="635"/>
      <c r="S131" s="635"/>
      <c r="V131" s="20"/>
      <c r="W131" s="20"/>
      <c r="X131" s="20"/>
      <c r="Y131" s="20"/>
      <c r="Z131" s="20"/>
      <c r="AA131" s="20"/>
      <c r="AB131" s="20"/>
      <c r="AC131" s="20"/>
    </row>
    <row r="132" spans="3:29" s="18" customFormat="1">
      <c r="C132" s="635"/>
      <c r="D132" s="635"/>
      <c r="E132" s="635"/>
      <c r="F132" s="635"/>
      <c r="G132" s="638"/>
      <c r="H132" s="638"/>
      <c r="I132" s="638"/>
      <c r="J132" s="638"/>
      <c r="K132" s="638"/>
      <c r="L132" s="637"/>
      <c r="M132" s="639"/>
      <c r="N132" s="639"/>
      <c r="O132" s="639"/>
      <c r="P132" s="639"/>
      <c r="Q132" s="639"/>
      <c r="R132" s="635"/>
      <c r="S132" s="635"/>
      <c r="V132" s="20"/>
      <c r="W132" s="20"/>
      <c r="X132" s="20"/>
      <c r="Y132" s="20"/>
      <c r="Z132" s="20"/>
      <c r="AA132" s="20"/>
      <c r="AB132" s="20"/>
      <c r="AC132" s="20"/>
    </row>
    <row r="133" spans="3:29" s="18" customFormat="1">
      <c r="C133" s="635"/>
      <c r="D133" s="635"/>
      <c r="E133" s="635"/>
      <c r="F133" s="635"/>
      <c r="G133" s="638"/>
      <c r="H133" s="638"/>
      <c r="I133" s="638"/>
      <c r="J133" s="638"/>
      <c r="K133" s="638"/>
      <c r="L133" s="637"/>
      <c r="M133" s="639"/>
      <c r="N133" s="639"/>
      <c r="O133" s="639"/>
      <c r="P133" s="639"/>
      <c r="Q133" s="639"/>
      <c r="R133" s="635"/>
      <c r="S133" s="635"/>
      <c r="V133" s="20"/>
      <c r="W133" s="20"/>
      <c r="X133" s="20"/>
      <c r="Y133" s="20"/>
      <c r="Z133" s="20"/>
      <c r="AA133" s="20"/>
      <c r="AB133" s="20"/>
      <c r="AC133" s="20"/>
    </row>
    <row r="134" spans="3:29" s="18" customFormat="1">
      <c r="C134" s="635"/>
      <c r="D134" s="635"/>
      <c r="E134" s="635"/>
      <c r="F134" s="635"/>
      <c r="G134" s="638"/>
      <c r="H134" s="638"/>
      <c r="I134" s="638"/>
      <c r="J134" s="638"/>
      <c r="K134" s="638"/>
      <c r="L134" s="637"/>
      <c r="M134" s="639"/>
      <c r="N134" s="639"/>
      <c r="O134" s="639"/>
      <c r="P134" s="639"/>
      <c r="Q134" s="639"/>
      <c r="R134" s="635"/>
      <c r="S134" s="635"/>
      <c r="V134" s="20"/>
      <c r="W134" s="20"/>
      <c r="X134" s="20"/>
      <c r="Y134" s="20"/>
      <c r="Z134" s="20"/>
      <c r="AA134" s="20"/>
      <c r="AB134" s="20"/>
      <c r="AC134" s="20"/>
    </row>
    <row r="135" spans="3:29" s="18" customFormat="1">
      <c r="C135" s="635"/>
      <c r="D135" s="635"/>
      <c r="E135" s="635"/>
      <c r="F135" s="635"/>
      <c r="G135" s="638"/>
      <c r="H135" s="638"/>
      <c r="I135" s="638"/>
      <c r="J135" s="638"/>
      <c r="K135" s="638"/>
      <c r="L135" s="637"/>
      <c r="M135" s="639"/>
      <c r="N135" s="639"/>
      <c r="O135" s="639"/>
      <c r="P135" s="639"/>
      <c r="Q135" s="639"/>
      <c r="R135" s="635"/>
      <c r="S135" s="635"/>
      <c r="V135" s="20"/>
      <c r="W135" s="20"/>
      <c r="X135" s="20"/>
      <c r="Y135" s="20"/>
      <c r="Z135" s="20"/>
      <c r="AA135" s="20"/>
      <c r="AB135" s="20"/>
      <c r="AC135" s="20"/>
    </row>
    <row r="136" spans="3:29" s="18" customFormat="1">
      <c r="C136" s="635"/>
      <c r="D136" s="635"/>
      <c r="E136" s="635"/>
      <c r="F136" s="635"/>
      <c r="G136" s="638"/>
      <c r="H136" s="638"/>
      <c r="I136" s="638"/>
      <c r="J136" s="638"/>
      <c r="K136" s="638"/>
      <c r="L136" s="637"/>
      <c r="M136" s="639"/>
      <c r="N136" s="639"/>
      <c r="O136" s="639"/>
      <c r="P136" s="639"/>
      <c r="Q136" s="639"/>
      <c r="R136" s="635"/>
      <c r="S136" s="635"/>
      <c r="V136" s="20"/>
      <c r="W136" s="20"/>
      <c r="X136" s="20"/>
      <c r="Y136" s="20"/>
      <c r="Z136" s="20"/>
      <c r="AA136" s="20"/>
      <c r="AB136" s="20"/>
      <c r="AC136" s="20"/>
    </row>
    <row r="137" spans="3:29" s="18" customFormat="1">
      <c r="C137" s="635"/>
      <c r="D137" s="635"/>
      <c r="E137" s="635"/>
      <c r="F137" s="635"/>
      <c r="G137" s="638"/>
      <c r="H137" s="638"/>
      <c r="I137" s="638"/>
      <c r="J137" s="638"/>
      <c r="K137" s="638"/>
      <c r="L137" s="637"/>
      <c r="M137" s="639"/>
      <c r="N137" s="639"/>
      <c r="O137" s="639"/>
      <c r="P137" s="639"/>
      <c r="Q137" s="639"/>
      <c r="R137" s="635"/>
      <c r="S137" s="635"/>
      <c r="V137" s="20"/>
      <c r="W137" s="20"/>
      <c r="X137" s="20"/>
      <c r="Y137" s="20"/>
      <c r="Z137" s="20"/>
      <c r="AA137" s="20"/>
      <c r="AB137" s="20"/>
      <c r="AC137" s="20"/>
    </row>
    <row r="138" spans="3:29" s="18" customFormat="1">
      <c r="C138" s="635"/>
      <c r="D138" s="635"/>
      <c r="E138" s="635"/>
      <c r="F138" s="635"/>
      <c r="G138" s="638"/>
      <c r="H138" s="638"/>
      <c r="I138" s="638"/>
      <c r="J138" s="638"/>
      <c r="K138" s="638"/>
      <c r="L138" s="637"/>
      <c r="M138" s="639"/>
      <c r="N138" s="639"/>
      <c r="O138" s="639"/>
      <c r="P138" s="639"/>
      <c r="Q138" s="639"/>
      <c r="R138" s="635"/>
      <c r="S138" s="635"/>
      <c r="V138" s="20"/>
      <c r="W138" s="20"/>
      <c r="X138" s="20"/>
      <c r="Y138" s="20"/>
      <c r="Z138" s="20"/>
      <c r="AA138" s="20"/>
      <c r="AB138" s="20"/>
      <c r="AC138" s="20"/>
    </row>
    <row r="139" spans="3:29" s="18" customFormat="1">
      <c r="C139" s="635"/>
      <c r="D139" s="635"/>
      <c r="E139" s="635"/>
      <c r="F139" s="635"/>
      <c r="G139" s="638"/>
      <c r="H139" s="638"/>
      <c r="I139" s="638"/>
      <c r="J139" s="638"/>
      <c r="K139" s="638"/>
      <c r="L139" s="637"/>
      <c r="M139" s="639"/>
      <c r="N139" s="639"/>
      <c r="O139" s="639"/>
      <c r="P139" s="639"/>
      <c r="Q139" s="639"/>
      <c r="R139" s="635"/>
      <c r="S139" s="635"/>
      <c r="V139" s="20"/>
      <c r="W139" s="20"/>
      <c r="X139" s="20"/>
      <c r="Y139" s="20"/>
      <c r="Z139" s="20"/>
      <c r="AA139" s="20"/>
      <c r="AB139" s="20"/>
      <c r="AC139" s="20"/>
    </row>
    <row r="140" spans="3:29" s="18" customFormat="1">
      <c r="C140" s="635"/>
      <c r="D140" s="635"/>
      <c r="E140" s="635"/>
      <c r="F140" s="635"/>
      <c r="G140" s="638"/>
      <c r="H140" s="638"/>
      <c r="I140" s="638"/>
      <c r="J140" s="638"/>
      <c r="K140" s="638"/>
      <c r="L140" s="637"/>
      <c r="M140" s="639"/>
      <c r="N140" s="639"/>
      <c r="O140" s="639"/>
      <c r="P140" s="639"/>
      <c r="Q140" s="639"/>
      <c r="R140" s="635"/>
      <c r="S140" s="635"/>
      <c r="V140" s="20"/>
      <c r="W140" s="20"/>
      <c r="X140" s="20"/>
      <c r="Y140" s="20"/>
      <c r="Z140" s="20"/>
      <c r="AA140" s="20"/>
      <c r="AB140" s="20"/>
      <c r="AC140" s="20"/>
    </row>
    <row r="141" spans="3:29" s="18" customFormat="1">
      <c r="C141" s="635"/>
      <c r="D141" s="635"/>
      <c r="E141" s="635"/>
      <c r="F141" s="635"/>
      <c r="G141" s="638"/>
      <c r="H141" s="638"/>
      <c r="I141" s="638"/>
      <c r="J141" s="638"/>
      <c r="K141" s="638"/>
      <c r="L141" s="637"/>
      <c r="M141" s="639"/>
      <c r="N141" s="639"/>
      <c r="O141" s="639"/>
      <c r="P141" s="639"/>
      <c r="Q141" s="639"/>
      <c r="R141" s="635"/>
      <c r="S141" s="635"/>
      <c r="V141" s="20"/>
      <c r="W141" s="20"/>
      <c r="X141" s="20"/>
      <c r="Y141" s="20"/>
      <c r="Z141" s="20"/>
      <c r="AA141" s="20"/>
      <c r="AB141" s="20"/>
      <c r="AC141" s="20"/>
    </row>
    <row r="142" spans="3:29" s="18" customFormat="1">
      <c r="C142" s="635"/>
      <c r="D142" s="635"/>
      <c r="E142" s="635"/>
      <c r="F142" s="635"/>
      <c r="G142" s="638"/>
      <c r="H142" s="638"/>
      <c r="I142" s="638"/>
      <c r="J142" s="638"/>
      <c r="K142" s="638"/>
      <c r="L142" s="637"/>
      <c r="M142" s="639"/>
      <c r="N142" s="639"/>
      <c r="O142" s="639"/>
      <c r="P142" s="639"/>
      <c r="Q142" s="639"/>
      <c r="R142" s="635"/>
      <c r="S142" s="635"/>
      <c r="V142" s="20"/>
      <c r="W142" s="20"/>
      <c r="X142" s="20"/>
      <c r="Y142" s="20"/>
      <c r="Z142" s="20"/>
      <c r="AA142" s="20"/>
      <c r="AB142" s="20"/>
      <c r="AC142" s="20"/>
    </row>
    <row r="143" spans="3:29" s="18" customFormat="1">
      <c r="C143" s="635"/>
      <c r="D143" s="635"/>
      <c r="E143" s="635"/>
      <c r="F143" s="635"/>
      <c r="G143" s="638"/>
      <c r="H143" s="638"/>
      <c r="I143" s="638"/>
      <c r="J143" s="638"/>
      <c r="K143" s="638"/>
      <c r="L143" s="637"/>
      <c r="M143" s="639"/>
      <c r="N143" s="639"/>
      <c r="O143" s="639"/>
      <c r="P143" s="639"/>
      <c r="Q143" s="639"/>
      <c r="R143" s="635"/>
      <c r="S143" s="635"/>
      <c r="V143" s="20"/>
      <c r="W143" s="20"/>
      <c r="X143" s="20"/>
      <c r="Y143" s="20"/>
      <c r="Z143" s="20"/>
      <c r="AA143" s="20"/>
      <c r="AB143" s="20"/>
      <c r="AC143" s="20"/>
    </row>
    <row r="144" spans="3:29" s="18" customFormat="1">
      <c r="C144" s="635"/>
      <c r="D144" s="635"/>
      <c r="E144" s="635"/>
      <c r="F144" s="635"/>
      <c r="G144" s="638"/>
      <c r="H144" s="638"/>
      <c r="I144" s="638"/>
      <c r="J144" s="638"/>
      <c r="K144" s="638"/>
      <c r="L144" s="637"/>
      <c r="M144" s="639"/>
      <c r="N144" s="639"/>
      <c r="O144" s="639"/>
      <c r="P144" s="639"/>
      <c r="Q144" s="639"/>
      <c r="R144" s="635"/>
      <c r="S144" s="635"/>
      <c r="V144" s="20"/>
      <c r="W144" s="20"/>
      <c r="X144" s="20"/>
      <c r="Y144" s="20"/>
      <c r="Z144" s="20"/>
      <c r="AA144" s="20"/>
      <c r="AB144" s="20"/>
      <c r="AC144" s="20"/>
    </row>
    <row r="145" spans="3:29" s="18" customFormat="1">
      <c r="C145" s="635"/>
      <c r="D145" s="635"/>
      <c r="E145" s="635"/>
      <c r="F145" s="635"/>
      <c r="G145" s="638"/>
      <c r="H145" s="638"/>
      <c r="I145" s="638"/>
      <c r="J145" s="638"/>
      <c r="K145" s="638"/>
      <c r="L145" s="637"/>
      <c r="M145" s="639"/>
      <c r="N145" s="639"/>
      <c r="O145" s="639"/>
      <c r="P145" s="639"/>
      <c r="Q145" s="639"/>
      <c r="R145" s="635"/>
      <c r="S145" s="635"/>
      <c r="V145" s="20"/>
      <c r="W145" s="20"/>
      <c r="X145" s="20"/>
      <c r="Y145" s="20"/>
      <c r="Z145" s="20"/>
      <c r="AA145" s="20"/>
      <c r="AB145" s="20"/>
      <c r="AC145" s="20"/>
    </row>
    <row r="146" spans="3:29" s="18" customFormat="1">
      <c r="C146" s="635"/>
      <c r="D146" s="635"/>
      <c r="E146" s="635"/>
      <c r="F146" s="635"/>
      <c r="G146" s="638"/>
      <c r="H146" s="638"/>
      <c r="I146" s="638"/>
      <c r="J146" s="638"/>
      <c r="K146" s="638"/>
      <c r="L146" s="637"/>
      <c r="M146" s="639"/>
      <c r="N146" s="639"/>
      <c r="O146" s="639"/>
      <c r="P146" s="639"/>
      <c r="Q146" s="639"/>
      <c r="R146" s="635"/>
      <c r="S146" s="635"/>
      <c r="V146" s="20"/>
      <c r="W146" s="20"/>
      <c r="X146" s="20"/>
      <c r="Y146" s="20"/>
      <c r="Z146" s="20"/>
      <c r="AA146" s="20"/>
      <c r="AB146" s="20"/>
      <c r="AC146" s="20"/>
    </row>
    <row r="147" spans="3:29" s="18" customFormat="1">
      <c r="C147" s="635"/>
      <c r="D147" s="635"/>
      <c r="E147" s="635"/>
      <c r="F147" s="635"/>
      <c r="G147" s="638"/>
      <c r="H147" s="638"/>
      <c r="I147" s="638"/>
      <c r="J147" s="638"/>
      <c r="K147" s="638"/>
      <c r="L147" s="637"/>
      <c r="M147" s="639"/>
      <c r="N147" s="639"/>
      <c r="O147" s="639"/>
      <c r="P147" s="639"/>
      <c r="Q147" s="639"/>
      <c r="R147" s="635"/>
      <c r="S147" s="635"/>
      <c r="V147" s="20"/>
      <c r="W147" s="20"/>
      <c r="X147" s="20"/>
      <c r="Y147" s="20"/>
      <c r="Z147" s="20"/>
      <c r="AA147" s="20"/>
      <c r="AB147" s="20"/>
      <c r="AC147" s="20"/>
    </row>
    <row r="148" spans="3:29" s="18" customFormat="1">
      <c r="C148" s="635"/>
      <c r="D148" s="635"/>
      <c r="E148" s="635"/>
      <c r="F148" s="635"/>
      <c r="G148" s="638"/>
      <c r="H148" s="638"/>
      <c r="I148" s="638"/>
      <c r="J148" s="638"/>
      <c r="K148" s="638"/>
      <c r="L148" s="637"/>
      <c r="M148" s="635"/>
      <c r="N148" s="635"/>
      <c r="O148" s="635"/>
      <c r="P148" s="635"/>
      <c r="Q148" s="635"/>
      <c r="R148" s="635"/>
      <c r="S148" s="635"/>
      <c r="V148" s="20"/>
      <c r="W148" s="20"/>
      <c r="X148" s="20"/>
      <c r="Y148" s="20"/>
      <c r="Z148" s="20"/>
      <c r="AA148" s="20"/>
      <c r="AB148" s="20"/>
      <c r="AC148" s="20"/>
    </row>
    <row r="149" spans="3:29" s="18" customFormat="1">
      <c r="C149" s="635"/>
      <c r="D149" s="635"/>
      <c r="E149" s="635"/>
      <c r="F149" s="635"/>
      <c r="G149" s="638"/>
      <c r="H149" s="638"/>
      <c r="I149" s="638"/>
      <c r="J149" s="638"/>
      <c r="K149" s="638"/>
      <c r="L149" s="637"/>
      <c r="M149" s="635"/>
      <c r="N149" s="635"/>
      <c r="O149" s="635"/>
      <c r="P149" s="635"/>
      <c r="Q149" s="635"/>
      <c r="R149" s="635"/>
      <c r="S149" s="635"/>
      <c r="V149" s="20"/>
      <c r="W149" s="20"/>
      <c r="X149" s="20"/>
      <c r="Y149" s="20"/>
      <c r="Z149" s="20"/>
      <c r="AA149" s="20"/>
      <c r="AB149" s="20"/>
      <c r="AC149" s="20"/>
    </row>
    <row r="150" spans="3:29" s="18" customFormat="1">
      <c r="C150" s="635"/>
      <c r="D150" s="635"/>
      <c r="E150" s="635"/>
      <c r="F150" s="635"/>
      <c r="G150" s="638"/>
      <c r="H150" s="638"/>
      <c r="I150" s="638"/>
      <c r="J150" s="638"/>
      <c r="K150" s="638"/>
      <c r="L150" s="637"/>
      <c r="M150" s="635"/>
      <c r="N150" s="635"/>
      <c r="O150" s="635"/>
      <c r="P150" s="635"/>
      <c r="Q150" s="635"/>
      <c r="R150" s="635"/>
      <c r="S150" s="635"/>
      <c r="V150" s="20"/>
      <c r="W150" s="20"/>
      <c r="X150" s="20"/>
      <c r="Y150" s="20"/>
      <c r="Z150" s="20"/>
      <c r="AA150" s="20"/>
      <c r="AB150" s="20"/>
      <c r="AC150" s="20"/>
    </row>
    <row r="151" spans="3:29" s="18" customFormat="1">
      <c r="C151" s="635"/>
      <c r="D151" s="635"/>
      <c r="E151" s="635"/>
      <c r="F151" s="635"/>
      <c r="G151" s="638"/>
      <c r="H151" s="638"/>
      <c r="I151" s="638"/>
      <c r="J151" s="638"/>
      <c r="K151" s="638"/>
      <c r="L151" s="637"/>
      <c r="M151" s="635"/>
      <c r="N151" s="635"/>
      <c r="O151" s="635"/>
      <c r="P151" s="635"/>
      <c r="Q151" s="635"/>
      <c r="R151" s="635"/>
      <c r="S151" s="635"/>
      <c r="V151" s="20"/>
      <c r="W151" s="20"/>
      <c r="X151" s="20"/>
      <c r="Y151" s="20"/>
      <c r="Z151" s="20"/>
      <c r="AA151" s="20"/>
      <c r="AB151" s="20"/>
      <c r="AC151" s="20"/>
    </row>
    <row r="152" spans="3:29" s="18" customFormat="1">
      <c r="C152" s="635"/>
      <c r="D152" s="635"/>
      <c r="E152" s="635"/>
      <c r="F152" s="635"/>
      <c r="G152" s="638"/>
      <c r="H152" s="638"/>
      <c r="I152" s="638"/>
      <c r="J152" s="638"/>
      <c r="K152" s="638"/>
      <c r="L152" s="637"/>
      <c r="M152" s="635"/>
      <c r="N152" s="635"/>
      <c r="O152" s="635"/>
      <c r="P152" s="635"/>
      <c r="Q152" s="635"/>
      <c r="R152" s="635"/>
      <c r="S152" s="635"/>
      <c r="V152" s="20"/>
      <c r="W152" s="20"/>
      <c r="X152" s="20"/>
      <c r="Y152" s="20"/>
      <c r="Z152" s="20"/>
      <c r="AA152" s="20"/>
      <c r="AB152" s="20"/>
      <c r="AC152" s="20"/>
    </row>
    <row r="153" spans="3:29" s="18" customFormat="1">
      <c r="C153" s="635"/>
      <c r="D153" s="635"/>
      <c r="E153" s="635"/>
      <c r="F153" s="635"/>
      <c r="G153" s="638"/>
      <c r="H153" s="638"/>
      <c r="I153" s="638"/>
      <c r="J153" s="638"/>
      <c r="K153" s="638"/>
      <c r="L153" s="637"/>
      <c r="M153" s="635"/>
      <c r="N153" s="635"/>
      <c r="O153" s="635"/>
      <c r="P153" s="635"/>
      <c r="Q153" s="635"/>
      <c r="R153" s="635"/>
      <c r="S153" s="635"/>
      <c r="V153" s="20"/>
      <c r="W153" s="20"/>
      <c r="X153" s="20"/>
      <c r="Y153" s="20"/>
      <c r="Z153" s="20"/>
      <c r="AA153" s="20"/>
      <c r="AB153" s="20"/>
      <c r="AC153" s="20"/>
    </row>
    <row r="154" spans="3:29" s="18" customFormat="1">
      <c r="C154" s="635"/>
      <c r="D154" s="635"/>
      <c r="E154" s="635"/>
      <c r="F154" s="635"/>
      <c r="G154" s="638"/>
      <c r="H154" s="638"/>
      <c r="I154" s="638"/>
      <c r="J154" s="638"/>
      <c r="K154" s="638"/>
      <c r="L154" s="637"/>
      <c r="M154" s="635"/>
      <c r="N154" s="635"/>
      <c r="O154" s="635"/>
      <c r="P154" s="635"/>
      <c r="Q154" s="635"/>
      <c r="R154" s="635"/>
      <c r="S154" s="635"/>
      <c r="V154" s="20"/>
      <c r="W154" s="20"/>
      <c r="X154" s="20"/>
      <c r="Y154" s="20"/>
      <c r="Z154" s="20"/>
      <c r="AA154" s="20"/>
      <c r="AB154" s="20"/>
      <c r="AC154" s="20"/>
    </row>
    <row r="155" spans="3:29" s="18" customFormat="1">
      <c r="C155" s="635"/>
      <c r="D155" s="635"/>
      <c r="E155" s="635"/>
      <c r="F155" s="635"/>
      <c r="G155" s="638"/>
      <c r="H155" s="638"/>
      <c r="I155" s="638"/>
      <c r="J155" s="638"/>
      <c r="K155" s="638"/>
      <c r="L155" s="637"/>
      <c r="M155" s="635"/>
      <c r="N155" s="635"/>
      <c r="O155" s="635"/>
      <c r="P155" s="635"/>
      <c r="Q155" s="635"/>
      <c r="R155" s="635"/>
      <c r="S155" s="635"/>
      <c r="V155" s="20"/>
      <c r="W155" s="20"/>
      <c r="X155" s="20"/>
      <c r="Y155" s="20"/>
      <c r="Z155" s="20"/>
      <c r="AA155" s="20"/>
      <c r="AB155" s="20"/>
      <c r="AC155" s="20"/>
    </row>
    <row r="156" spans="3:29" s="18" customFormat="1">
      <c r="C156" s="635"/>
      <c r="D156" s="635"/>
      <c r="E156" s="635"/>
      <c r="F156" s="635"/>
      <c r="G156" s="638"/>
      <c r="H156" s="638"/>
      <c r="I156" s="638"/>
      <c r="J156" s="638"/>
      <c r="K156" s="638"/>
      <c r="L156" s="637"/>
      <c r="M156" s="635"/>
      <c r="N156" s="635"/>
      <c r="O156" s="635"/>
      <c r="P156" s="635"/>
      <c r="Q156" s="635"/>
      <c r="R156" s="635"/>
      <c r="S156" s="635"/>
      <c r="V156" s="20"/>
      <c r="W156" s="20"/>
      <c r="X156" s="20"/>
      <c r="Y156" s="20"/>
      <c r="Z156" s="20"/>
      <c r="AA156" s="20"/>
      <c r="AB156" s="20"/>
      <c r="AC156" s="20"/>
    </row>
    <row r="157" spans="3:29" s="18" customFormat="1">
      <c r="C157" s="635"/>
      <c r="D157" s="635"/>
      <c r="E157" s="635"/>
      <c r="F157" s="635"/>
      <c r="G157" s="638"/>
      <c r="H157" s="638"/>
      <c r="I157" s="638"/>
      <c r="J157" s="638"/>
      <c r="K157" s="638"/>
      <c r="L157" s="637"/>
      <c r="M157" s="635"/>
      <c r="N157" s="635"/>
      <c r="O157" s="635"/>
      <c r="P157" s="635"/>
      <c r="Q157" s="635"/>
      <c r="R157" s="635"/>
      <c r="S157" s="635"/>
      <c r="V157" s="20"/>
      <c r="W157" s="20"/>
      <c r="X157" s="20"/>
      <c r="Y157" s="20"/>
      <c r="Z157" s="20"/>
      <c r="AA157" s="20"/>
      <c r="AB157" s="20"/>
      <c r="AC157" s="20"/>
    </row>
    <row r="158" spans="3:29" s="18" customFormat="1">
      <c r="C158" s="635"/>
      <c r="D158" s="635"/>
      <c r="E158" s="635"/>
      <c r="F158" s="635"/>
      <c r="G158" s="638"/>
      <c r="H158" s="638"/>
      <c r="I158" s="638"/>
      <c r="J158" s="638"/>
      <c r="K158" s="638"/>
      <c r="L158" s="637"/>
      <c r="M158" s="635"/>
      <c r="N158" s="635"/>
      <c r="O158" s="635"/>
      <c r="P158" s="635"/>
      <c r="Q158" s="635"/>
      <c r="R158" s="635"/>
      <c r="S158" s="635"/>
      <c r="V158" s="20"/>
      <c r="W158" s="20"/>
      <c r="X158" s="20"/>
      <c r="Y158" s="20"/>
      <c r="Z158" s="20"/>
      <c r="AA158" s="20"/>
      <c r="AB158" s="20"/>
      <c r="AC158" s="20"/>
    </row>
    <row r="159" spans="3:29" s="18" customFormat="1">
      <c r="C159" s="635"/>
      <c r="D159" s="635"/>
      <c r="E159" s="635"/>
      <c r="F159" s="635"/>
      <c r="G159" s="638"/>
      <c r="H159" s="638"/>
      <c r="I159" s="638"/>
      <c r="J159" s="638"/>
      <c r="K159" s="638"/>
      <c r="L159" s="637"/>
      <c r="M159" s="635"/>
      <c r="N159" s="635"/>
      <c r="O159" s="635"/>
      <c r="P159" s="635"/>
      <c r="Q159" s="635"/>
      <c r="R159" s="635"/>
      <c r="S159" s="635"/>
      <c r="V159" s="20"/>
      <c r="W159" s="20"/>
      <c r="X159" s="20"/>
      <c r="Y159" s="20"/>
      <c r="Z159" s="20"/>
      <c r="AA159" s="20"/>
      <c r="AB159" s="20"/>
      <c r="AC159" s="20"/>
    </row>
    <row r="160" spans="3:29" s="18" customFormat="1">
      <c r="C160" s="635"/>
      <c r="D160" s="635"/>
      <c r="E160" s="635"/>
      <c r="F160" s="635"/>
      <c r="G160" s="638"/>
      <c r="H160" s="638"/>
      <c r="I160" s="638"/>
      <c r="J160" s="638"/>
      <c r="K160" s="638"/>
      <c r="L160" s="637"/>
      <c r="M160" s="635"/>
      <c r="N160" s="635"/>
      <c r="O160" s="635"/>
      <c r="P160" s="635"/>
      <c r="Q160" s="635"/>
      <c r="R160" s="635"/>
      <c r="S160" s="635"/>
      <c r="V160" s="20"/>
      <c r="W160" s="20"/>
      <c r="X160" s="20"/>
      <c r="Y160" s="20"/>
      <c r="Z160" s="20"/>
      <c r="AA160" s="20"/>
      <c r="AB160" s="20"/>
      <c r="AC160" s="20"/>
    </row>
    <row r="161" spans="3:29" s="18" customFormat="1">
      <c r="C161" s="635"/>
      <c r="D161" s="635"/>
      <c r="E161" s="635"/>
      <c r="F161" s="635"/>
      <c r="G161" s="638"/>
      <c r="H161" s="638"/>
      <c r="I161" s="638"/>
      <c r="J161" s="638"/>
      <c r="K161" s="638"/>
      <c r="L161" s="637"/>
      <c r="M161" s="635"/>
      <c r="N161" s="635"/>
      <c r="O161" s="635"/>
      <c r="P161" s="635"/>
      <c r="Q161" s="635"/>
      <c r="R161" s="635"/>
      <c r="S161" s="635"/>
      <c r="V161" s="20"/>
      <c r="W161" s="20"/>
      <c r="X161" s="20"/>
      <c r="Y161" s="20"/>
      <c r="Z161" s="20"/>
      <c r="AA161" s="20"/>
      <c r="AB161" s="20"/>
      <c r="AC161" s="20"/>
    </row>
    <row r="162" spans="3:29" s="18" customFormat="1">
      <c r="C162" s="635"/>
      <c r="D162" s="635"/>
      <c r="E162" s="635"/>
      <c r="F162" s="635"/>
      <c r="G162" s="635"/>
      <c r="H162" s="635"/>
      <c r="I162" s="635"/>
      <c r="J162" s="635"/>
      <c r="K162" s="635"/>
      <c r="L162" s="637"/>
      <c r="M162" s="635"/>
      <c r="N162" s="635"/>
      <c r="O162" s="635"/>
      <c r="P162" s="635"/>
      <c r="Q162" s="635"/>
      <c r="R162" s="635"/>
      <c r="S162" s="635"/>
      <c r="V162" s="20"/>
      <c r="W162" s="20"/>
      <c r="X162" s="20"/>
      <c r="Y162" s="20"/>
      <c r="Z162" s="20"/>
      <c r="AA162" s="20"/>
      <c r="AB162" s="20"/>
      <c r="AC162" s="20"/>
    </row>
    <row r="163" spans="3:29" s="18" customFormat="1">
      <c r="C163" s="635"/>
      <c r="D163" s="635"/>
      <c r="E163" s="635"/>
      <c r="F163" s="635"/>
      <c r="G163" s="638"/>
      <c r="H163" s="638"/>
      <c r="I163" s="638"/>
      <c r="J163" s="638"/>
      <c r="K163" s="638"/>
      <c r="L163" s="637"/>
      <c r="M163" s="635"/>
      <c r="N163" s="635"/>
      <c r="O163" s="635"/>
      <c r="P163" s="635"/>
      <c r="Q163" s="635"/>
      <c r="R163" s="635"/>
      <c r="S163" s="635"/>
      <c r="V163" s="20"/>
      <c r="W163" s="20"/>
      <c r="X163" s="20"/>
      <c r="Y163" s="20"/>
      <c r="Z163" s="20"/>
      <c r="AA163" s="20"/>
      <c r="AB163" s="20"/>
      <c r="AC163" s="20"/>
    </row>
    <row r="164" spans="3:29" s="18" customFormat="1">
      <c r="C164" s="635"/>
      <c r="D164" s="635"/>
      <c r="E164" s="635"/>
      <c r="F164" s="635"/>
      <c r="G164" s="638"/>
      <c r="H164" s="638"/>
      <c r="I164" s="638"/>
      <c r="J164" s="638"/>
      <c r="K164" s="638"/>
      <c r="L164" s="637"/>
      <c r="M164" s="635"/>
      <c r="N164" s="635"/>
      <c r="O164" s="635"/>
      <c r="P164" s="635"/>
      <c r="Q164" s="635"/>
      <c r="R164" s="635"/>
      <c r="S164" s="635"/>
      <c r="V164" s="20"/>
      <c r="W164" s="20"/>
      <c r="X164" s="20"/>
      <c r="Y164" s="20"/>
      <c r="Z164" s="20"/>
      <c r="AA164" s="20"/>
      <c r="AB164" s="20"/>
      <c r="AC164" s="20"/>
    </row>
    <row r="165" spans="3:29" s="18" customFormat="1">
      <c r="C165" s="635"/>
      <c r="D165" s="635"/>
      <c r="E165" s="635"/>
      <c r="F165" s="635"/>
      <c r="G165" s="638"/>
      <c r="H165" s="638"/>
      <c r="I165" s="638"/>
      <c r="J165" s="638"/>
      <c r="K165" s="638"/>
      <c r="L165" s="637"/>
      <c r="M165" s="635"/>
      <c r="N165" s="635"/>
      <c r="O165" s="635"/>
      <c r="P165" s="635"/>
      <c r="Q165" s="635"/>
      <c r="R165" s="635"/>
      <c r="S165" s="635"/>
      <c r="V165" s="20"/>
      <c r="W165" s="20"/>
      <c r="X165" s="20"/>
      <c r="Y165" s="20"/>
      <c r="Z165" s="20"/>
      <c r="AA165" s="20"/>
      <c r="AB165" s="20"/>
      <c r="AC165" s="20"/>
    </row>
    <row r="166" spans="3:29" s="18" customFormat="1">
      <c r="C166" s="635"/>
      <c r="D166" s="635"/>
      <c r="E166" s="635"/>
      <c r="F166" s="635"/>
      <c r="G166" s="638"/>
      <c r="H166" s="638"/>
      <c r="I166" s="638"/>
      <c r="J166" s="638"/>
      <c r="K166" s="638"/>
      <c r="L166" s="637"/>
      <c r="M166" s="635"/>
      <c r="N166" s="635"/>
      <c r="O166" s="635"/>
      <c r="P166" s="635"/>
      <c r="Q166" s="635"/>
      <c r="R166" s="635"/>
      <c r="S166" s="635"/>
      <c r="V166" s="20"/>
      <c r="W166" s="20"/>
      <c r="X166" s="20"/>
      <c r="Y166" s="20"/>
      <c r="Z166" s="20"/>
      <c r="AA166" s="20"/>
      <c r="AB166" s="20"/>
      <c r="AC166" s="20"/>
    </row>
    <row r="167" spans="3:29" s="18" customFormat="1">
      <c r="C167" s="635"/>
      <c r="D167" s="635"/>
      <c r="E167" s="635"/>
      <c r="F167" s="635"/>
      <c r="G167" s="638"/>
      <c r="H167" s="638"/>
      <c r="I167" s="638"/>
      <c r="J167" s="638"/>
      <c r="K167" s="638"/>
      <c r="L167" s="637"/>
      <c r="M167" s="635"/>
      <c r="N167" s="635"/>
      <c r="O167" s="635"/>
      <c r="P167" s="635"/>
      <c r="Q167" s="635"/>
      <c r="R167" s="635"/>
      <c r="S167" s="635"/>
      <c r="V167" s="20"/>
      <c r="W167" s="20"/>
      <c r="X167" s="20"/>
      <c r="Y167" s="20"/>
      <c r="Z167" s="20"/>
      <c r="AA167" s="20"/>
      <c r="AB167" s="20"/>
      <c r="AC167" s="20"/>
    </row>
    <row r="168" spans="3:29" s="18" customFormat="1">
      <c r="C168" s="635"/>
      <c r="D168" s="635"/>
      <c r="E168" s="635"/>
      <c r="F168" s="635"/>
      <c r="G168" s="638"/>
      <c r="H168" s="638"/>
      <c r="I168" s="638"/>
      <c r="J168" s="638"/>
      <c r="K168" s="638"/>
      <c r="L168" s="637"/>
      <c r="M168" s="635"/>
      <c r="N168" s="635"/>
      <c r="O168" s="635"/>
      <c r="P168" s="635"/>
      <c r="Q168" s="635"/>
      <c r="R168" s="635"/>
      <c r="S168" s="635"/>
      <c r="V168" s="20"/>
      <c r="W168" s="20"/>
      <c r="X168" s="20"/>
      <c r="Y168" s="20"/>
      <c r="Z168" s="20"/>
      <c r="AA168" s="20"/>
      <c r="AB168" s="20"/>
      <c r="AC168" s="20"/>
    </row>
    <row r="169" spans="3:29" s="18" customFormat="1">
      <c r="C169" s="635"/>
      <c r="D169" s="635"/>
      <c r="E169" s="635"/>
      <c r="F169" s="635"/>
      <c r="G169" s="638"/>
      <c r="H169" s="638"/>
      <c r="I169" s="638"/>
      <c r="J169" s="638"/>
      <c r="K169" s="638"/>
      <c r="L169" s="637"/>
      <c r="M169" s="635"/>
      <c r="N169" s="635"/>
      <c r="O169" s="635"/>
      <c r="P169" s="635"/>
      <c r="Q169" s="635"/>
      <c r="R169" s="635"/>
      <c r="S169" s="635"/>
      <c r="V169" s="20"/>
      <c r="W169" s="20"/>
      <c r="X169" s="20"/>
      <c r="Y169" s="20"/>
      <c r="Z169" s="20"/>
      <c r="AA169" s="20"/>
      <c r="AB169" s="20"/>
      <c r="AC169" s="20"/>
    </row>
    <row r="170" spans="3:29" s="18" customFormat="1">
      <c r="C170" s="635"/>
      <c r="D170" s="635"/>
      <c r="E170" s="635"/>
      <c r="F170" s="635"/>
      <c r="G170" s="638"/>
      <c r="H170" s="638"/>
      <c r="I170" s="638"/>
      <c r="J170" s="638"/>
      <c r="K170" s="638"/>
      <c r="L170" s="637"/>
      <c r="M170" s="635"/>
      <c r="N170" s="635"/>
      <c r="O170" s="635"/>
      <c r="P170" s="635"/>
      <c r="Q170" s="635"/>
      <c r="R170" s="635"/>
      <c r="S170" s="635"/>
      <c r="V170" s="20"/>
      <c r="W170" s="20"/>
      <c r="X170" s="20"/>
      <c r="Y170" s="20"/>
      <c r="Z170" s="20"/>
      <c r="AA170" s="20"/>
      <c r="AB170" s="20"/>
      <c r="AC170" s="20"/>
    </row>
    <row r="171" spans="3:29" s="18" customFormat="1">
      <c r="G171" s="624"/>
      <c r="H171" s="624"/>
      <c r="I171" s="624"/>
      <c r="J171" s="624"/>
      <c r="K171" s="624"/>
      <c r="L171" s="21"/>
      <c r="V171" s="20"/>
      <c r="W171" s="20"/>
      <c r="X171" s="20"/>
      <c r="Y171" s="20"/>
      <c r="Z171" s="20"/>
      <c r="AA171" s="20"/>
      <c r="AB171" s="20"/>
      <c r="AC171" s="20"/>
    </row>
    <row r="172" spans="3:29" s="18" customFormat="1">
      <c r="G172" s="624"/>
      <c r="H172" s="624"/>
      <c r="I172" s="624"/>
      <c r="J172" s="624"/>
      <c r="K172" s="624"/>
      <c r="L172" s="21"/>
      <c r="V172" s="20"/>
      <c r="W172" s="20"/>
      <c r="X172" s="20"/>
      <c r="Y172" s="20"/>
      <c r="Z172" s="20"/>
      <c r="AA172" s="20"/>
      <c r="AB172" s="20"/>
      <c r="AC172" s="20"/>
    </row>
    <row r="173" spans="3:29" s="18" customFormat="1">
      <c r="G173" s="624"/>
      <c r="H173" s="624"/>
      <c r="I173" s="624"/>
      <c r="J173" s="624"/>
      <c r="K173" s="624"/>
      <c r="L173" s="21"/>
      <c r="V173" s="20"/>
      <c r="W173" s="20"/>
      <c r="X173" s="20"/>
      <c r="Y173" s="20"/>
      <c r="Z173" s="20"/>
      <c r="AA173" s="20"/>
      <c r="AB173" s="20"/>
      <c r="AC173" s="20"/>
    </row>
    <row r="174" spans="3:29" s="18" customFormat="1">
      <c r="G174" s="624"/>
      <c r="H174" s="624"/>
      <c r="I174" s="624"/>
      <c r="J174" s="624"/>
      <c r="K174" s="624"/>
      <c r="L174" s="21"/>
      <c r="V174" s="20"/>
      <c r="W174" s="20"/>
      <c r="X174" s="20"/>
      <c r="Y174" s="20"/>
      <c r="Z174" s="20"/>
      <c r="AA174" s="20"/>
      <c r="AB174" s="20"/>
      <c r="AC174" s="20"/>
    </row>
    <row r="175" spans="3:29" s="18" customFormat="1">
      <c r="G175" s="624"/>
      <c r="H175" s="624"/>
      <c r="I175" s="624"/>
      <c r="J175" s="624"/>
      <c r="K175" s="624"/>
      <c r="L175" s="21"/>
      <c r="V175" s="20"/>
      <c r="W175" s="20"/>
      <c r="X175" s="20"/>
      <c r="Y175" s="20"/>
      <c r="Z175" s="20"/>
      <c r="AA175" s="20"/>
      <c r="AB175" s="20"/>
      <c r="AC175" s="20"/>
    </row>
    <row r="176" spans="3:29" s="18" customFormat="1">
      <c r="G176" s="624"/>
      <c r="H176" s="624"/>
      <c r="I176" s="624"/>
      <c r="J176" s="624"/>
      <c r="K176" s="624"/>
      <c r="L176" s="21"/>
      <c r="V176" s="20"/>
      <c r="W176" s="20"/>
      <c r="X176" s="20"/>
      <c r="Y176" s="20"/>
      <c r="Z176" s="20"/>
      <c r="AA176" s="20"/>
      <c r="AB176" s="20"/>
      <c r="AC176" s="20"/>
    </row>
    <row r="177" spans="12:29" s="18" customFormat="1">
      <c r="L177" s="21"/>
      <c r="V177" s="20"/>
      <c r="W177" s="20"/>
      <c r="X177" s="20"/>
      <c r="Y177" s="20"/>
      <c r="Z177" s="20"/>
      <c r="AA177" s="20"/>
      <c r="AB177" s="20"/>
      <c r="AC177" s="20"/>
    </row>
    <row r="178" spans="12:29" s="18" customFormat="1">
      <c r="L178" s="21"/>
      <c r="V178" s="20"/>
      <c r="W178" s="20"/>
      <c r="X178" s="20"/>
      <c r="Y178" s="20"/>
      <c r="Z178" s="20"/>
      <c r="AA178" s="20"/>
      <c r="AB178" s="20"/>
      <c r="AC178" s="20"/>
    </row>
    <row r="179" spans="12:29" s="18" customFormat="1">
      <c r="L179" s="21"/>
      <c r="V179" s="20"/>
      <c r="W179" s="20"/>
      <c r="X179" s="20"/>
      <c r="Y179" s="20"/>
      <c r="Z179" s="20"/>
      <c r="AA179" s="20"/>
      <c r="AB179" s="20"/>
      <c r="AC179" s="20"/>
    </row>
    <row r="180" spans="12:29" s="18" customFormat="1">
      <c r="L180" s="21"/>
      <c r="V180" s="20"/>
      <c r="W180" s="20"/>
      <c r="X180" s="20"/>
      <c r="Y180" s="20"/>
      <c r="Z180" s="20"/>
      <c r="AA180" s="20"/>
      <c r="AB180" s="20"/>
      <c r="AC180" s="20"/>
    </row>
    <row r="181" spans="12:29" s="18" customFormat="1">
      <c r="L181" s="21"/>
      <c r="V181" s="20"/>
      <c r="W181" s="20"/>
      <c r="X181" s="20"/>
      <c r="Y181" s="20"/>
      <c r="Z181" s="20"/>
      <c r="AA181" s="20"/>
      <c r="AB181" s="20"/>
      <c r="AC181" s="20"/>
    </row>
    <row r="182" spans="12:29" s="18" customFormat="1">
      <c r="L182" s="21"/>
      <c r="V182" s="20"/>
      <c r="W182" s="20"/>
      <c r="X182" s="20"/>
      <c r="Y182" s="20"/>
      <c r="Z182" s="20"/>
      <c r="AA182" s="20"/>
      <c r="AB182" s="20"/>
      <c r="AC182" s="20"/>
    </row>
    <row r="183" spans="12:29" s="18" customFormat="1">
      <c r="L183" s="21"/>
      <c r="V183" s="20"/>
      <c r="W183" s="20"/>
      <c r="X183" s="20"/>
      <c r="Y183" s="20"/>
      <c r="Z183" s="20"/>
      <c r="AA183" s="20"/>
      <c r="AB183" s="20"/>
      <c r="AC183" s="20"/>
    </row>
    <row r="184" spans="12:29" s="18" customFormat="1">
      <c r="L184" s="21"/>
      <c r="V184" s="20"/>
      <c r="W184" s="20"/>
      <c r="X184" s="20"/>
      <c r="Y184" s="20"/>
      <c r="Z184" s="20"/>
      <c r="AA184" s="20"/>
      <c r="AB184" s="20"/>
      <c r="AC184" s="20"/>
    </row>
    <row r="185" spans="12:29" s="18" customFormat="1">
      <c r="L185" s="21"/>
      <c r="V185" s="20"/>
      <c r="W185" s="20"/>
      <c r="X185" s="20"/>
      <c r="Y185" s="20"/>
      <c r="Z185" s="20"/>
      <c r="AA185" s="20"/>
      <c r="AB185" s="20"/>
      <c r="AC185" s="20"/>
    </row>
    <row r="186" spans="12:29" s="18" customFormat="1">
      <c r="L186" s="21"/>
      <c r="V186" s="20"/>
      <c r="W186" s="20"/>
      <c r="X186" s="20"/>
      <c r="Y186" s="20"/>
      <c r="Z186" s="20"/>
      <c r="AA186" s="20"/>
      <c r="AB186" s="20"/>
      <c r="AC186" s="20"/>
    </row>
    <row r="187" spans="12:29" s="18" customFormat="1">
      <c r="L187" s="21"/>
      <c r="V187" s="20"/>
      <c r="W187" s="20"/>
      <c r="X187" s="20"/>
      <c r="Y187" s="20"/>
      <c r="Z187" s="20"/>
      <c r="AA187" s="20"/>
      <c r="AB187" s="20"/>
      <c r="AC187" s="20"/>
    </row>
    <row r="188" spans="12:29" s="18" customFormat="1">
      <c r="L188" s="21"/>
      <c r="V188" s="20"/>
      <c r="W188" s="20"/>
      <c r="X188" s="20"/>
      <c r="Y188" s="20"/>
      <c r="Z188" s="20"/>
      <c r="AA188" s="20"/>
      <c r="AB188" s="20"/>
      <c r="AC188" s="20"/>
    </row>
    <row r="189" spans="12:29" s="18" customFormat="1">
      <c r="L189" s="21"/>
      <c r="V189" s="20"/>
      <c r="W189" s="20"/>
      <c r="X189" s="20"/>
      <c r="Y189" s="20"/>
      <c r="Z189" s="20"/>
      <c r="AA189" s="20"/>
      <c r="AB189" s="20"/>
      <c r="AC189" s="20"/>
    </row>
    <row r="190" spans="12:29" s="18" customFormat="1">
      <c r="L190" s="21"/>
      <c r="V190" s="20"/>
      <c r="W190" s="20"/>
      <c r="X190" s="20"/>
      <c r="Y190" s="20"/>
      <c r="Z190" s="20"/>
      <c r="AA190" s="20"/>
      <c r="AB190" s="20"/>
      <c r="AC190" s="20"/>
    </row>
    <row r="191" spans="12:29" s="18" customFormat="1">
      <c r="L191" s="21"/>
      <c r="V191" s="20"/>
      <c r="W191" s="20"/>
      <c r="X191" s="20"/>
      <c r="Y191" s="20"/>
      <c r="Z191" s="20"/>
      <c r="AA191" s="20"/>
      <c r="AB191" s="20"/>
      <c r="AC191" s="20"/>
    </row>
    <row r="192" spans="12:29" s="18" customFormat="1">
      <c r="L192" s="21"/>
      <c r="V192" s="20"/>
      <c r="W192" s="20"/>
      <c r="X192" s="20"/>
      <c r="Y192" s="20"/>
      <c r="Z192" s="20"/>
      <c r="AA192" s="20"/>
      <c r="AB192" s="20"/>
      <c r="AC192" s="20"/>
    </row>
    <row r="193" spans="22:31">
      <c r="V193" s="20"/>
      <c r="W193" s="20"/>
      <c r="AD193" s="18"/>
      <c r="AE193" s="18"/>
    </row>
    <row r="194" spans="22:31">
      <c r="V194" s="20"/>
      <c r="W194" s="20"/>
      <c r="AD194" s="18"/>
      <c r="AE194" s="18"/>
    </row>
    <row r="195" spans="22:31">
      <c r="V195" s="20"/>
      <c r="W195" s="20"/>
      <c r="AD195" s="18"/>
      <c r="AE195" s="18"/>
    </row>
    <row r="196" spans="22:31">
      <c r="V196" s="20"/>
      <c r="W196" s="20"/>
      <c r="AD196" s="18"/>
      <c r="AE196" s="18"/>
    </row>
    <row r="197" spans="22:31">
      <c r="V197" s="20"/>
      <c r="W197" s="20"/>
      <c r="AD197" s="18"/>
      <c r="AE197" s="18"/>
    </row>
    <row r="198" spans="22:31">
      <c r="V198" s="20"/>
      <c r="W198" s="20"/>
      <c r="AD198" s="18"/>
      <c r="AE198" s="18"/>
    </row>
    <row r="199" spans="22:31">
      <c r="V199" s="20"/>
      <c r="W199" s="20"/>
      <c r="AD199" s="18"/>
      <c r="AE199" s="18"/>
    </row>
    <row r="200" spans="22:31">
      <c r="V200" s="20"/>
      <c r="W200" s="20"/>
      <c r="AD200" s="18"/>
      <c r="AE200" s="18"/>
    </row>
    <row r="201" spans="22:31">
      <c r="V201" s="20"/>
      <c r="W201" s="20"/>
      <c r="AD201" s="18"/>
      <c r="AE201" s="18"/>
    </row>
    <row r="219" spans="3:3">
      <c r="C219" s="625" t="s">
        <v>4</v>
      </c>
    </row>
  </sheetData>
  <mergeCells count="15">
    <mergeCell ref="C60:S60"/>
    <mergeCell ref="C59:S59"/>
    <mergeCell ref="C57:Q57"/>
    <mergeCell ref="C116:Q116"/>
    <mergeCell ref="S66:S67"/>
    <mergeCell ref="C61:Q61"/>
    <mergeCell ref="G66:K66"/>
    <mergeCell ref="M66:Q66"/>
    <mergeCell ref="X8:Y8"/>
    <mergeCell ref="Z8:AA8"/>
    <mergeCell ref="AB8:AC8"/>
    <mergeCell ref="AD8:AE8"/>
    <mergeCell ref="G6:Q6"/>
    <mergeCell ref="G7:K7"/>
    <mergeCell ref="M7:Q7"/>
  </mergeCells>
  <printOptions horizontalCentered="1"/>
  <pageMargins left="0.70866141732283472" right="0.70866141732283472" top="0.74803149606299213" bottom="0.74803149606299213" header="0.74803149606299213" footer="0.35433070866141736"/>
  <pageSetup paperSize="9" scale="61" fitToHeight="2" orientation="portrait" r:id="rId1"/>
  <headerFooter differentOddEven="1">
    <oddFooter>&amp;R&amp;G</oddFooter>
    <evenFooter>&amp;L&amp;G</evenFooter>
  </headerFooter>
  <rowBreaks count="1" manualBreakCount="1">
    <brk id="63" min="1" max="18" man="1"/>
  </rowBreaks>
  <ignoredErrors>
    <ignoredError sqref="C5 C37:C49 C15:C16 C74:C85 C31:C33 C58 C22:C23 C11:C12 E6:F6 H6:L6 M6:R6 C65 C51:C52 C87:C105" unlockedFormula="1"/>
    <ignoredError sqref="C19" formula="1"/>
    <ignoredError sqref="E7:S7"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9"/>
  <sheetViews>
    <sheetView showGridLines="0" zoomScaleNormal="100" zoomScaleSheetLayoutView="100" workbookViewId="0">
      <selection activeCell="B2" sqref="B2"/>
    </sheetView>
  </sheetViews>
  <sheetFormatPr defaultColWidth="9.140625" defaultRowHeight="12.75"/>
  <cols>
    <col min="1" max="1" width="3.42578125" style="140" customWidth="1"/>
    <col min="2" max="2" width="4.42578125" style="140" customWidth="1"/>
    <col min="3" max="3" width="25.85546875" style="140" customWidth="1"/>
    <col min="4" max="10" width="9.42578125" style="140" customWidth="1"/>
    <col min="11" max="11" width="9.140625" style="140" customWidth="1"/>
    <col min="12" max="12" width="2.42578125" style="140" customWidth="1"/>
    <col min="13" max="13" width="9.5703125" style="211" bestFit="1" customWidth="1"/>
    <col min="14" max="20" width="7" style="211" customWidth="1"/>
    <col min="21" max="16384" width="9.140625" style="140"/>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9" customFormat="1">
      <c r="C5" s="699" t="str">
        <f>+'4 - Conta AC + SS'!C5</f>
        <v>Period: January to December</v>
      </c>
      <c r="D5" s="1360"/>
      <c r="E5" s="258"/>
      <c r="F5" s="258"/>
      <c r="G5" s="1384"/>
      <c r="H5" s="1384"/>
      <c r="I5" s="1384"/>
      <c r="J5" s="1384" t="str">
        <f>IF(Indice_index!$Z$1=1,"€ Milhões","€ Millions")</f>
        <v>€ Millions</v>
      </c>
      <c r="M5" s="626"/>
      <c r="N5" s="626"/>
      <c r="O5" s="626"/>
      <c r="P5" s="626"/>
      <c r="Q5" s="626"/>
      <c r="R5" s="626"/>
      <c r="S5" s="626"/>
      <c r="T5" s="626"/>
    </row>
    <row r="6" spans="2:20" ht="15" customHeight="1">
      <c r="C6" s="1550"/>
      <c r="D6" s="1553" t="str">
        <f>IF(Indice_index!$Z$1=1,"Execução Acumulada","Accumulated Execution")</f>
        <v>Accumulated Execution</v>
      </c>
      <c r="E6" s="1554"/>
      <c r="F6" s="1560" t="str">
        <f>IF(Indice_index!$Z$1=1,"Variação Homóloga Acumulada","YOY Change Rate")</f>
        <v>YOY Change Rate</v>
      </c>
      <c r="G6" s="1561"/>
      <c r="H6" s="1561"/>
      <c r="I6" s="1562"/>
      <c r="J6" s="1557" t="str">
        <f>IF(Indice_index!$Z$1=1,"Contributo (em p.p.)","Contribution (p.p.)")</f>
        <v>Contribution (p.p.)</v>
      </c>
      <c r="L6" s="627"/>
      <c r="M6" s="212"/>
      <c r="N6" s="212"/>
      <c r="O6" s="212"/>
      <c r="P6" s="212"/>
      <c r="Q6" s="212"/>
      <c r="R6" s="212"/>
      <c r="S6" s="212"/>
      <c r="T6" s="212"/>
    </row>
    <row r="7" spans="2:20" ht="15.75" customHeight="1">
      <c r="C7" s="1551"/>
      <c r="D7" s="1555"/>
      <c r="E7" s="1556"/>
      <c r="F7" s="1560" t="str">
        <f>IF(Indice_index!$Z$1=1,"Absoluta","Absolute")</f>
        <v>Absolute</v>
      </c>
      <c r="G7" s="1562"/>
      <c r="H7" s="1560" t="str">
        <f>IF(Indice_index!$Z$1=1,"Relativa (%)","Relative (%)")</f>
        <v>Relative (%)</v>
      </c>
      <c r="I7" s="1562"/>
      <c r="J7" s="1558"/>
      <c r="L7" s="627"/>
      <c r="M7" s="212"/>
      <c r="N7" s="212"/>
      <c r="O7" s="212"/>
      <c r="P7" s="212"/>
      <c r="Q7" s="212"/>
      <c r="R7" s="212"/>
      <c r="S7" s="212"/>
      <c r="T7" s="212"/>
    </row>
    <row r="8" spans="2:20" ht="25.5" customHeight="1">
      <c r="C8" s="1552"/>
      <c r="D8" s="919" t="s">
        <v>66</v>
      </c>
      <c r="E8" s="919" t="s">
        <v>83</v>
      </c>
      <c r="F8" s="1385" t="str">
        <f>IF(Indice_index!$Z$1=1,"novembro","November")</f>
        <v>November</v>
      </c>
      <c r="G8" s="1385" t="str">
        <f>IF(Indice_index!$Z$1=1,"dezembro","December")</f>
        <v>December</v>
      </c>
      <c r="H8" s="1385" t="str">
        <f>IF(Indice_index!$Z$1=1,"novembro","November")</f>
        <v>November</v>
      </c>
      <c r="I8" s="1385" t="str">
        <f>IF(Indice_index!$Z$1=1,"dezembro","December")</f>
        <v>December</v>
      </c>
      <c r="J8" s="1559"/>
      <c r="L8" s="627"/>
      <c r="M8" s="1549"/>
      <c r="N8" s="1549"/>
      <c r="O8" s="1549"/>
      <c r="P8" s="1549"/>
      <c r="Q8" s="1549"/>
      <c r="R8" s="1549"/>
      <c r="S8" s="1549"/>
      <c r="T8" s="1549"/>
    </row>
    <row r="9" spans="2:20" s="259" customFormat="1" ht="15" customHeight="1">
      <c r="C9" s="327" t="str">
        <f>IF(Indice_index!$Z$1=1,"Receita corrente","Current revenue")</f>
        <v>Current revenue</v>
      </c>
      <c r="D9" s="327">
        <f>'2 - Conta Consol AP'!K9</f>
        <v>82334.840099404028</v>
      </c>
      <c r="E9" s="327">
        <f>'2 - Conta Consol AP'!Q9</f>
        <v>89703.674429272854</v>
      </c>
      <c r="F9" s="327">
        <v>6150.5115500183492</v>
      </c>
      <c r="G9" s="327">
        <f t="shared" ref="G9:G21" si="0">+E9-D9</f>
        <v>7368.8343298688269</v>
      </c>
      <c r="H9" s="1360">
        <v>8.4361184701963001</v>
      </c>
      <c r="I9" s="1360">
        <f t="shared" ref="I9:I15" si="1">IFERROR(IF(ABS(+G9/D9*100)&gt;500,"-",+G9/D9*100),"-")</f>
        <v>8.9498374211601401</v>
      </c>
      <c r="J9" s="327">
        <f t="shared" ref="J9:J21" si="2">+G9/$D$23*100</f>
        <v>8.7717714762760703</v>
      </c>
      <c r="K9" s="628"/>
      <c r="L9" s="629"/>
      <c r="M9" s="630"/>
      <c r="N9" s="630"/>
      <c r="O9" s="630"/>
      <c r="P9" s="630"/>
      <c r="Q9" s="630"/>
      <c r="R9" s="630"/>
      <c r="S9" s="630"/>
      <c r="T9" s="630"/>
    </row>
    <row r="10" spans="2:20" ht="15" customHeight="1">
      <c r="C10" s="755" t="str">
        <f>IF(Indice_index!$Z$1=1,"Receita Fiscal","Tax")</f>
        <v>Tax</v>
      </c>
      <c r="D10" s="182">
        <f>'2 - Conta Consol AP'!K10</f>
        <v>48684.016476727833</v>
      </c>
      <c r="E10" s="182">
        <f>'2 - Conta Consol AP'!Q10</f>
        <v>51386.08705735796</v>
      </c>
      <c r="F10" s="182">
        <v>2193.8916884716346</v>
      </c>
      <c r="G10" s="182">
        <f t="shared" si="0"/>
        <v>2702.0705806301266</v>
      </c>
      <c r="H10" s="1386">
        <v>5.1113156282781098</v>
      </c>
      <c r="I10" s="1386">
        <f t="shared" si="1"/>
        <v>5.550221153018021</v>
      </c>
      <c r="J10" s="182">
        <f t="shared" si="2"/>
        <v>3.2165122168621192</v>
      </c>
      <c r="K10" s="213"/>
      <c r="L10" s="214"/>
      <c r="M10" s="212"/>
      <c r="N10" s="212"/>
      <c r="O10" s="212"/>
      <c r="P10" s="212"/>
      <c r="Q10" s="212"/>
      <c r="R10" s="212"/>
      <c r="S10" s="212"/>
      <c r="T10" s="212"/>
    </row>
    <row r="11" spans="2:20" ht="15" customHeight="1">
      <c r="C11" s="866" t="str">
        <f>IF(Indice_index!$Z$1=1,"Impostos diretos","Direct taxes")</f>
        <v>Direct taxes</v>
      </c>
      <c r="D11" s="182">
        <f>'2 - Conta Consol AP'!K11</f>
        <v>22820.626483614775</v>
      </c>
      <c r="E11" s="182">
        <f>'2 - Conta Consol AP'!Q11</f>
        <v>23941.74709036616</v>
      </c>
      <c r="F11" s="182">
        <v>792.28538757740171</v>
      </c>
      <c r="G11" s="182">
        <f t="shared" si="0"/>
        <v>1121.1206067513849</v>
      </c>
      <c r="H11" s="1386">
        <v>4.1667046702679231</v>
      </c>
      <c r="I11" s="1386">
        <f t="shared" si="1"/>
        <v>4.9127512233564241</v>
      </c>
      <c r="J11" s="182">
        <f t="shared" si="2"/>
        <v>1.3345684431939426</v>
      </c>
      <c r="K11" s="213"/>
      <c r="L11" s="214"/>
      <c r="M11" s="212"/>
      <c r="N11" s="212"/>
      <c r="O11" s="212"/>
      <c r="P11" s="212"/>
      <c r="Q11" s="212"/>
      <c r="R11" s="212"/>
      <c r="S11" s="212"/>
      <c r="T11" s="212"/>
    </row>
    <row r="12" spans="2:20" ht="15" customHeight="1">
      <c r="C12" s="866" t="str">
        <f>IF(Indice_index!$Z$1=1,"Impostos indiretos","Indirect taxes")</f>
        <v>Indirect taxes</v>
      </c>
      <c r="D12" s="182">
        <f>'2 - Conta Consol AP'!K12</f>
        <v>25863.389993113058</v>
      </c>
      <c r="E12" s="182">
        <f>'2 - Conta Consol AP'!Q12</f>
        <v>27444.339966991796</v>
      </c>
      <c r="F12" s="182">
        <v>1401.6063008942328</v>
      </c>
      <c r="G12" s="182">
        <f t="shared" si="0"/>
        <v>1580.9499738787381</v>
      </c>
      <c r="H12" s="1386">
        <v>5.8626035195763873</v>
      </c>
      <c r="I12" s="1386">
        <f t="shared" si="1"/>
        <v>6.1126943308658133</v>
      </c>
      <c r="J12" s="182">
        <f t="shared" si="2"/>
        <v>1.8819437736681717</v>
      </c>
      <c r="K12" s="213"/>
      <c r="L12" s="214"/>
      <c r="M12" s="212"/>
      <c r="N12" s="212"/>
      <c r="O12" s="212"/>
      <c r="P12" s="212"/>
      <c r="Q12" s="212"/>
      <c r="R12" s="212"/>
      <c r="S12" s="212"/>
      <c r="T12" s="212"/>
    </row>
    <row r="13" spans="2:20" ht="15" customHeight="1">
      <c r="C13" s="713" t="str">
        <f>IF(Indice_index!$Z$1=1,"Contribuições de Segurança Social","Social security contributions")</f>
        <v>Social security contributions</v>
      </c>
      <c r="D13" s="182">
        <f>'2 - Conta Consol AP'!K13</f>
        <v>22399.486679070003</v>
      </c>
      <c r="E13" s="182">
        <f>'2 - Conta Consol AP'!Q13</f>
        <v>24195.115062429999</v>
      </c>
      <c r="F13" s="182">
        <v>1478.1365126500023</v>
      </c>
      <c r="G13" s="182">
        <f t="shared" si="0"/>
        <v>1795.6283833599955</v>
      </c>
      <c r="H13" s="1386">
        <v>7.4431947813686579</v>
      </c>
      <c r="I13" s="1386">
        <f t="shared" si="1"/>
        <v>8.0163818443117449</v>
      </c>
      <c r="J13" s="182">
        <f t="shared" si="2"/>
        <v>2.1374943620735878</v>
      </c>
      <c r="K13" s="213"/>
      <c r="L13" s="214"/>
      <c r="M13" s="212"/>
      <c r="N13" s="212"/>
      <c r="O13" s="212"/>
      <c r="P13" s="212"/>
      <c r="Q13" s="212"/>
      <c r="R13" s="212"/>
      <c r="S13" s="212"/>
      <c r="T13" s="212"/>
    </row>
    <row r="14" spans="2:20" ht="15" customHeight="1">
      <c r="C14" s="867" t="str">
        <f>IF(Indice_index!$Z$1=1,"Transferências Correntes","Current transfers")</f>
        <v>Current transfers</v>
      </c>
      <c r="D14" s="182">
        <f>'2 - Conta Consol AP'!K14</f>
        <v>2024.3122447645085</v>
      </c>
      <c r="E14" s="182">
        <f>'2 - Conta Consol AP'!Q14</f>
        <v>3018.7799533796315</v>
      </c>
      <c r="F14" s="182">
        <v>1198.2337428879091</v>
      </c>
      <c r="G14" s="182">
        <f t="shared" si="0"/>
        <v>994.467708615123</v>
      </c>
      <c r="H14" s="1386">
        <v>65.686790011493073</v>
      </c>
      <c r="I14" s="1386">
        <f t="shared" si="1"/>
        <v>49.126201315391</v>
      </c>
      <c r="J14" s="182">
        <f t="shared" si="2"/>
        <v>1.1838023614059243</v>
      </c>
      <c r="K14" s="213"/>
      <c r="L14" s="214"/>
      <c r="M14" s="212"/>
      <c r="N14" s="212"/>
      <c r="O14" s="212"/>
      <c r="P14" s="212"/>
      <c r="Q14" s="212"/>
      <c r="R14" s="212"/>
      <c r="S14" s="212"/>
      <c r="T14" s="212"/>
    </row>
    <row r="15" spans="2:20" ht="15" customHeight="1">
      <c r="C15" s="713" t="str">
        <f>IF(Indice_index!$Z$1=1,"Outras receitas correntes","Other current revenue")</f>
        <v>Other current revenue</v>
      </c>
      <c r="D15" s="182">
        <f>'2 - Conta Consol AP'!K17</f>
        <v>9207.1791964516688</v>
      </c>
      <c r="E15" s="182">
        <f>'2 - Conta Consol AP'!Q17</f>
        <v>11061.843518775258</v>
      </c>
      <c r="F15" s="182">
        <v>1289.6916579288027</v>
      </c>
      <c r="G15" s="182">
        <f t="shared" si="0"/>
        <v>1854.6643223235897</v>
      </c>
      <c r="H15" s="1386">
        <v>15.579468159943616</v>
      </c>
      <c r="I15" s="1386">
        <f t="shared" si="1"/>
        <v>20.143675742059568</v>
      </c>
      <c r="J15" s="182">
        <f t="shared" si="2"/>
        <v>2.2077700315070801</v>
      </c>
      <c r="K15" s="213"/>
      <c r="L15" s="214"/>
      <c r="M15" s="212"/>
      <c r="N15" s="212"/>
      <c r="O15" s="212"/>
      <c r="P15" s="212"/>
      <c r="Q15" s="212"/>
      <c r="R15" s="212"/>
      <c r="S15" s="212"/>
      <c r="T15" s="212"/>
    </row>
    <row r="16" spans="2:20" ht="15" customHeight="1">
      <c r="C16" s="713" t="str">
        <f>IF(Indice_index!$Z$1=1,"Diferenças de consolidação","Consolidation differences")</f>
        <v>Consolidation differences</v>
      </c>
      <c r="D16" s="182">
        <f>'2 - Conta Consol AP'!K18</f>
        <v>19.845502390002611</v>
      </c>
      <c r="E16" s="182">
        <f>'2 - Conta Consol AP'!Q18</f>
        <v>41.848837330001693</v>
      </c>
      <c r="F16" s="182">
        <v>-9.4420519199993986</v>
      </c>
      <c r="G16" s="182">
        <f t="shared" si="0"/>
        <v>22.003334939999082</v>
      </c>
      <c r="H16" s="1386" t="s">
        <v>3</v>
      </c>
      <c r="I16" s="1386" t="s">
        <v>3</v>
      </c>
      <c r="J16" s="182">
        <f t="shared" si="2"/>
        <v>2.6192504427368278E-2</v>
      </c>
      <c r="K16" s="213"/>
      <c r="L16" s="214"/>
      <c r="M16" s="212"/>
      <c r="N16" s="212"/>
      <c r="O16" s="212"/>
      <c r="P16" s="212"/>
      <c r="Q16" s="212"/>
      <c r="R16" s="212"/>
      <c r="S16" s="212"/>
      <c r="T16" s="212"/>
    </row>
    <row r="17" spans="2:20" s="259" customFormat="1" ht="15" customHeight="1">
      <c r="C17" s="327" t="str">
        <f>IF(Indice_index!$Z$1=1,"Receita de capital","Capital revenue")</f>
        <v>Capital revenue</v>
      </c>
      <c r="D17" s="327">
        <f>'2 - Conta Consol AP'!K19</f>
        <v>1671.3877167036421</v>
      </c>
      <c r="E17" s="327">
        <f>'2 - Conta Consol AP'!Q19</f>
        <v>2104.751918188435</v>
      </c>
      <c r="F17" s="327">
        <v>232.41614641930846</v>
      </c>
      <c r="G17" s="327">
        <f t="shared" si="0"/>
        <v>433.36420148479283</v>
      </c>
      <c r="H17" s="1360">
        <v>15.601979676066907</v>
      </c>
      <c r="I17" s="1360">
        <f>IFERROR(IF(ABS(+G17/D17*100)&gt;500,"-",+G17/D17*100),"-")</f>
        <v>25.928406506390147</v>
      </c>
      <c r="J17" s="327">
        <f t="shared" si="2"/>
        <v>0.51587151661355513</v>
      </c>
      <c r="K17" s="628"/>
      <c r="L17" s="629"/>
      <c r="M17" s="630"/>
      <c r="N17" s="630"/>
      <c r="O17" s="630"/>
      <c r="P17" s="630"/>
      <c r="Q17" s="630"/>
      <c r="R17" s="630"/>
      <c r="S17" s="630"/>
      <c r="T17" s="630"/>
    </row>
    <row r="18" spans="2:20" s="259" customFormat="1" ht="15" customHeight="1">
      <c r="C18" s="713" t="str">
        <f>IF(Indice_index!$Z$1=1,"Venda de bens de investimento","Sale of investment goods")</f>
        <v>Sale of investment goods</v>
      </c>
      <c r="D18" s="182">
        <f>'2 - Conta Consol AP'!K20</f>
        <v>213.62011353844466</v>
      </c>
      <c r="E18" s="182">
        <f>'2 - Conta Consol AP'!Q20</f>
        <v>243.00190228177877</v>
      </c>
      <c r="F18" s="182">
        <v>-22.479898258087729</v>
      </c>
      <c r="G18" s="182">
        <f t="shared" si="0"/>
        <v>29.381788743334113</v>
      </c>
      <c r="H18" s="1386">
        <v>-10.92638297774185</v>
      </c>
      <c r="I18" s="1386">
        <f>IFERROR(IF(ABS(+G18/D18*100)&gt;500,"-",+G18/D18*100),"-")</f>
        <v>13.75422391489664</v>
      </c>
      <c r="J18" s="182">
        <f t="shared" si="2"/>
        <v>3.4975726808793024E-2</v>
      </c>
      <c r="K18" s="628"/>
      <c r="L18" s="629"/>
      <c r="M18" s="630"/>
      <c r="N18" s="630"/>
      <c r="O18" s="630"/>
      <c r="P18" s="630"/>
      <c r="Q18" s="630"/>
      <c r="R18" s="630"/>
      <c r="S18" s="630"/>
      <c r="T18" s="630"/>
    </row>
    <row r="19" spans="2:20" s="259" customFormat="1" ht="15" customHeight="1">
      <c r="C19" s="867" t="str">
        <f>IF(Indice_index!$Z$1=1,"Transferências de Capital","Capital transfers")</f>
        <v>Capital transfers</v>
      </c>
      <c r="D19" s="182">
        <f>'2 - Conta Consol AP'!K21</f>
        <v>1365.7023216075618</v>
      </c>
      <c r="E19" s="182">
        <f>'2 - Conta Consol AP'!Q21</f>
        <v>1822.9805793502442</v>
      </c>
      <c r="F19" s="182">
        <v>288.44306395440526</v>
      </c>
      <c r="G19" s="182">
        <f t="shared" si="0"/>
        <v>457.2782577426824</v>
      </c>
      <c r="H19" s="1386">
        <v>23.787805386913895</v>
      </c>
      <c r="I19" s="1386">
        <f>IFERROR(IF(ABS(+G19/D19*100)&gt;500,"-",+G19/D19*100),"-")</f>
        <v>33.483010939340154</v>
      </c>
      <c r="J19" s="182">
        <f t="shared" si="2"/>
        <v>0.54433852064358756</v>
      </c>
      <c r="K19" s="628"/>
      <c r="L19" s="629"/>
      <c r="M19" s="630"/>
      <c r="N19" s="630"/>
      <c r="O19" s="630"/>
      <c r="P19" s="630"/>
      <c r="Q19" s="630"/>
      <c r="R19" s="630"/>
      <c r="S19" s="630"/>
      <c r="T19" s="630"/>
    </row>
    <row r="20" spans="2:20" s="259" customFormat="1" ht="15" customHeight="1">
      <c r="C20" s="713" t="str">
        <f>IF(Indice_index!$Z$1=1,"Outras receitas de capital","Other capital revenue")</f>
        <v>Other capital revenue</v>
      </c>
      <c r="D20" s="182">
        <f>'2 - Conta Consol AP'!K24</f>
        <v>88.083185577635632</v>
      </c>
      <c r="E20" s="182">
        <f>'2 - Conta Consol AP'!Q24</f>
        <v>33.08606157641178</v>
      </c>
      <c r="F20" s="182">
        <v>-34.223789497009342</v>
      </c>
      <c r="G20" s="182">
        <f t="shared" si="0"/>
        <v>-54.997124001223852</v>
      </c>
      <c r="H20" s="1386">
        <v>-51.356755173378765</v>
      </c>
      <c r="I20" s="1386">
        <f>IFERROR(IF(ABS(+G20/D20*100)&gt;500,"-",+G20/D20*100),"-")</f>
        <v>-62.437710035759252</v>
      </c>
      <c r="J20" s="182">
        <f t="shared" si="2"/>
        <v>-6.5467912833336972E-2</v>
      </c>
      <c r="K20" s="628"/>
      <c r="L20" s="629"/>
      <c r="M20" s="630"/>
      <c r="N20" s="630"/>
      <c r="O20" s="630"/>
      <c r="P20" s="630"/>
      <c r="Q20" s="630"/>
      <c r="R20" s="630"/>
      <c r="S20" s="630"/>
      <c r="T20" s="630"/>
    </row>
    <row r="21" spans="2:20" ht="15" customHeight="1">
      <c r="C21" s="1387" t="str">
        <f>IF(Indice_index!$Z$1=1,"Diferenças de consolidação","Consolidation differences")</f>
        <v>Consolidation differences</v>
      </c>
      <c r="D21" s="182">
        <f>'2 - Conta Consol AP'!K25</f>
        <v>3.9820959800000013</v>
      </c>
      <c r="E21" s="182">
        <f>'2 - Conta Consol AP'!Q25</f>
        <v>5.6833749800004938</v>
      </c>
      <c r="F21" s="182">
        <v>0.67677022000022191</v>
      </c>
      <c r="G21" s="182">
        <f t="shared" si="0"/>
        <v>1.7012790000004925</v>
      </c>
      <c r="H21" s="1386" t="s">
        <v>3</v>
      </c>
      <c r="I21" s="1388" t="s">
        <v>3</v>
      </c>
      <c r="J21" s="182">
        <f t="shared" si="2"/>
        <v>2.025181994511939E-3</v>
      </c>
      <c r="K21" s="213"/>
      <c r="L21" s="214"/>
      <c r="M21" s="212"/>
      <c r="N21" s="212"/>
      <c r="O21" s="212"/>
      <c r="P21" s="212"/>
      <c r="Q21" s="212"/>
      <c r="R21" s="212"/>
      <c r="S21" s="212"/>
      <c r="T21" s="212"/>
    </row>
    <row r="22" spans="2:20" s="611" customFormat="1" ht="4.5" customHeight="1">
      <c r="C22" s="1364"/>
      <c r="D22" s="1389"/>
      <c r="E22" s="1389"/>
      <c r="F22" s="1389"/>
      <c r="G22" s="1389"/>
      <c r="H22" s="1390"/>
      <c r="I22" s="1390"/>
      <c r="J22" s="1389"/>
      <c r="K22" s="213"/>
      <c r="L22" s="214"/>
      <c r="M22" s="212"/>
      <c r="N22" s="212"/>
      <c r="O22" s="613"/>
      <c r="P22" s="613"/>
      <c r="Q22" s="613"/>
      <c r="R22" s="613"/>
      <c r="S22" s="212"/>
      <c r="T22" s="212"/>
    </row>
    <row r="23" spans="2:20" s="259" customFormat="1" ht="15" customHeight="1">
      <c r="C23" s="1391" t="str">
        <f>IF(Indice_index!$Z$1=1,"Receita efetiva","Effective revenue")</f>
        <v>Effective revenue</v>
      </c>
      <c r="D23" s="1391">
        <f>'2 - Conta Consol AP'!K27</f>
        <v>84006.227816107668</v>
      </c>
      <c r="E23" s="1391">
        <f>'2 - Conta Consol AP'!Q27</f>
        <v>91808.426347461296</v>
      </c>
      <c r="F23" s="1391">
        <v>6382.9276964376577</v>
      </c>
      <c r="G23" s="1391">
        <f>+E23-D23</f>
        <v>7802.1985313536279</v>
      </c>
      <c r="H23" s="1392">
        <v>8.5796020487720206</v>
      </c>
      <c r="I23" s="1392">
        <f>IFERROR(IF(ABS(+G23/D23*100)&gt;500,"-",+G23/D23*100),"-")</f>
        <v>9.2876429928896354</v>
      </c>
      <c r="J23" s="1391"/>
      <c r="K23" s="628"/>
      <c r="L23" s="629"/>
      <c r="M23" s="630"/>
      <c r="N23" s="630"/>
      <c r="O23" s="630"/>
      <c r="P23" s="630"/>
      <c r="Q23" s="630"/>
      <c r="R23" s="630"/>
      <c r="S23" s="630"/>
      <c r="T23" s="630"/>
    </row>
    <row r="24" spans="2:20" s="611" customFormat="1" ht="4.5" customHeight="1">
      <c r="C24" s="1364"/>
      <c r="D24" s="1389"/>
      <c r="E24" s="1389"/>
      <c r="F24" s="1389"/>
      <c r="G24" s="1389"/>
      <c r="H24" s="1390"/>
      <c r="I24" s="1390"/>
      <c r="J24" s="1389"/>
      <c r="K24" s="213"/>
      <c r="L24" s="214"/>
      <c r="M24" s="212"/>
      <c r="N24" s="212"/>
      <c r="O24" s="613"/>
      <c r="P24" s="613"/>
      <c r="Q24" s="613"/>
      <c r="R24" s="613"/>
      <c r="S24" s="212"/>
      <c r="T24" s="212"/>
    </row>
    <row r="25" spans="2:20" s="259" customFormat="1" ht="15" customHeight="1">
      <c r="C25" s="327" t="str">
        <f>IF(Indice_index!$Z$1=1,"Despesa corrente","Current expenditure")</f>
        <v>Current expenditure</v>
      </c>
      <c r="D25" s="327">
        <f>'2 - Conta Consol AP'!K29</f>
        <v>87898.345494970228</v>
      </c>
      <c r="E25" s="327">
        <f>'2 - Conta Consol AP'!Q29</f>
        <v>92231.156666240102</v>
      </c>
      <c r="F25" s="327">
        <v>2962.3818540276902</v>
      </c>
      <c r="G25" s="327">
        <f t="shared" ref="G25:G37" si="3">+E25-D25</f>
        <v>4332.8111712698737</v>
      </c>
      <c r="H25" s="1360">
        <v>3.8036819051651376</v>
      </c>
      <c r="I25" s="1360">
        <f t="shared" ref="I25:I31" si="4">IFERROR(IF(ABS(+G25/D25*100)&gt;500,"-",+G25/D25*100),"-")</f>
        <v>4.9293432622321758</v>
      </c>
      <c r="J25" s="327">
        <f>+G25/$D$39*100</f>
        <v>4.5293033805204574</v>
      </c>
      <c r="K25" s="628"/>
      <c r="L25" s="629"/>
      <c r="M25" s="630"/>
      <c r="N25" s="630"/>
      <c r="O25" s="630"/>
      <c r="P25" s="630"/>
      <c r="Q25" s="630"/>
      <c r="R25" s="630"/>
      <c r="S25" s="630"/>
      <c r="T25" s="630"/>
    </row>
    <row r="26" spans="2:20" ht="15" customHeight="1">
      <c r="C26" s="755" t="str">
        <f>IF(Indice_index!$Z$1=1,"Despesas com o pessoal","Compensation of employees")</f>
        <v>Compensation of employees</v>
      </c>
      <c r="D26" s="182">
        <f>'2 - Conta Consol AP'!K30</f>
        <v>22472.527055180421</v>
      </c>
      <c r="E26" s="182">
        <f>'2 - Conta Consol AP'!Q30</f>
        <v>23478.889918245652</v>
      </c>
      <c r="F26" s="182">
        <v>937.70518682905822</v>
      </c>
      <c r="G26" s="182">
        <f t="shared" si="3"/>
        <v>1006.3628630652311</v>
      </c>
      <c r="H26" s="1386">
        <v>4.5949945547232138</v>
      </c>
      <c r="I26" s="1386">
        <f t="shared" si="4"/>
        <v>4.4781917965618465</v>
      </c>
      <c r="J26" s="182">
        <f>+G26/$D$39*100</f>
        <v>1.0520012383497637</v>
      </c>
      <c r="K26" s="213"/>
      <c r="L26" s="214"/>
      <c r="M26" s="212"/>
      <c r="N26" s="212"/>
      <c r="O26" s="212"/>
      <c r="P26" s="212"/>
      <c r="Q26" s="212"/>
      <c r="R26" s="212"/>
      <c r="S26" s="212"/>
      <c r="T26" s="212"/>
    </row>
    <row r="27" spans="2:20" ht="15" customHeight="1">
      <c r="C27" s="755" t="str">
        <f>IF(Indice_index!$Z$1=1,"Aquisição de bens e serviços","Purchase of goods and services")</f>
        <v>Purchase of goods and services</v>
      </c>
      <c r="D27" s="182">
        <f>'2 - Conta Consol AP'!K34</f>
        <v>13387.314302264154</v>
      </c>
      <c r="E27" s="182">
        <f>'2 - Conta Consol AP'!Q34</f>
        <v>14745.128349726194</v>
      </c>
      <c r="F27" s="182">
        <v>660.71489308351011</v>
      </c>
      <c r="G27" s="182">
        <f t="shared" si="3"/>
        <v>1357.8140474620395</v>
      </c>
      <c r="H27" s="1386">
        <v>5.9381794371709296</v>
      </c>
      <c r="I27" s="1386">
        <f t="shared" si="4"/>
        <v>10.142542535453856</v>
      </c>
      <c r="J27" s="182">
        <f>+G27/$D$39*100</f>
        <v>1.4193906709037434</v>
      </c>
      <c r="K27" s="213"/>
      <c r="L27" s="214"/>
      <c r="M27" s="212"/>
      <c r="N27" s="212"/>
      <c r="O27" s="212"/>
      <c r="P27" s="212"/>
      <c r="Q27" s="212"/>
      <c r="R27" s="212"/>
      <c r="S27" s="212"/>
      <c r="T27" s="212"/>
    </row>
    <row r="28" spans="2:20" s="611" customFormat="1" ht="15" customHeight="1">
      <c r="B28" s="140"/>
      <c r="C28" s="755" t="str">
        <f>IF(Indice_index!$Z$1=1,"Juros e outros encargos","Interests and other charges")</f>
        <v>Interests and other charges</v>
      </c>
      <c r="D28" s="182">
        <f>'2 - Conta Consol AP'!K35</f>
        <v>7595.6318128264747</v>
      </c>
      <c r="E28" s="182">
        <f>'2 - Conta Consol AP'!Q35</f>
        <v>6956.093630490197</v>
      </c>
      <c r="F28" s="182">
        <v>-573.68118113749915</v>
      </c>
      <c r="G28" s="182">
        <f t="shared" si="3"/>
        <v>-639.53818233627771</v>
      </c>
      <c r="H28" s="1386">
        <v>-7.8741582694897341</v>
      </c>
      <c r="I28" s="1386">
        <f t="shared" si="4"/>
        <v>-8.4198154688897926</v>
      </c>
      <c r="J28" s="182">
        <f>+G28/$D$39*100</f>
        <v>-0.668541124163195</v>
      </c>
      <c r="K28" s="213"/>
      <c r="L28" s="214"/>
      <c r="M28" s="212"/>
      <c r="N28" s="212"/>
      <c r="O28" s="613"/>
      <c r="P28" s="613"/>
      <c r="Q28" s="613"/>
      <c r="R28" s="613"/>
      <c r="S28" s="212"/>
      <c r="T28" s="212"/>
    </row>
    <row r="29" spans="2:20" ht="15" customHeight="1">
      <c r="C29" s="755" t="str">
        <f>IF(Indice_index!$Z$1=1,"Transferências correntes","Current transfers")</f>
        <v>Current transfers</v>
      </c>
      <c r="D29" s="182">
        <f>'2 - Conta Consol AP'!K36</f>
        <v>41910.0552378785</v>
      </c>
      <c r="E29" s="182">
        <f>'2 - Conta Consol AP'!Q36</f>
        <v>43813.579122051087</v>
      </c>
      <c r="F29" s="182">
        <v>1533.1774621436707</v>
      </c>
      <c r="G29" s="182">
        <f t="shared" si="3"/>
        <v>1903.5238841725877</v>
      </c>
      <c r="H29" s="1386">
        <v>4.1509250513701108</v>
      </c>
      <c r="I29" s="1386">
        <f t="shared" si="4"/>
        <v>4.5419264502714709</v>
      </c>
      <c r="J29" s="182">
        <f>+G29/$D$39*100</f>
        <v>1.9898483508011906</v>
      </c>
      <c r="K29" s="213"/>
      <c r="L29" s="214"/>
      <c r="M29" s="212"/>
      <c r="N29" s="212"/>
      <c r="O29" s="212"/>
      <c r="P29" s="212"/>
      <c r="Q29" s="212"/>
      <c r="R29" s="212"/>
      <c r="S29" s="212"/>
      <c r="T29" s="212"/>
    </row>
    <row r="30" spans="2:20" ht="15" customHeight="1">
      <c r="C30" s="755" t="str">
        <f>IF(Indice_index!$Z$1=1,"Subsídios","Subsidies")</f>
        <v>Subsidies</v>
      </c>
      <c r="D30" s="182">
        <f>'2 - Conta Consol AP'!K39</f>
        <v>1666.2404923707013</v>
      </c>
      <c r="E30" s="182">
        <f>'2 - Conta Consol AP'!Q39</f>
        <v>2213.8777883623884</v>
      </c>
      <c r="F30" s="182">
        <v>353.09479076125922</v>
      </c>
      <c r="G30" s="182">
        <f t="shared" si="3"/>
        <v>547.6372959916871</v>
      </c>
      <c r="H30" s="1386">
        <v>24.428887262867686</v>
      </c>
      <c r="I30" s="1386">
        <f t="shared" si="4"/>
        <v>32.866641910287342</v>
      </c>
      <c r="J30" s="182">
        <f t="shared" ref="J30:J35" si="5">+G30/$D$39*100</f>
        <v>0.57247254911117273</v>
      </c>
      <c r="K30" s="213"/>
      <c r="L30" s="214"/>
      <c r="M30" s="212"/>
      <c r="N30" s="212"/>
      <c r="O30" s="212"/>
      <c r="P30" s="212"/>
      <c r="Q30" s="212"/>
      <c r="R30" s="212"/>
      <c r="S30" s="212"/>
      <c r="T30" s="212"/>
    </row>
    <row r="31" spans="2:20" ht="15" customHeight="1">
      <c r="C31" s="755" t="str">
        <f>IF(Indice_index!$Z$1=1,"Outras despesas correntes","Other current expenditures")</f>
        <v>Other current expenditures</v>
      </c>
      <c r="D31" s="182">
        <f>'2 - Conta Consol AP'!K40</f>
        <v>802.76789795997058</v>
      </c>
      <c r="E31" s="182">
        <f>'2 - Conta Consol AP'!Q40</f>
        <v>763.85540931458831</v>
      </c>
      <c r="F31" s="182">
        <v>-47.318364222325954</v>
      </c>
      <c r="G31" s="182">
        <f t="shared" si="3"/>
        <v>-38.912488645382268</v>
      </c>
      <c r="H31" s="1386">
        <v>-7.2100467521595881</v>
      </c>
      <c r="I31" s="1386">
        <f t="shared" si="4"/>
        <v>-4.8472900752843273</v>
      </c>
      <c r="J31" s="182">
        <f t="shared" si="5"/>
        <v>-4.0677163024009408E-2</v>
      </c>
      <c r="K31" s="213"/>
      <c r="L31" s="214"/>
      <c r="M31" s="212"/>
      <c r="N31" s="212"/>
      <c r="O31" s="212"/>
      <c r="P31" s="212"/>
      <c r="Q31" s="212"/>
      <c r="R31" s="212"/>
      <c r="S31" s="212"/>
      <c r="T31" s="212"/>
    </row>
    <row r="32" spans="2:20" ht="15" customHeight="1">
      <c r="C32" s="755" t="str">
        <f>IF(Indice_index!$Z$1=1,"Diferenças de consolidação","Consolidation differences")</f>
        <v>Consolidation differences</v>
      </c>
      <c r="D32" s="182">
        <f>'2 - Conta Consol AP'!K41</f>
        <v>63.80869649000374</v>
      </c>
      <c r="E32" s="182">
        <f>'2 - Conta Consol AP'!Q41</f>
        <v>259.73244804999302</v>
      </c>
      <c r="F32" s="182">
        <v>98.689066570017133</v>
      </c>
      <c r="G32" s="182">
        <f t="shared" si="3"/>
        <v>195.92375155998928</v>
      </c>
      <c r="H32" s="1386" t="s">
        <v>3</v>
      </c>
      <c r="I32" s="1388" t="s">
        <v>3</v>
      </c>
      <c r="J32" s="182">
        <f t="shared" si="5"/>
        <v>0.20480885854179245</v>
      </c>
      <c r="K32" s="213"/>
      <c r="L32" s="214"/>
      <c r="M32" s="212"/>
      <c r="N32" s="212"/>
      <c r="O32" s="212"/>
      <c r="P32" s="212"/>
      <c r="Q32" s="212"/>
      <c r="R32" s="212"/>
      <c r="S32" s="212"/>
      <c r="T32" s="212"/>
    </row>
    <row r="33" spans="2:20" s="259" customFormat="1" ht="15" customHeight="1">
      <c r="C33" s="327" t="str">
        <f>IF(Indice_index!$Z$1=1,"Despesa de capital","Capital expenditure")</f>
        <v>Capital expenditure</v>
      </c>
      <c r="D33" s="327">
        <f>'2 - Conta Consol AP'!K42</f>
        <v>7763.4110105521486</v>
      </c>
      <c r="E33" s="327">
        <f>'2 - Conta Consol AP'!Q42</f>
        <v>8371.2815900472833</v>
      </c>
      <c r="F33" s="327">
        <v>1201.3667373990263</v>
      </c>
      <c r="G33" s="327">
        <f t="shared" si="3"/>
        <v>607.87057949513473</v>
      </c>
      <c r="H33" s="1360">
        <v>22.307768290414941</v>
      </c>
      <c r="I33" s="1360">
        <f>IFERROR(IF(ABS(+G33/D33*100)&gt;500,"-",+G33/D33*100),"-")</f>
        <v>7.8299420018972024</v>
      </c>
      <c r="J33" s="327">
        <f t="shared" si="5"/>
        <v>0.63543740121481407</v>
      </c>
      <c r="K33" s="628"/>
      <c r="L33" s="629"/>
      <c r="M33" s="630"/>
      <c r="N33" s="630"/>
      <c r="O33" s="630"/>
      <c r="P33" s="630"/>
      <c r="Q33" s="630"/>
      <c r="R33" s="630"/>
      <c r="S33" s="630"/>
      <c r="T33" s="630"/>
    </row>
    <row r="34" spans="2:20" ht="15" customHeight="1">
      <c r="C34" s="755" t="str">
        <f>IF(Indice_index!$Z$1=1,"Investimentos","Investments")</f>
        <v>Investments</v>
      </c>
      <c r="D34" s="182">
        <f>'2 - Conta Consol AP'!K43</f>
        <v>5187.2886587380208</v>
      </c>
      <c r="E34" s="182">
        <f>'2 - Conta Consol AP'!Q43</f>
        <v>6366.6755752712243</v>
      </c>
      <c r="F34" s="182">
        <v>899.06151851753293</v>
      </c>
      <c r="G34" s="182">
        <f t="shared" si="3"/>
        <v>1179.3869165332035</v>
      </c>
      <c r="H34" s="1386">
        <v>21.604356483716771</v>
      </c>
      <c r="I34" s="1386">
        <f>IFERROR(IF(ABS(+G34/D34*100)&gt;500,"-",+G34/D34*100),"-")</f>
        <v>22.736095754889575</v>
      </c>
      <c r="J34" s="182">
        <f t="shared" si="5"/>
        <v>1.2328719015995904</v>
      </c>
      <c r="K34" s="213"/>
      <c r="L34" s="214"/>
      <c r="M34" s="212"/>
      <c r="N34" s="212"/>
      <c r="O34" s="212"/>
      <c r="P34" s="212"/>
      <c r="Q34" s="212"/>
      <c r="R34" s="212"/>
      <c r="S34" s="212"/>
      <c r="T34" s="212"/>
    </row>
    <row r="35" spans="2:20" ht="15" customHeight="1">
      <c r="C35" s="755" t="str">
        <f>IF(Indice_index!$Z$1=1,"Transferências de capital","Capital transfers")</f>
        <v>Capital transfers</v>
      </c>
      <c r="D35" s="182">
        <f>'2 - Conta Consol AP'!K44</f>
        <v>2454.1641924315318</v>
      </c>
      <c r="E35" s="182">
        <f>'2 - Conta Consol AP'!Q44</f>
        <v>1787.7779459556391</v>
      </c>
      <c r="F35" s="182">
        <v>325.74156696217392</v>
      </c>
      <c r="G35" s="182">
        <f t="shared" si="3"/>
        <v>-666.38624647589268</v>
      </c>
      <c r="H35" s="1386">
        <v>29.151736716411641</v>
      </c>
      <c r="I35" s="1386">
        <f>IFERROR(IF(ABS(+G35/D35*100)&gt;500,"-",+G35/D35*100),"-")</f>
        <v>-27.153286994039789</v>
      </c>
      <c r="J35" s="182">
        <f t="shared" si="5"/>
        <v>-0.6966067431946259</v>
      </c>
      <c r="K35" s="213"/>
      <c r="L35" s="214"/>
      <c r="M35" s="212"/>
      <c r="N35" s="212"/>
      <c r="O35" s="212"/>
      <c r="P35" s="212"/>
      <c r="Q35" s="212"/>
      <c r="R35" s="212"/>
      <c r="S35" s="212"/>
      <c r="T35" s="212"/>
    </row>
    <row r="36" spans="2:20" ht="15" customHeight="1">
      <c r="C36" s="755" t="str">
        <f>IF(Indice_index!$Z$1=1,"Outras despesas de capital","Other capital expenditures")</f>
        <v>Other capital expenditures</v>
      </c>
      <c r="D36" s="182">
        <f>'2 - Conta Consol AP'!K47</f>
        <v>97.437479922596012</v>
      </c>
      <c r="E36" s="182">
        <f>'2 - Conta Consol AP'!Q47</f>
        <v>157.3823211804195</v>
      </c>
      <c r="F36" s="182">
        <v>-30.399395330680989</v>
      </c>
      <c r="G36" s="182">
        <f t="shared" si="3"/>
        <v>59.944841257823484</v>
      </c>
      <c r="H36" s="1386">
        <v>-35.178440889661886</v>
      </c>
      <c r="I36" s="1386">
        <f>IFERROR(IF(ABS(+G36/D36*100)&gt;500,"-",+G36/D36*100),"-")</f>
        <v>61.521337893224924</v>
      </c>
      <c r="J36" s="182">
        <f>+G36/$D$39*100</f>
        <v>6.2663329053928643E-2</v>
      </c>
      <c r="K36" s="213"/>
      <c r="L36" s="214"/>
      <c r="M36" s="212"/>
      <c r="N36" s="212"/>
      <c r="O36" s="212"/>
      <c r="P36" s="212"/>
      <c r="Q36" s="212"/>
      <c r="R36" s="212"/>
      <c r="S36" s="212"/>
      <c r="T36" s="212"/>
    </row>
    <row r="37" spans="2:20" ht="15" customHeight="1">
      <c r="C37" s="755" t="str">
        <f>IF(Indice_index!$Z$1=1,"Diferenças de consolidação","Consolidation differences")</f>
        <v>Consolidation differences</v>
      </c>
      <c r="D37" s="182">
        <f>'2 - Conta Consol AP'!K48</f>
        <v>24.520679459999883</v>
      </c>
      <c r="E37" s="182">
        <f>'2 - Conta Consol AP'!Q48</f>
        <v>59.445747640000008</v>
      </c>
      <c r="F37" s="182">
        <v>6.9630472500005283</v>
      </c>
      <c r="G37" s="182">
        <f t="shared" si="3"/>
        <v>34.925068180000125</v>
      </c>
      <c r="H37" s="1386" t="s">
        <v>3</v>
      </c>
      <c r="I37" s="1388" t="s">
        <v>3</v>
      </c>
      <c r="J37" s="182">
        <f>+G37/$D$39*100</f>
        <v>3.6508913755920802E-2</v>
      </c>
      <c r="K37" s="213"/>
      <c r="L37" s="214"/>
      <c r="M37" s="212"/>
      <c r="N37" s="212"/>
      <c r="O37" s="212"/>
      <c r="P37" s="212"/>
      <c r="Q37" s="212"/>
      <c r="R37" s="212"/>
      <c r="S37" s="212"/>
      <c r="T37" s="212"/>
    </row>
    <row r="38" spans="2:20" ht="4.5" customHeight="1">
      <c r="B38" s="611"/>
      <c r="C38" s="740"/>
      <c r="D38" s="1393"/>
      <c r="E38" s="1393"/>
      <c r="F38" s="1393"/>
      <c r="G38" s="1393"/>
      <c r="H38" s="816"/>
      <c r="I38" s="816"/>
      <c r="J38" s="1393"/>
      <c r="K38" s="213"/>
      <c r="L38" s="214"/>
      <c r="M38" s="212"/>
      <c r="N38" s="212"/>
      <c r="O38" s="212"/>
      <c r="P38" s="212"/>
      <c r="Q38" s="212"/>
      <c r="R38" s="212"/>
      <c r="S38" s="212"/>
      <c r="T38" s="212"/>
    </row>
    <row r="39" spans="2:20" s="259" customFormat="1" ht="15" customHeight="1">
      <c r="C39" s="1391" t="str">
        <f>IF(Indice_index!$Z$1=1,"Despesa efetiva","Effective expenditure")</f>
        <v>Effective expenditure</v>
      </c>
      <c r="D39" s="1391">
        <f>'2 - Conta Consol AP'!K50</f>
        <v>95661.756505522382</v>
      </c>
      <c r="E39" s="1391">
        <f>'2 - Conta Consol AP'!Q50</f>
        <v>100602.43825628738</v>
      </c>
      <c r="F39" s="1391">
        <v>4163.7485914267163</v>
      </c>
      <c r="G39" s="1391">
        <f>+E39-D39</f>
        <v>4940.6817507649976</v>
      </c>
      <c r="H39" s="1392">
        <v>5.0004562071485026</v>
      </c>
      <c r="I39" s="1392">
        <f>IFERROR(IF(ABS(+G39/D39*100)&gt;500,"-",+G39/D39*100),"-")</f>
        <v>5.1647407817352597</v>
      </c>
      <c r="J39" s="1391"/>
      <c r="K39" s="628"/>
      <c r="L39" s="629"/>
      <c r="M39" s="630"/>
      <c r="N39" s="630"/>
      <c r="O39" s="630"/>
      <c r="P39" s="630"/>
      <c r="Q39" s="630"/>
      <c r="R39" s="630"/>
      <c r="S39" s="630"/>
      <c r="T39" s="630"/>
    </row>
    <row r="40" spans="2:20" ht="4.5" customHeight="1">
      <c r="B40" s="611"/>
      <c r="C40" s="755"/>
      <c r="D40" s="340"/>
      <c r="E40" s="340"/>
      <c r="F40" s="340"/>
      <c r="G40" s="340"/>
      <c r="H40" s="1394"/>
      <c r="I40" s="1394"/>
      <c r="J40" s="340"/>
      <c r="K40" s="213"/>
      <c r="L40" s="214"/>
      <c r="M40" s="212"/>
      <c r="N40" s="212"/>
      <c r="O40" s="212"/>
      <c r="P40" s="212"/>
      <c r="Q40" s="212"/>
      <c r="R40" s="212"/>
      <c r="S40" s="212"/>
      <c r="T40" s="212"/>
    </row>
    <row r="41" spans="2:20" s="259" customFormat="1" ht="15" customHeight="1">
      <c r="C41" s="1391" t="str">
        <f>IF(Indice_index!$Z$1=1,"Saldo global","Overall balance")</f>
        <v>Overall balance</v>
      </c>
      <c r="D41" s="1391">
        <f>D23-D39</f>
        <v>-11655.528689414714</v>
      </c>
      <c r="E41" s="1391">
        <f>E23-E39</f>
        <v>-8794.0119088260835</v>
      </c>
      <c r="F41" s="1391">
        <v>2219.1791050109414</v>
      </c>
      <c r="G41" s="1391">
        <f>+E41-D41</f>
        <v>2861.5167805886304</v>
      </c>
      <c r="H41" s="1392" t="s">
        <v>3</v>
      </c>
      <c r="I41" s="1392"/>
      <c r="J41" s="1391"/>
      <c r="K41" s="628"/>
      <c r="L41" s="629"/>
      <c r="M41" s="630"/>
      <c r="N41" s="630"/>
      <c r="O41" s="630"/>
      <c r="P41" s="630"/>
      <c r="Q41" s="630"/>
      <c r="R41" s="630"/>
      <c r="S41" s="630"/>
      <c r="T41" s="630"/>
    </row>
    <row r="42" spans="2:20" s="611" customFormat="1" ht="15" customHeight="1">
      <c r="B42" s="140"/>
      <c r="C42" s="715" t="str">
        <f>IF(Indice_index!$Z$1=1,"Despesa primária","Primary expenditure")</f>
        <v>Primary expenditure</v>
      </c>
      <c r="D42" s="718">
        <f>D39-D28</f>
        <v>88066.124692695914</v>
      </c>
      <c r="E42" s="718">
        <f>E39-E28</f>
        <v>93646.344625797181</v>
      </c>
      <c r="F42" s="718">
        <v>4737.4297725642155</v>
      </c>
      <c r="G42" s="718">
        <f>+E42-D42</f>
        <v>5580.2199331012671</v>
      </c>
      <c r="H42" s="825">
        <v>6.2349570051815277</v>
      </c>
      <c r="I42" s="825">
        <f>IFERROR(IF(ABS(+G42/D42*100)&gt;500,"-",+G42/D42*100),"-")</f>
        <v>6.3363977381465082</v>
      </c>
      <c r="J42" s="718"/>
      <c r="K42" s="213"/>
      <c r="L42" s="214"/>
      <c r="M42" s="212"/>
      <c r="N42" s="212"/>
      <c r="O42" s="212"/>
      <c r="P42" s="212"/>
      <c r="Q42" s="212"/>
      <c r="R42" s="212"/>
      <c r="S42" s="212"/>
      <c r="T42" s="212"/>
    </row>
    <row r="43" spans="2:20" ht="15" customHeight="1">
      <c r="C43" s="715" t="str">
        <f>IF(Indice_index!$Z$1=1,"Saldo corrente","Current balance")</f>
        <v>Current balance</v>
      </c>
      <c r="D43" s="718">
        <f>D9-D25</f>
        <v>-5563.5053955662006</v>
      </c>
      <c r="E43" s="718">
        <f>E9-E25</f>
        <v>-2527.4822369672474</v>
      </c>
      <c r="F43" s="718">
        <v>3188.129695990659</v>
      </c>
      <c r="G43" s="718">
        <f>+E43-D43</f>
        <v>3036.0231585989532</v>
      </c>
      <c r="H43" s="825" t="s">
        <v>3</v>
      </c>
      <c r="I43" s="825"/>
      <c r="J43" s="718"/>
      <c r="K43" s="213"/>
      <c r="L43" s="214"/>
      <c r="M43" s="212"/>
      <c r="N43" s="212"/>
      <c r="O43" s="212"/>
      <c r="P43" s="212"/>
      <c r="Q43" s="212"/>
      <c r="R43" s="212"/>
      <c r="S43" s="212"/>
      <c r="T43" s="212"/>
    </row>
    <row r="44" spans="2:20" s="611" customFormat="1" ht="15" customHeight="1">
      <c r="B44" s="140"/>
      <c r="C44" s="715" t="str">
        <f>IF(Indice_index!$Z$1=1,"Saldo de capital","Capital balance")</f>
        <v>Capital balance</v>
      </c>
      <c r="D44" s="182">
        <f>D17-D33</f>
        <v>-6092.023293848506</v>
      </c>
      <c r="E44" s="182">
        <f>E17-E33</f>
        <v>-6266.5296718588488</v>
      </c>
      <c r="F44" s="182">
        <v>-968.95059097971784</v>
      </c>
      <c r="G44" s="182">
        <f>+E44-D44</f>
        <v>-174.50637801034281</v>
      </c>
      <c r="H44" s="1386" t="s">
        <v>3</v>
      </c>
      <c r="I44" s="1386"/>
      <c r="J44" s="182"/>
      <c r="K44" s="213"/>
      <c r="L44" s="214"/>
      <c r="M44" s="212"/>
      <c r="N44" s="212"/>
      <c r="O44" s="212"/>
      <c r="P44" s="212"/>
      <c r="Q44" s="212"/>
      <c r="R44" s="212"/>
      <c r="S44" s="212"/>
      <c r="T44" s="212"/>
    </row>
    <row r="45" spans="2:20" ht="15" customHeight="1">
      <c r="B45" s="171"/>
      <c r="C45" s="1395" t="str">
        <f>IF(Indice_index!$Z$1=1,"Saldo primário","Primary balance")</f>
        <v>Primary balance</v>
      </c>
      <c r="D45" s="1396">
        <f>D28+D41</f>
        <v>-4059.8968765882391</v>
      </c>
      <c r="E45" s="1396">
        <f>E28+E41</f>
        <v>-1837.9182783358865</v>
      </c>
      <c r="F45" s="1396">
        <v>1645.4979238734422</v>
      </c>
      <c r="G45" s="1396">
        <f>+E45-D45</f>
        <v>2221.9785982523526</v>
      </c>
      <c r="H45" s="1396" t="s">
        <v>3</v>
      </c>
      <c r="I45" s="1396"/>
      <c r="J45" s="1396"/>
      <c r="K45" s="213"/>
      <c r="L45" s="214"/>
      <c r="M45" s="212"/>
      <c r="N45" s="212"/>
      <c r="O45" s="212"/>
      <c r="P45" s="212"/>
      <c r="Q45" s="212"/>
      <c r="R45" s="212"/>
      <c r="S45" s="212"/>
      <c r="T45" s="212"/>
    </row>
    <row r="46" spans="2:20" ht="15" customHeight="1">
      <c r="C46" s="1397" t="str">
        <f>IF(Indice_index!$Z$1=1,"Nota:","Note:")</f>
        <v>Note:</v>
      </c>
      <c r="D46" s="1380"/>
      <c r="E46" s="1380"/>
      <c r="F46" s="1380"/>
      <c r="G46" s="1380"/>
      <c r="H46" s="1380"/>
      <c r="I46" s="1380"/>
      <c r="J46" s="1380"/>
      <c r="K46" s="213"/>
      <c r="L46" s="214"/>
      <c r="M46" s="212"/>
      <c r="N46" s="212"/>
      <c r="O46" s="212"/>
      <c r="P46" s="212"/>
      <c r="Q46" s="212"/>
      <c r="R46" s="212"/>
      <c r="S46" s="212"/>
      <c r="T46" s="212"/>
    </row>
    <row r="47" spans="2:20" ht="36.75" customHeight="1">
      <c r="C47" s="1548" t="str">
        <f>IF(Indice_index!$Z$1=1,"Os valores apresentados em dezembro de 2020 para os subsetores Estado, Serviços e Fundos Autónomos e Segurança Social dizem respeito à Conta Geral do Estado de 2020,","The figures presented in December 2020 for the subsectors State, Services and Autonomous Funds and Social Security refer to the 2020 General State Accounts (CGE 2020), ")&amp;IF(Indice_index!$Z$1=1," enquanto que para a Administração Regional diferem dos apresentados na CGE 2020 por refletirem informação mais atualizada, designadamente a disponibilizada nas Contas de Gerência de 2020.","while for Regional Administration subsector, differ from those presented in the 2020 CGE report, because they reflect the most up-to-date available information in the 2020 Final Accounts.")</f>
        <v>The figures presented in December 2020 for the subsectors State, Services and Autonomous Funds and Social Security refer to the 2020 General State Accounts (CGE 2020), while for Regional Administration subsector, differ from those presented in the 2020 CGE report, because they reflect the most up-to-date available information in the 2020 Final Accounts.</v>
      </c>
      <c r="D47" s="1548"/>
      <c r="E47" s="1548"/>
      <c r="F47" s="1548"/>
      <c r="G47" s="1548"/>
      <c r="H47" s="1548"/>
      <c r="I47" s="1548"/>
      <c r="J47" s="1548"/>
      <c r="K47" s="213"/>
      <c r="L47" s="214"/>
      <c r="M47" s="212"/>
      <c r="N47" s="212"/>
      <c r="O47" s="212"/>
      <c r="P47" s="212"/>
      <c r="Q47" s="212"/>
      <c r="R47" s="212"/>
      <c r="S47" s="212"/>
      <c r="T47" s="212"/>
    </row>
    <row r="48" spans="2:20" ht="13.5" customHeight="1">
      <c r="C48" s="1398" t="str">
        <f>IF(Indice_index!$Z$1=1,"Fonte: Direção-Geral do Orçamento","Source: Budget General Directorate")</f>
        <v>Source: Budget General Directorate</v>
      </c>
      <c r="D48" s="1379"/>
      <c r="E48" s="1379"/>
      <c r="F48" s="1379"/>
      <c r="G48" s="1379"/>
      <c r="H48" s="1379"/>
      <c r="I48" s="1379"/>
      <c r="J48" s="1379"/>
      <c r="K48" s="213"/>
      <c r="L48" s="214"/>
      <c r="M48" s="212"/>
      <c r="N48" s="212"/>
      <c r="O48" s="212"/>
      <c r="P48" s="212"/>
      <c r="Q48" s="212"/>
      <c r="R48" s="212"/>
      <c r="S48" s="212"/>
      <c r="T48" s="212"/>
    </row>
    <row r="49" spans="2:20" s="171" customFormat="1" ht="13.5" customHeight="1">
      <c r="B49" s="140"/>
      <c r="C49" s="114"/>
      <c r="D49" s="1380"/>
      <c r="E49" s="1380"/>
      <c r="F49" s="1380"/>
      <c r="G49" s="1380"/>
      <c r="H49" s="1380"/>
      <c r="I49" s="1380"/>
      <c r="J49" s="1380"/>
      <c r="K49" s="213"/>
      <c r="L49" s="214"/>
      <c r="M49" s="212"/>
      <c r="N49" s="212"/>
      <c r="O49" s="212"/>
      <c r="P49" s="212"/>
      <c r="Q49" s="212"/>
      <c r="R49" s="212"/>
      <c r="S49" s="212"/>
      <c r="T49" s="212"/>
    </row>
  </sheetData>
  <mergeCells count="11">
    <mergeCell ref="C47:J47"/>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90" orientation="portrait" r:id="rId1"/>
  <headerFooter differentOddEven="1">
    <oddFooter>&amp;R&amp;G</oddFooter>
    <evenFooter>&amp;L&amp;G</evenFooter>
  </headerFooter>
  <ignoredErrors>
    <ignoredError sqref="D7:E7 D8:E8 J8 E6 J7" numberStoredAsText="1"/>
    <ignoredError sqref="C30:C35 C13:C14 C15:C19 C48:J48 D47:J47 D49:J49 C11:C12 C46:J46"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B2" sqref="B2"/>
    </sheetView>
  </sheetViews>
  <sheetFormatPr defaultColWidth="9.140625" defaultRowHeight="12.75"/>
  <cols>
    <col min="1" max="1" width="2.5703125" style="194" customWidth="1"/>
    <col min="2" max="2" width="5.140625" style="194" customWidth="1"/>
    <col min="3" max="3" width="23.5703125" style="194" customWidth="1"/>
    <col min="4" max="4" width="1" style="194" customWidth="1"/>
    <col min="5" max="5" width="9.42578125" style="194" customWidth="1"/>
    <col min="6" max="6" width="8.5703125" style="194" customWidth="1"/>
    <col min="7" max="7" width="1" style="194" customWidth="1"/>
    <col min="8" max="8" width="7.42578125" style="195" customWidth="1"/>
    <col min="9" max="9" width="7.42578125" style="197" customWidth="1"/>
    <col min="10" max="10" width="7.42578125" style="370" customWidth="1"/>
    <col min="11" max="11" width="7.42578125" style="197" customWidth="1"/>
    <col min="12" max="12" width="9.140625" style="194" customWidth="1"/>
    <col min="13" max="14" width="1" style="196" customWidth="1"/>
    <col min="15" max="15" width="1.5703125" style="194" customWidth="1"/>
    <col min="16" max="16" width="9.140625" style="194" customWidth="1"/>
    <col min="17" max="17" width="11.42578125" style="194" customWidth="1"/>
    <col min="18" max="18" width="8.42578125" style="195" customWidth="1"/>
    <col min="19" max="21" width="9.140625" style="195"/>
    <col min="22" max="16384" width="9.140625" style="194"/>
  </cols>
  <sheetData>
    <row r="1" spans="2:18" s="195" customFormat="1">
      <c r="B1" s="210"/>
      <c r="C1" s="210"/>
      <c r="D1" s="194"/>
      <c r="E1" s="194"/>
      <c r="F1" s="194"/>
      <c r="G1" s="194"/>
      <c r="I1" s="197"/>
      <c r="J1" s="370"/>
      <c r="K1" s="197"/>
      <c r="L1" s="194"/>
      <c r="M1" s="196"/>
      <c r="N1" s="196"/>
      <c r="O1" s="194"/>
      <c r="P1" s="194"/>
      <c r="Q1" s="194"/>
    </row>
    <row r="2" spans="2:18" s="195" customFormat="1" ht="24" customHeight="1">
      <c r="B2" s="209"/>
      <c r="C2" s="9" t="str">
        <f>IF(Indice_index!$Z$1=1,"Síntese Global","Global Summary")</f>
        <v>Global Summary</v>
      </c>
      <c r="D2" s="9"/>
      <c r="E2" s="206"/>
      <c r="F2" s="206"/>
      <c r="G2" s="206"/>
      <c r="H2" s="369"/>
      <c r="I2" s="206"/>
      <c r="J2" s="369"/>
      <c r="K2" s="206"/>
      <c r="L2" s="194"/>
      <c r="M2" s="196"/>
      <c r="N2" s="196"/>
      <c r="O2" s="194"/>
      <c r="P2" s="194"/>
      <c r="Q2" s="208"/>
    </row>
    <row r="3" spans="2:18" s="195" customFormat="1" ht="11.25" customHeight="1">
      <c r="B3" s="194"/>
      <c r="C3" s="207"/>
      <c r="D3" s="206"/>
      <c r="E3" s="206"/>
      <c r="F3" s="206"/>
      <c r="G3" s="206"/>
      <c r="H3" s="369"/>
      <c r="I3" s="206"/>
      <c r="J3" s="369"/>
      <c r="K3" s="194"/>
      <c r="L3" s="194"/>
      <c r="M3" s="196"/>
      <c r="N3" s="196"/>
      <c r="O3" s="194"/>
      <c r="P3" s="194"/>
      <c r="Q3" s="194"/>
    </row>
    <row r="4" spans="2:18" s="195" customFormat="1" ht="11.25" customHeight="1">
      <c r="B4" s="196"/>
      <c r="C4" s="196"/>
      <c r="D4" s="196"/>
      <c r="E4" s="196"/>
      <c r="F4" s="196"/>
      <c r="G4" s="196"/>
      <c r="H4" s="340"/>
      <c r="I4" s="196"/>
      <c r="J4" s="340"/>
      <c r="K4" s="196"/>
      <c r="L4" s="196"/>
      <c r="M4" s="196"/>
      <c r="N4" s="196"/>
      <c r="O4" s="194"/>
      <c r="P4" s="194"/>
      <c r="Q4" s="194"/>
    </row>
    <row r="5" spans="2:18" s="195" customFormat="1" ht="11.25" customHeight="1">
      <c r="B5" s="196"/>
      <c r="C5" s="196"/>
      <c r="D5" s="196"/>
      <c r="E5" s="196"/>
      <c r="F5" s="196"/>
      <c r="G5" s="196"/>
      <c r="H5" s="340"/>
      <c r="I5" s="196"/>
      <c r="J5" s="340"/>
      <c r="K5" s="196"/>
      <c r="L5" s="196"/>
      <c r="M5" s="196"/>
      <c r="N5" s="196"/>
      <c r="O5" s="194"/>
      <c r="P5" s="194"/>
      <c r="Q5" s="194"/>
    </row>
    <row r="6" spans="2:18" s="262" customFormat="1">
      <c r="B6" s="260"/>
      <c r="C6" s="582" t="s">
        <v>60</v>
      </c>
      <c r="D6" s="352"/>
      <c r="E6" s="352"/>
      <c r="F6" s="352"/>
      <c r="G6" s="352"/>
      <c r="H6" s="352"/>
      <c r="I6" s="352"/>
      <c r="J6" s="352"/>
      <c r="K6" s="352"/>
      <c r="L6" s="352"/>
      <c r="M6" s="260"/>
      <c r="N6" s="260"/>
      <c r="O6" s="261"/>
      <c r="P6" s="261"/>
      <c r="Q6" s="261"/>
    </row>
    <row r="7" spans="2:18" s="262" customFormat="1">
      <c r="B7" s="260"/>
      <c r="C7" s="352"/>
      <c r="D7" s="352"/>
      <c r="E7" s="352"/>
      <c r="F7" s="352"/>
      <c r="G7" s="352"/>
      <c r="H7" s="352"/>
      <c r="I7" s="352"/>
      <c r="J7" s="352"/>
      <c r="K7" s="352"/>
      <c r="L7" s="352"/>
      <c r="M7" s="260"/>
      <c r="N7" s="260"/>
      <c r="O7" s="261"/>
      <c r="P7" s="261"/>
      <c r="Q7" s="261"/>
    </row>
    <row r="8" spans="2:18" s="262" customFormat="1" ht="15.75">
      <c r="B8" s="260"/>
      <c r="C8" s="1046" t="str">
        <f>+'5 - Conta AC'!C4</f>
        <v>Period: January to December</v>
      </c>
      <c r="D8" s="1047"/>
      <c r="E8" s="1048"/>
      <c r="F8" s="1048"/>
      <c r="G8" s="1048"/>
      <c r="H8" s="1048"/>
      <c r="I8" s="1048"/>
      <c r="J8" s="1048"/>
      <c r="K8" s="1049"/>
      <c r="L8" s="1050" t="str">
        <f>IF(Indice_index!$Z$1=1,"€ Milhões","€ Millions")</f>
        <v>€ Millions</v>
      </c>
      <c r="N8" s="261"/>
      <c r="O8" s="261"/>
      <c r="P8" s="261"/>
      <c r="Q8" s="261"/>
    </row>
    <row r="9" spans="2:18" s="195" customFormat="1" ht="18.75" customHeight="1">
      <c r="B9" s="196"/>
      <c r="C9" s="1563" t="s">
        <v>59</v>
      </c>
      <c r="D9" s="1051"/>
      <c r="E9" s="1566" t="s">
        <v>86</v>
      </c>
      <c r="F9" s="1566"/>
      <c r="G9" s="1052"/>
      <c r="H9" s="1572" t="s">
        <v>87</v>
      </c>
      <c r="I9" s="1572"/>
      <c r="J9" s="1572"/>
      <c r="K9" s="1572"/>
      <c r="L9" s="1568" t="str">
        <f>"Contributo VHA " &amp; "
(em p.p.)"</f>
        <v>Contributo VHA 
(em p.p.)</v>
      </c>
      <c r="N9" s="194"/>
      <c r="O9" s="194"/>
      <c r="P9" s="194"/>
      <c r="Q9" s="1571"/>
    </row>
    <row r="10" spans="2:18" s="195" customFormat="1" ht="13.5" customHeight="1">
      <c r="B10" s="196"/>
      <c r="C10" s="1564"/>
      <c r="D10" s="1053"/>
      <c r="E10" s="1567"/>
      <c r="F10" s="1567"/>
      <c r="G10" s="1054"/>
      <c r="H10" s="1567" t="s">
        <v>58</v>
      </c>
      <c r="I10" s="1567"/>
      <c r="J10" s="1567" t="s">
        <v>57</v>
      </c>
      <c r="K10" s="1567"/>
      <c r="L10" s="1569"/>
      <c r="N10" s="194"/>
      <c r="O10" s="194"/>
      <c r="P10" s="194"/>
      <c r="Q10" s="1571"/>
      <c r="R10" s="196"/>
    </row>
    <row r="11" spans="2:18" s="195" customFormat="1" ht="17.25" customHeight="1">
      <c r="B11" s="196"/>
      <c r="C11" s="1565"/>
      <c r="D11" s="1053"/>
      <c r="E11" s="1055" t="s">
        <v>66</v>
      </c>
      <c r="F11" s="1055" t="s">
        <v>83</v>
      </c>
      <c r="G11" s="1056"/>
      <c r="H11" s="1055" t="s">
        <v>102</v>
      </c>
      <c r="I11" s="1055" t="s">
        <v>104</v>
      </c>
      <c r="J11" s="1055" t="s">
        <v>102</v>
      </c>
      <c r="K11" s="1055" t="s">
        <v>104</v>
      </c>
      <c r="L11" s="1570"/>
      <c r="N11" s="194"/>
      <c r="O11" s="194"/>
      <c r="P11" s="194"/>
      <c r="Q11" s="205"/>
      <c r="R11" s="196"/>
    </row>
    <row r="12" spans="2:18" s="195" customFormat="1" ht="15" customHeight="1">
      <c r="B12" s="196"/>
      <c r="C12" s="1057" t="s">
        <v>56</v>
      </c>
      <c r="D12" s="1053"/>
      <c r="E12" s="749">
        <f>'4 - Conta AC + SS'!F30</f>
        <v>18269.771255050007</v>
      </c>
      <c r="F12" s="749">
        <f>'4 - Conta AC + SS'!G30</f>
        <v>18991.214996439987</v>
      </c>
      <c r="G12" s="749"/>
      <c r="H12" s="749">
        <v>682.24506695000309</v>
      </c>
      <c r="I12" s="752">
        <f>F12-E12</f>
        <v>721.44374138997955</v>
      </c>
      <c r="J12" s="752">
        <v>4.1013702693886156</v>
      </c>
      <c r="K12" s="752">
        <f t="shared" ref="K12:K18" si="0">+IFERROR(((F12/E12-1)*100),"-")</f>
        <v>3.9488383916715053</v>
      </c>
      <c r="L12" s="752">
        <f t="shared" ref="L12:L18" si="1">IFERROR((F12-E12)/$E$22*100,"-")</f>
        <v>0.81396944905463664</v>
      </c>
      <c r="N12" s="194"/>
      <c r="O12" s="194"/>
      <c r="P12" s="204"/>
      <c r="Q12" s="194"/>
      <c r="R12" s="200"/>
    </row>
    <row r="13" spans="2:18" s="195" customFormat="1" ht="15" customHeight="1">
      <c r="B13" s="196"/>
      <c r="C13" s="1057" t="s">
        <v>55</v>
      </c>
      <c r="D13" s="1053"/>
      <c r="E13" s="749">
        <f>'4 - Conta AC + SS'!F34</f>
        <v>10299.944707670023</v>
      </c>
      <c r="F13" s="749">
        <f>'4 - Conta AC + SS'!G34</f>
        <v>11406.891382380032</v>
      </c>
      <c r="G13" s="1056"/>
      <c r="H13" s="1056">
        <v>444.8692160699884</v>
      </c>
      <c r="I13" s="749">
        <f>F13-E13</f>
        <v>1106.9466747100087</v>
      </c>
      <c r="J13" s="749">
        <v>5.2106341730246086</v>
      </c>
      <c r="K13" s="752">
        <f t="shared" si="0"/>
        <v>10.747112786787127</v>
      </c>
      <c r="L13" s="752">
        <f t="shared" si="1"/>
        <v>1.2489134263062616</v>
      </c>
      <c r="N13" s="194"/>
      <c r="O13" s="194"/>
      <c r="P13" s="204"/>
      <c r="Q13" s="194"/>
      <c r="R13" s="200"/>
    </row>
    <row r="14" spans="2:18" s="195" customFormat="1" ht="15" customHeight="1">
      <c r="B14" s="196"/>
      <c r="C14" s="1057" t="s">
        <v>54</v>
      </c>
      <c r="D14" s="1053"/>
      <c r="E14" s="749">
        <f>'4 - Conta AC + SS'!F35</f>
        <v>7421.767302899998</v>
      </c>
      <c r="F14" s="749">
        <f>'4 - Conta AC + SS'!G35</f>
        <v>6799.2142974300004</v>
      </c>
      <c r="G14" s="1056"/>
      <c r="H14" s="1056">
        <v>-560.97192087000076</v>
      </c>
      <c r="I14" s="749">
        <f>F14-E14</f>
        <v>-622.55300546999752</v>
      </c>
      <c r="J14" s="749">
        <v>-7.8521640476011072</v>
      </c>
      <c r="K14" s="752">
        <f t="shared" si="0"/>
        <v>-8.3882043192965661</v>
      </c>
      <c r="L14" s="752">
        <f t="shared" si="1"/>
        <v>-0.70239590115981343</v>
      </c>
      <c r="N14" s="194"/>
      <c r="O14" s="194"/>
      <c r="P14" s="204"/>
      <c r="Q14" s="194"/>
      <c r="R14" s="200"/>
    </row>
    <row r="15" spans="2:18" s="195" customFormat="1" ht="15" customHeight="1">
      <c r="B15" s="196"/>
      <c r="C15" s="1057" t="s">
        <v>53</v>
      </c>
      <c r="D15" s="1053"/>
      <c r="E15" s="749">
        <f>'4 - Conta AC + SS'!F36+'4 - Conta AC + SS'!F44</f>
        <v>47591.762025820004</v>
      </c>
      <c r="F15" s="749">
        <f>'4 - Conta AC + SS'!G36+'4 - Conta AC + SS'!G44</f>
        <v>49064.495847580009</v>
      </c>
      <c r="G15" s="749"/>
      <c r="H15" s="749">
        <v>2038.9076278199864</v>
      </c>
      <c r="I15" s="749">
        <f>F15-E15</f>
        <v>1472.7338217600045</v>
      </c>
      <c r="J15" s="749">
        <v>4.9633175915022809</v>
      </c>
      <c r="K15" s="752">
        <f t="shared" si="0"/>
        <v>3.0945141744510352</v>
      </c>
      <c r="L15" s="752">
        <f t="shared" si="1"/>
        <v>1.6616130527274546</v>
      </c>
      <c r="N15" s="194"/>
      <c r="O15" s="194"/>
      <c r="P15" s="204"/>
      <c r="Q15" s="194"/>
      <c r="R15" s="200"/>
    </row>
    <row r="16" spans="2:18" s="195" customFormat="1" ht="15" customHeight="1">
      <c r="B16" s="196"/>
      <c r="C16" s="1057" t="s">
        <v>52</v>
      </c>
      <c r="D16" s="1053"/>
      <c r="E16" s="749">
        <f>'4 - Conta AC + SS'!F39</f>
        <v>1258.5285320600003</v>
      </c>
      <c r="F16" s="749">
        <f>'4 - Conta AC + SS'!G39</f>
        <v>1702.4700628899998</v>
      </c>
      <c r="G16" s="749"/>
      <c r="H16" s="749">
        <v>292.88466577000008</v>
      </c>
      <c r="I16" s="749">
        <f t="shared" ref="I16:I19" si="2">F16-E16</f>
        <v>443.94153082999946</v>
      </c>
      <c r="J16" s="749">
        <v>27.065047632777016</v>
      </c>
      <c r="K16" s="752">
        <f t="shared" si="0"/>
        <v>35.274649681826567</v>
      </c>
      <c r="L16" s="752">
        <f t="shared" si="1"/>
        <v>0.50087736926784809</v>
      </c>
      <c r="N16" s="194"/>
      <c r="O16" s="194"/>
      <c r="P16" s="204"/>
      <c r="Q16" s="194"/>
      <c r="R16" s="200"/>
    </row>
    <row r="17" spans="2:18" s="195" customFormat="1" ht="15" customHeight="1">
      <c r="B17" s="196"/>
      <c r="C17" s="1057" t="s">
        <v>51</v>
      </c>
      <c r="D17" s="1053"/>
      <c r="E17" s="749">
        <f>'4 - Conta AC + SS'!F43</f>
        <v>2956.6341963399996</v>
      </c>
      <c r="F17" s="749">
        <f>'4 - Conta AC + SS'!G43</f>
        <v>3460.5518568799957</v>
      </c>
      <c r="G17" s="1056"/>
      <c r="H17" s="1056">
        <v>285.00867060999644</v>
      </c>
      <c r="I17" s="749">
        <f t="shared" si="2"/>
        <v>503.91766053999618</v>
      </c>
      <c r="J17" s="749">
        <v>11.850254810385398</v>
      </c>
      <c r="K17" s="752">
        <f t="shared" si="0"/>
        <v>17.043625524043282</v>
      </c>
      <c r="L17" s="752">
        <f t="shared" si="1"/>
        <v>0.56854548315628262</v>
      </c>
      <c r="N17" s="194"/>
      <c r="O17" s="194"/>
      <c r="P17" s="204"/>
      <c r="Q17" s="194"/>
      <c r="R17" s="200"/>
    </row>
    <row r="18" spans="2:18" s="195" customFormat="1" ht="15" customHeight="1">
      <c r="B18" s="196"/>
      <c r="C18" s="1057" t="s">
        <v>50</v>
      </c>
      <c r="D18" s="1053"/>
      <c r="E18" s="749">
        <f>'4 - Conta AC + SS'!F40+'4 - Conta AC + SS'!F47</f>
        <v>766.37929480000037</v>
      </c>
      <c r="F18" s="749">
        <f>'4 - Conta AC + SS'!G40+'4 - Conta AC + SS'!G47</f>
        <v>795.79120868999951</v>
      </c>
      <c r="G18" s="749"/>
      <c r="H18" s="749">
        <v>-65.809240110000474</v>
      </c>
      <c r="I18" s="749">
        <f t="shared" si="2"/>
        <v>29.411913889999141</v>
      </c>
      <c r="J18" s="749">
        <v>-10.50835503394163</v>
      </c>
      <c r="K18" s="752">
        <f t="shared" si="0"/>
        <v>3.8377751186081666</v>
      </c>
      <c r="L18" s="752">
        <f t="shared" si="1"/>
        <v>3.3184014180454205E-2</v>
      </c>
      <c r="N18" s="194"/>
      <c r="O18" s="194"/>
      <c r="P18" s="204"/>
      <c r="Q18" s="194"/>
      <c r="R18" s="200"/>
    </row>
    <row r="19" spans="2:18" s="195" customFormat="1" ht="15" customHeight="1">
      <c r="B19" s="196"/>
      <c r="C19" s="1057" t="s">
        <v>49</v>
      </c>
      <c r="D19" s="1053"/>
      <c r="E19" s="749">
        <f>'4 - Conta AC + SS'!F41+'4 - Conta AC + SS'!F48</f>
        <v>67.991498849991984</v>
      </c>
      <c r="F19" s="749">
        <f>'4 - Conta AC + SS'!G41+'4 - Conta AC + SS'!G48</f>
        <v>272.9792634999979</v>
      </c>
      <c r="G19" s="749"/>
      <c r="H19" s="749">
        <v>66.349088920011695</v>
      </c>
      <c r="I19" s="749">
        <f t="shared" si="2"/>
        <v>204.98776465000591</v>
      </c>
      <c r="J19" s="749"/>
      <c r="K19" s="752"/>
      <c r="L19" s="749"/>
      <c r="N19" s="194"/>
      <c r="O19" s="194"/>
      <c r="P19" s="204"/>
      <c r="Q19" s="203"/>
      <c r="R19" s="200"/>
    </row>
    <row r="20" spans="2:18" s="195" customFormat="1" ht="4.5" customHeight="1">
      <c r="B20" s="196"/>
      <c r="C20" s="1056"/>
      <c r="D20" s="1053"/>
      <c r="E20" s="749"/>
      <c r="F20" s="749"/>
      <c r="G20" s="1056"/>
      <c r="H20" s="1056"/>
      <c r="I20" s="749"/>
      <c r="J20" s="749"/>
      <c r="K20" s="752"/>
      <c r="L20" s="749"/>
      <c r="N20" s="194"/>
      <c r="O20" s="194"/>
      <c r="P20" s="204"/>
      <c r="Q20" s="203"/>
      <c r="R20" s="200"/>
    </row>
    <row r="21" spans="2:18" s="262" customFormat="1" ht="15" customHeight="1">
      <c r="B21" s="260"/>
      <c r="C21" s="1058" t="s">
        <v>48</v>
      </c>
      <c r="D21" s="1059"/>
      <c r="E21" s="1060">
        <f>+E22-E14</f>
        <v>81211.011510590033</v>
      </c>
      <c r="F21" s="1060">
        <f>+F22-F14</f>
        <v>85694.394618360035</v>
      </c>
      <c r="G21" s="1060"/>
      <c r="H21" s="1060">
        <v>3744.4550960299966</v>
      </c>
      <c r="I21" s="1060">
        <f>+F21-E21</f>
        <v>4483.3831077700015</v>
      </c>
      <c r="J21" s="1060">
        <v>5.3173400176606656</v>
      </c>
      <c r="K21" s="1061">
        <f>+IFERROR(((F21/E21-1)*100),"-")</f>
        <v>5.5206591130629645</v>
      </c>
      <c r="L21" s="1061">
        <f>IFERROR((F21-E21)/$E$22*100,"-")</f>
        <v>5.058380395817653</v>
      </c>
      <c r="N21" s="261"/>
      <c r="O21" s="261"/>
      <c r="P21" s="263"/>
      <c r="Q21" s="264"/>
      <c r="R21" s="265"/>
    </row>
    <row r="22" spans="2:18" s="262" customFormat="1" ht="15" customHeight="1">
      <c r="B22" s="260"/>
      <c r="C22" s="1062" t="s">
        <v>47</v>
      </c>
      <c r="D22" s="1063"/>
      <c r="E22" s="1064">
        <f>SUM(E12:E19)</f>
        <v>88632.778813490033</v>
      </c>
      <c r="F22" s="1064">
        <f>SUM(F12:F19)</f>
        <v>92493.608915790028</v>
      </c>
      <c r="G22" s="1064"/>
      <c r="H22" s="1064">
        <v>3183.4831751599995</v>
      </c>
      <c r="I22" s="1064">
        <f>+F22-E22</f>
        <v>3860.8301022999949</v>
      </c>
      <c r="J22" s="1064">
        <v>4.1043375339753663</v>
      </c>
      <c r="K22" s="1065">
        <f>+IFERROR(((F22/E22-1)*100),"-")</f>
        <v>4.3559844946578385</v>
      </c>
      <c r="L22" s="1064"/>
      <c r="N22" s="261"/>
      <c r="O22" s="261"/>
      <c r="P22" s="261"/>
      <c r="Q22" s="266"/>
      <c r="R22" s="265"/>
    </row>
    <row r="23" spans="2:18" s="195" customFormat="1" ht="15" customHeight="1">
      <c r="B23" s="196"/>
      <c r="C23" s="1057" t="s">
        <v>46</v>
      </c>
      <c r="D23" s="1066"/>
      <c r="E23" s="198"/>
      <c r="F23" s="198"/>
      <c r="G23" s="198"/>
      <c r="H23" s="198"/>
      <c r="I23" s="198"/>
      <c r="J23" s="198"/>
      <c r="K23" s="198"/>
      <c r="L23" s="752"/>
      <c r="M23" s="340"/>
      <c r="N23" s="196"/>
      <c r="O23" s="194"/>
      <c r="P23" s="194"/>
      <c r="Q23" s="196"/>
      <c r="R23" s="196"/>
    </row>
    <row r="24" spans="2:18" s="195" customFormat="1">
      <c r="B24" s="196"/>
      <c r="C24" s="340"/>
      <c r="D24" s="340"/>
      <c r="E24" s="341"/>
      <c r="F24" s="341"/>
      <c r="G24" s="341"/>
      <c r="H24" s="341"/>
      <c r="I24" s="198"/>
      <c r="J24" s="198"/>
      <c r="K24" s="340"/>
      <c r="L24" s="340"/>
      <c r="M24" s="340"/>
      <c r="N24" s="196"/>
      <c r="O24" s="194"/>
      <c r="P24" s="194"/>
      <c r="Q24" s="196"/>
      <c r="R24" s="196"/>
    </row>
    <row r="25" spans="2:18" s="195" customFormat="1">
      <c r="B25" s="196"/>
      <c r="C25" s="340"/>
      <c r="D25" s="340"/>
      <c r="E25" s="341"/>
      <c r="F25" s="341"/>
      <c r="G25" s="341"/>
      <c r="H25" s="341"/>
      <c r="I25" s="198"/>
      <c r="J25" s="198"/>
      <c r="K25" s="340"/>
      <c r="L25" s="340"/>
      <c r="M25" s="196"/>
      <c r="N25" s="196"/>
      <c r="O25" s="194"/>
      <c r="P25" s="194"/>
      <c r="Q25" s="194"/>
    </row>
    <row r="26" spans="2:18" s="195" customFormat="1">
      <c r="B26" s="196"/>
      <c r="C26" s="196"/>
      <c r="D26" s="196"/>
      <c r="E26" s="202"/>
      <c r="F26" s="201"/>
      <c r="G26" s="196"/>
      <c r="H26" s="340"/>
      <c r="I26" s="198"/>
      <c r="J26" s="198"/>
      <c r="K26" s="196"/>
      <c r="L26" s="200"/>
      <c r="M26" s="196"/>
      <c r="N26" s="196"/>
      <c r="O26" s="194"/>
      <c r="P26" s="194"/>
      <c r="Q26" s="194"/>
    </row>
    <row r="27" spans="2:18" s="195" customFormat="1">
      <c r="B27" s="194"/>
      <c r="C27" s="194"/>
      <c r="D27" s="194"/>
      <c r="E27" s="194"/>
      <c r="F27" s="199"/>
      <c r="G27" s="194"/>
      <c r="I27" s="198"/>
      <c r="J27" s="198"/>
      <c r="K27" s="197"/>
      <c r="L27" s="194"/>
      <c r="M27" s="196"/>
      <c r="N27" s="196"/>
      <c r="O27" s="194"/>
      <c r="P27" s="194"/>
      <c r="Q27" s="194"/>
    </row>
    <row r="28" spans="2:18" s="195" customFormat="1">
      <c r="B28" s="194"/>
      <c r="C28" s="194"/>
      <c r="D28" s="194"/>
      <c r="E28" s="194"/>
      <c r="F28" s="194"/>
      <c r="G28" s="194"/>
      <c r="I28" s="198"/>
      <c r="J28" s="198"/>
      <c r="K28" s="197"/>
      <c r="L28" s="194"/>
      <c r="M28" s="196"/>
      <c r="N28" s="196"/>
      <c r="O28" s="194"/>
      <c r="P28" s="194"/>
      <c r="Q28" s="194"/>
    </row>
    <row r="29" spans="2:18" s="195" customFormat="1">
      <c r="B29" s="194"/>
      <c r="C29" s="194"/>
      <c r="D29" s="194"/>
      <c r="E29" s="194"/>
      <c r="F29" s="194"/>
      <c r="G29" s="194"/>
      <c r="I29" s="198"/>
      <c r="J29" s="198"/>
      <c r="K29" s="197"/>
      <c r="L29" s="194"/>
      <c r="M29" s="196"/>
      <c r="N29" s="196"/>
      <c r="O29" s="194"/>
      <c r="P29" s="194"/>
      <c r="Q29" s="194"/>
    </row>
    <row r="30" spans="2:18" s="195" customFormat="1">
      <c r="B30" s="194"/>
      <c r="C30" s="194"/>
      <c r="D30" s="194"/>
      <c r="E30" s="194"/>
      <c r="F30" s="194"/>
      <c r="G30" s="194"/>
      <c r="I30" s="198"/>
      <c r="J30" s="198"/>
      <c r="K30" s="197"/>
      <c r="L30" s="194"/>
      <c r="M30" s="196"/>
      <c r="N30" s="196"/>
      <c r="O30" s="194"/>
      <c r="P30" s="194"/>
      <c r="Q30" s="194"/>
    </row>
    <row r="31" spans="2:18" s="195" customFormat="1">
      <c r="B31" s="194"/>
      <c r="C31" s="196"/>
      <c r="D31" s="196"/>
      <c r="E31" s="196"/>
      <c r="F31" s="196"/>
      <c r="G31" s="196"/>
      <c r="H31" s="340"/>
      <c r="I31" s="196"/>
      <c r="J31" s="340"/>
      <c r="K31" s="196"/>
      <c r="L31" s="196"/>
      <c r="M31" s="196"/>
      <c r="N31" s="196"/>
      <c r="O31" s="194"/>
      <c r="P31" s="194"/>
      <c r="Q31" s="194"/>
    </row>
    <row r="32" spans="2:18" s="195" customFormat="1">
      <c r="B32" s="194"/>
      <c r="C32" s="196"/>
      <c r="D32" s="196"/>
      <c r="E32" s="196"/>
      <c r="F32" s="196"/>
      <c r="G32" s="196"/>
      <c r="H32" s="340"/>
      <c r="I32" s="196"/>
      <c r="J32" s="340"/>
      <c r="K32" s="196"/>
      <c r="L32" s="196"/>
      <c r="M32" s="196"/>
      <c r="N32" s="196"/>
      <c r="O32" s="194"/>
      <c r="P32" s="194"/>
      <c r="Q32" s="194"/>
    </row>
    <row r="33" spans="8:21" s="196" customFormat="1">
      <c r="H33" s="340"/>
      <c r="J33" s="340"/>
      <c r="O33" s="194"/>
      <c r="P33" s="194"/>
      <c r="Q33" s="194"/>
      <c r="R33" s="195"/>
      <c r="S33" s="195"/>
      <c r="T33" s="195"/>
      <c r="U33" s="195"/>
    </row>
    <row r="34" spans="8:21" s="196" customFormat="1">
      <c r="H34" s="340"/>
      <c r="J34" s="340"/>
      <c r="O34" s="194"/>
      <c r="P34" s="194"/>
      <c r="Q34" s="194"/>
      <c r="R34" s="195"/>
      <c r="S34" s="195"/>
      <c r="T34" s="195"/>
      <c r="U34" s="195"/>
    </row>
    <row r="35" spans="8:21" s="196" customFormat="1">
      <c r="H35" s="340"/>
      <c r="J35" s="340"/>
      <c r="O35" s="194"/>
      <c r="P35" s="194"/>
      <c r="Q35" s="194"/>
      <c r="R35" s="195"/>
      <c r="S35" s="195"/>
      <c r="T35" s="195"/>
      <c r="U35" s="195"/>
    </row>
    <row r="36" spans="8:21" s="196" customFormat="1">
      <c r="H36" s="340"/>
      <c r="J36" s="340"/>
      <c r="O36" s="194"/>
      <c r="P36" s="194"/>
      <c r="Q36" s="194"/>
      <c r="R36" s="195"/>
      <c r="S36" s="195"/>
      <c r="T36" s="195"/>
      <c r="U36" s="195"/>
    </row>
    <row r="37" spans="8:21" s="196" customFormat="1">
      <c r="H37" s="340"/>
      <c r="J37" s="340"/>
      <c r="O37" s="194"/>
      <c r="P37" s="194"/>
      <c r="Q37" s="194"/>
      <c r="R37" s="195"/>
      <c r="S37" s="195"/>
      <c r="T37" s="195"/>
      <c r="U37" s="195"/>
    </row>
    <row r="38" spans="8:21" s="196" customFormat="1">
      <c r="H38" s="340"/>
      <c r="J38" s="340"/>
      <c r="O38" s="194"/>
      <c r="P38" s="194"/>
      <c r="Q38" s="194"/>
      <c r="R38" s="195"/>
      <c r="S38" s="195"/>
      <c r="T38" s="195"/>
      <c r="U38" s="195"/>
    </row>
    <row r="39" spans="8:21" s="196" customFormat="1">
      <c r="H39" s="340"/>
      <c r="J39" s="340"/>
      <c r="O39" s="194"/>
      <c r="P39" s="194"/>
      <c r="Q39" s="194"/>
      <c r="R39" s="195"/>
      <c r="S39" s="195"/>
      <c r="T39" s="195"/>
      <c r="U39" s="195"/>
    </row>
    <row r="40" spans="8:21" s="196" customFormat="1">
      <c r="H40" s="340"/>
      <c r="J40" s="340"/>
      <c r="O40" s="194"/>
      <c r="P40" s="194"/>
      <c r="Q40" s="194"/>
      <c r="R40" s="195"/>
      <c r="S40" s="195"/>
      <c r="T40" s="195"/>
      <c r="U40" s="195"/>
    </row>
    <row r="41" spans="8:21" s="196" customFormat="1">
      <c r="H41" s="340"/>
      <c r="J41" s="340"/>
      <c r="O41" s="194"/>
      <c r="P41" s="194"/>
      <c r="Q41" s="194"/>
      <c r="R41" s="195"/>
      <c r="S41" s="195"/>
      <c r="T41" s="195"/>
      <c r="U41" s="195"/>
    </row>
    <row r="42" spans="8:21" s="196" customFormat="1">
      <c r="H42" s="340"/>
      <c r="J42" s="340"/>
      <c r="O42" s="194"/>
      <c r="P42" s="194"/>
      <c r="Q42" s="194"/>
      <c r="R42" s="195"/>
      <c r="S42" s="195"/>
      <c r="T42" s="195"/>
      <c r="U42" s="195"/>
    </row>
    <row r="43" spans="8:21" s="196" customFormat="1">
      <c r="H43" s="340"/>
      <c r="J43" s="340"/>
      <c r="O43" s="194"/>
      <c r="P43" s="194"/>
      <c r="Q43" s="194"/>
      <c r="R43" s="195"/>
      <c r="S43" s="195"/>
      <c r="T43" s="195"/>
      <c r="U43" s="195"/>
    </row>
    <row r="44" spans="8:21" s="196" customFormat="1">
      <c r="H44" s="340"/>
      <c r="J44" s="340"/>
      <c r="O44" s="194"/>
      <c r="P44" s="194"/>
      <c r="Q44" s="194"/>
      <c r="R44" s="195"/>
      <c r="S44" s="195"/>
      <c r="T44" s="195"/>
      <c r="U44" s="195"/>
    </row>
    <row r="45" spans="8:21" s="196" customFormat="1">
      <c r="H45" s="340"/>
      <c r="J45" s="340"/>
      <c r="O45" s="194"/>
      <c r="P45" s="194"/>
      <c r="Q45" s="194"/>
      <c r="R45" s="195"/>
      <c r="S45" s="195"/>
      <c r="T45" s="195"/>
      <c r="U45" s="195"/>
    </row>
    <row r="46" spans="8:21" s="196" customFormat="1">
      <c r="H46" s="340"/>
      <c r="J46" s="340"/>
      <c r="O46" s="194"/>
      <c r="P46" s="194"/>
      <c r="Q46" s="194"/>
      <c r="R46" s="195"/>
      <c r="S46" s="195"/>
      <c r="T46" s="195"/>
      <c r="U46" s="195"/>
    </row>
    <row r="47" spans="8:21" s="196" customFormat="1">
      <c r="H47" s="340"/>
      <c r="J47" s="340"/>
      <c r="O47" s="194"/>
      <c r="P47" s="194"/>
      <c r="Q47" s="194"/>
      <c r="R47" s="195"/>
      <c r="S47" s="195"/>
      <c r="T47" s="195"/>
      <c r="U47" s="195"/>
    </row>
    <row r="48" spans="8:21" s="196" customFormat="1">
      <c r="H48" s="340"/>
      <c r="J48" s="340"/>
      <c r="O48" s="194"/>
      <c r="P48" s="194"/>
      <c r="Q48" s="194"/>
      <c r="R48" s="195"/>
      <c r="S48" s="195"/>
      <c r="T48" s="195"/>
      <c r="U48" s="195"/>
    </row>
    <row r="49" spans="8:21" s="196" customFormat="1">
      <c r="H49" s="340"/>
      <c r="J49" s="340"/>
      <c r="O49" s="194"/>
      <c r="P49" s="194"/>
      <c r="Q49" s="194"/>
      <c r="R49" s="195"/>
      <c r="S49" s="195"/>
      <c r="T49" s="195"/>
      <c r="U49" s="195"/>
    </row>
    <row r="50" spans="8:21" s="196" customFormat="1">
      <c r="H50" s="340"/>
      <c r="J50" s="340"/>
      <c r="O50" s="194"/>
      <c r="P50" s="194"/>
      <c r="Q50" s="194"/>
      <c r="R50" s="195"/>
      <c r="S50" s="195"/>
      <c r="T50" s="195"/>
      <c r="U50" s="195"/>
    </row>
    <row r="51" spans="8:21" s="196" customFormat="1">
      <c r="H51" s="340"/>
      <c r="J51" s="340"/>
      <c r="O51" s="194"/>
      <c r="P51" s="194"/>
      <c r="Q51" s="194"/>
      <c r="R51" s="195"/>
      <c r="S51" s="195"/>
      <c r="T51" s="195"/>
      <c r="U51" s="195"/>
    </row>
    <row r="52" spans="8:21" s="196" customFormat="1">
      <c r="H52" s="340"/>
      <c r="J52" s="340"/>
      <c r="O52" s="194"/>
      <c r="P52" s="194"/>
      <c r="Q52" s="194"/>
      <c r="R52" s="195"/>
      <c r="S52" s="195"/>
      <c r="T52" s="195"/>
      <c r="U52" s="195"/>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5" orientation="portrait" r:id="rId1"/>
  <headerFooter differentOddEven="1">
    <oddFooter>&amp;R&amp;G</oddFooter>
    <evenFooter>&amp;L&amp;G</evenFooter>
  </headerFooter>
  <ignoredErrors>
    <ignoredError sqref="F9:G9 E11:G11 E10:G10 L10 L11 I9:K9"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8">
    <pageSetUpPr fitToPage="1"/>
  </sheetPr>
  <dimension ref="A1:W181"/>
  <sheetViews>
    <sheetView showGridLines="0" zoomScaleNormal="100" zoomScaleSheetLayoutView="100" workbookViewId="0">
      <selection activeCell="B2" sqref="B2"/>
    </sheetView>
  </sheetViews>
  <sheetFormatPr defaultColWidth="9.140625" defaultRowHeight="12.75"/>
  <cols>
    <col min="1" max="1" width="2.5703125" style="445" customWidth="1"/>
    <col min="2" max="2" width="4.42578125" style="445" customWidth="1"/>
    <col min="3" max="3" width="57.5703125" style="446" customWidth="1"/>
    <col min="4" max="4" width="32.42578125" style="446" customWidth="1"/>
    <col min="5" max="6" width="7.42578125" style="467" bestFit="1" customWidth="1"/>
    <col min="7" max="8" width="6.5703125" style="467" customWidth="1"/>
    <col min="9" max="9" width="7.42578125" style="467" customWidth="1"/>
    <col min="10" max="10" width="10.5703125" style="445" bestFit="1" customWidth="1"/>
    <col min="11" max="11" width="47.140625" style="445" customWidth="1"/>
    <col min="12" max="12" width="9.140625" style="445"/>
    <col min="13" max="14" width="9.140625" style="484"/>
    <col min="15" max="15" width="9.140625" style="445"/>
    <col min="16" max="16" width="10.5703125" style="445" bestFit="1" customWidth="1"/>
    <col min="17" max="17" width="15.42578125" style="445" bestFit="1" customWidth="1"/>
    <col min="18" max="18" width="19.42578125" style="445" bestFit="1" customWidth="1"/>
    <col min="19" max="19" width="9.85546875" style="445" bestFit="1" customWidth="1"/>
    <col min="20" max="20" width="9.140625" style="445"/>
    <col min="21" max="21" width="10.85546875" style="445" bestFit="1" customWidth="1"/>
    <col min="22" max="16384" width="9.140625" style="445"/>
  </cols>
  <sheetData>
    <row r="1" spans="1:18" ht="15" customHeight="1"/>
    <row r="2" spans="1:18" s="195" customFormat="1" ht="24" customHeight="1">
      <c r="B2" s="8"/>
      <c r="C2" s="451" t="str">
        <f>IF(Indice_index!$Z$1=1,"3 - Impacto orçamental das medidas adotadas no âmbito da Covid-19","3 - Budgetary impact of Covid-19 policy measures")</f>
        <v>3 - Budgetary impact of Covid-19 policy measures</v>
      </c>
      <c r="D2" s="451"/>
      <c r="E2" s="451"/>
      <c r="F2" s="451"/>
      <c r="G2" s="451"/>
      <c r="H2" s="451"/>
      <c r="I2" s="451"/>
      <c r="J2" s="369"/>
      <c r="K2" s="369"/>
      <c r="L2" s="206"/>
      <c r="M2" s="480"/>
      <c r="N2" s="481"/>
      <c r="O2" s="196"/>
      <c r="P2" s="194"/>
      <c r="Q2" s="194"/>
      <c r="R2" s="208"/>
    </row>
    <row r="3" spans="1:18" s="195" customFormat="1" ht="15" customHeight="1">
      <c r="D3" s="571"/>
      <c r="E3" s="369"/>
      <c r="F3" s="369"/>
      <c r="G3" s="369"/>
      <c r="H3" s="369"/>
      <c r="I3" s="369"/>
      <c r="J3" s="369"/>
      <c r="K3" s="369"/>
      <c r="L3" s="194"/>
      <c r="M3" s="480"/>
      <c r="N3" s="481"/>
      <c r="O3" s="196"/>
      <c r="P3" s="194"/>
      <c r="Q3" s="194"/>
      <c r="R3" s="194"/>
    </row>
    <row r="4" spans="1:18" s="262" customFormat="1" ht="15" customHeight="1">
      <c r="C4" s="1575"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575"/>
      <c r="E4" s="1575"/>
      <c r="F4" s="1575"/>
      <c r="G4" s="1575"/>
      <c r="H4" s="1575"/>
      <c r="I4" s="1575"/>
      <c r="J4" s="352"/>
      <c r="K4" s="352"/>
      <c r="L4" s="352"/>
      <c r="M4" s="482"/>
      <c r="N4" s="483"/>
      <c r="O4" s="260"/>
      <c r="P4" s="261"/>
      <c r="Q4" s="261"/>
      <c r="R4" s="261"/>
    </row>
    <row r="5" spans="1:18" ht="15" customHeight="1">
      <c r="A5" s="446"/>
      <c r="B5" s="446"/>
      <c r="J5" s="446"/>
    </row>
    <row r="6" spans="1:18" ht="15" customHeight="1">
      <c r="A6" s="446"/>
      <c r="B6" s="446"/>
      <c r="C6" s="770" t="str">
        <f>+'4 - Conta AC + SS'!C5</f>
        <v>Period: January to December</v>
      </c>
      <c r="D6" s="770"/>
      <c r="E6" s="770"/>
      <c r="F6" s="770"/>
      <c r="G6" s="770"/>
      <c r="H6" s="770"/>
      <c r="I6" s="770" t="str">
        <f>IF(Indice_index!$Z$1=1,"€ Milhões","€ Millions")</f>
        <v>€ Millions</v>
      </c>
      <c r="J6" s="446"/>
    </row>
    <row r="7" spans="1:18" ht="36" customHeight="1">
      <c r="A7" s="446"/>
      <c r="B7" s="446"/>
      <c r="C7" s="1303" t="str">
        <f>IF(Indice_index!$Z$1=1,"Medida Covid-19","COVID-19 Policy Measure")</f>
        <v>COVID-19 Policy Measure</v>
      </c>
      <c r="D7" s="1304" t="str">
        <f>IF(Indice_index!$Z$1=1,"Classificação económica","Economic classification")</f>
        <v>Economic classification</v>
      </c>
      <c r="E7" s="1305" t="str">
        <f>IF(Indice_index!$Z$1=1,"Adm. Central","Central Government")</f>
        <v>Central Government</v>
      </c>
      <c r="F7" s="1305" t="str">
        <f>IF(Indice_index!$Z$1=1,"Seg.  Social","Social Security")</f>
        <v>Social Security</v>
      </c>
      <c r="G7" s="1305" t="str">
        <f>IF(Indice_index!$Z$1=1,"Adm. Regional","Regional Government")</f>
        <v>Regional Government</v>
      </c>
      <c r="H7" s="1305" t="str">
        <f>IF(Indice_index!$Z$1=1,"Adm. Local","Local Government")</f>
        <v>Local Government</v>
      </c>
      <c r="I7" s="1381" t="s">
        <v>80</v>
      </c>
      <c r="J7" s="446"/>
    </row>
    <row r="8" spans="1:18" ht="15" customHeight="1">
      <c r="A8" s="446"/>
      <c r="B8" s="446"/>
      <c r="C8" s="510" t="str">
        <f>IF(Indice_index!$Z$1=1,"Suspensão dos pagamentos por conta de IRC","Suspension of prepayments of IRC")</f>
        <v>Suspension of prepayments of IRC</v>
      </c>
      <c r="D8" s="845" t="str">
        <f>IF(Indice_index!$Z$1=1,"R.01 - Imp. Diretos","R.01 - Direct taxes")</f>
        <v>R.01 - Direct taxes</v>
      </c>
      <c r="E8" s="846">
        <v>50.430999999999997</v>
      </c>
      <c r="F8" s="847"/>
      <c r="G8" s="847"/>
      <c r="H8" s="847"/>
      <c r="I8" s="848">
        <f>SUM(E8:H8)</f>
        <v>50.430999999999997</v>
      </c>
      <c r="J8" s="446"/>
    </row>
    <row r="9" spans="1:18" ht="15" customHeight="1">
      <c r="A9" s="446"/>
      <c r="B9" s="446"/>
      <c r="C9" s="510" t="str">
        <f>IF(Indice_index!$Z$1=1,"Isenção de pagamento da Taxa Social Única (estimativa)","Exemption from payment of the social security contributions (estimate)")</f>
        <v>Exemption from payment of the social security contributions (estimate)</v>
      </c>
      <c r="D9" s="845" t="str">
        <f>IF(Indice_index!$Z$1=1,"R.03 - Contrib. SS","R.03 - Contributions to the Social Security")</f>
        <v>R.03 - Contributions to the Social Security</v>
      </c>
      <c r="E9" s="848"/>
      <c r="F9" s="847">
        <v>220.95916629043001</v>
      </c>
      <c r="G9" s="847"/>
      <c r="H9" s="847"/>
      <c r="I9" s="848">
        <f>SUM(E9:H9)</f>
        <v>220.95916629043001</v>
      </c>
      <c r="J9" s="446"/>
    </row>
    <row r="10" spans="1:18" s="502" customFormat="1" ht="20.25" customHeight="1">
      <c r="A10" s="503"/>
      <c r="B10" s="503"/>
      <c r="C10" s="566" t="str">
        <f>IF(Indice_index!$Z$1=1,"Suspensão de pagamento de planos prestacionais e processos de execução contributiva","Suspension of installments plans payment and contributory collection proceedings")</f>
        <v>Suspension of installments plans payment and contributory collection proceedings</v>
      </c>
      <c r="D10" s="1306" t="str">
        <f>IF(Indice_index!$Z$1=1,"R.03 - Contrib. SS","R.03 - Contributions to the Social Security")</f>
        <v>R.03 - Contributions to the Social Security</v>
      </c>
      <c r="E10" s="1302"/>
      <c r="F10" s="1302">
        <v>28.826384526320499</v>
      </c>
      <c r="G10" s="1302"/>
      <c r="H10" s="1302"/>
      <c r="I10" s="1302">
        <f t="shared" ref="I10:I11" si="0">SUM(E10:H10)</f>
        <v>28.826384526320499</v>
      </c>
      <c r="J10" s="503"/>
      <c r="M10" s="504"/>
      <c r="N10" s="504"/>
    </row>
    <row r="11" spans="1:18" ht="15" customHeight="1">
      <c r="A11" s="446"/>
      <c r="B11" s="446"/>
      <c r="C11" s="510" t="str">
        <f>IF(Indice_index!$Z$1=1,"Adiamento, redução ou isenção de rendas de imóveis","Postponement, reduction or exemption of property rents payment")</f>
        <v>Postponement, reduction or exemption of property rents payment</v>
      </c>
      <c r="D11" s="845" t="str">
        <f>IF(Indice_index!$Z$1=1,"R.07 - Vendas Bens e Serv.","R.07 - Sale of current goods and services")</f>
        <v>R.07 - Sale of current goods and services</v>
      </c>
      <c r="E11" s="847"/>
      <c r="F11" s="847"/>
      <c r="G11" s="847">
        <v>6.1637156799999966</v>
      </c>
      <c r="H11" s="847"/>
      <c r="I11" s="847">
        <f t="shared" si="0"/>
        <v>6.1637156799999966</v>
      </c>
      <c r="J11" s="446"/>
    </row>
    <row r="12" spans="1:18" ht="4.5" customHeight="1">
      <c r="A12" s="446"/>
      <c r="B12" s="446"/>
      <c r="C12" s="845"/>
      <c r="D12" s="845"/>
      <c r="E12" s="848"/>
      <c r="F12" s="848"/>
      <c r="G12" s="848"/>
      <c r="H12" s="848"/>
      <c r="I12" s="848"/>
      <c r="J12" s="446"/>
    </row>
    <row r="13" spans="1:18" ht="15" customHeight="1">
      <c r="A13" s="446"/>
      <c r="B13" s="446"/>
      <c r="C13" s="1307" t="str">
        <f>IF(Indice_index!$Z$1=1,"Total da Receita efetiva","Total Effective revenue")</f>
        <v>Total Effective revenue</v>
      </c>
      <c r="D13" s="1307"/>
      <c r="E13" s="1308">
        <f>SUM(E8:E11)</f>
        <v>50.430999999999997</v>
      </c>
      <c r="F13" s="1308">
        <f>SUM(F8:F11)</f>
        <v>249.78555081675051</v>
      </c>
      <c r="G13" s="1308">
        <f>SUM(G8:G11)</f>
        <v>6.1637156799999966</v>
      </c>
      <c r="H13" s="1308">
        <f>SUM(H8:H11)</f>
        <v>0</v>
      </c>
      <c r="I13" s="1308">
        <f>SUM(I8:I11)</f>
        <v>306.38026649675049</v>
      </c>
      <c r="J13" s="446"/>
    </row>
    <row r="14" spans="1:18" ht="4.5" customHeight="1">
      <c r="A14" s="446"/>
      <c r="B14" s="446"/>
      <c r="J14" s="446"/>
    </row>
    <row r="15" spans="1:18" ht="15" customHeight="1">
      <c r="A15" s="446"/>
      <c r="B15" s="510"/>
      <c r="C15" s="510" t="str">
        <f>IF(Indice_index!$Z$1=1,"Recursos humanos (contratações, horas extra e outros abonos)","Human resources (hiring, overtime and other allowances)")</f>
        <v>Human resources (hiring, overtime and other allowances)</v>
      </c>
      <c r="D15" s="510" t="str">
        <f>IF(Indice_index!$Z$1=1,"D.01- Desp. c/ pessoal","D.01 - Employees")</f>
        <v>D.01 - Employees</v>
      </c>
      <c r="E15" s="846">
        <v>16.298224730000005</v>
      </c>
      <c r="F15" s="846">
        <v>0.49951268000000004</v>
      </c>
      <c r="G15" s="846">
        <v>5.6482940000000002E-2</v>
      </c>
      <c r="H15" s="846"/>
      <c r="I15" s="848">
        <f t="shared" ref="I15:I60" si="1">SUM(E15:H15)</f>
        <v>16.854220350000002</v>
      </c>
      <c r="J15" s="446"/>
    </row>
    <row r="16" spans="1:18" ht="15" customHeight="1">
      <c r="A16" s="446"/>
      <c r="B16" s="510"/>
      <c r="C16" s="510" t="str">
        <f>IF(Indice_index!$Z$1=1,"Educação: Recursos humanos (apoio à consolidação das aprendizagens)","Education: Human resources (support for the consolidation of learning)")</f>
        <v>Education: Human resources (support for the consolidation of learning)</v>
      </c>
      <c r="D16" s="510" t="str">
        <f>IF(Indice_index!$Z$1=1,"D.01- Desp. c/ pessoal","D.01 - Employees")</f>
        <v>D.01 - Employees</v>
      </c>
      <c r="E16" s="846">
        <v>190.27337479000002</v>
      </c>
      <c r="F16" s="846"/>
      <c r="G16" s="846"/>
      <c r="H16" s="846"/>
      <c r="I16" s="848">
        <f t="shared" si="1"/>
        <v>190.27337479000002</v>
      </c>
      <c r="J16" s="446"/>
    </row>
    <row r="17" spans="1:14" ht="15" customHeight="1">
      <c r="A17" s="446"/>
      <c r="B17" s="510"/>
      <c r="C17" s="510" t="str">
        <f>IF(Indice_index!$Z$1=1,"Saúde: Recursos humanos (contratações, horas extra e outros abonos)","Health: Human resources (hiring, overtime and other allowances)")</f>
        <v>Health: Human resources (hiring, overtime and other allowances)</v>
      </c>
      <c r="D17" s="510" t="str">
        <f>IF(Indice_index!$Z$1=1,"D.01- Desp. c/ pessoal","D.01 - Employees")</f>
        <v>D.01 - Employees</v>
      </c>
      <c r="E17" s="846">
        <v>344.70647867000008</v>
      </c>
      <c r="F17" s="846"/>
      <c r="G17" s="846">
        <v>45.527052579999996</v>
      </c>
      <c r="H17" s="846"/>
      <c r="I17" s="848">
        <f>SUM(E17:H17)</f>
        <v>390.23353125000006</v>
      </c>
      <c r="J17" s="467"/>
    </row>
    <row r="18" spans="1:14" ht="15" customHeight="1">
      <c r="A18" s="446"/>
      <c r="B18" s="510"/>
      <c r="C18" s="510" t="str">
        <f>IF(Indice_index!$Z$1=1,"Saúde: aquisição de doses de tratamento de Remdesivir","Health: purchasing of Remdesivir's treatment doses")</f>
        <v>Health: purchasing of Remdesivir's treatment doses</v>
      </c>
      <c r="D18" s="510" t="str">
        <f>IF(Indice_index!$Z$1=1,"D.02 - Aq. Bens e Serv.","D.02 - Purchase of goods and services")</f>
        <v>D.02 - Purchase of goods and services</v>
      </c>
      <c r="E18" s="846">
        <v>18.29570545</v>
      </c>
      <c r="F18" s="846"/>
      <c r="G18" s="846"/>
      <c r="H18" s="846"/>
      <c r="I18" s="848">
        <f>SUM(E18:H18)</f>
        <v>18.29570545</v>
      </c>
      <c r="J18" s="446"/>
    </row>
    <row r="19" spans="1:14" ht="15" customHeight="1">
      <c r="A19" s="446"/>
      <c r="B19" s="510"/>
      <c r="C19" s="510" t="str">
        <f>IF(Indice_index!$Z$1=1,"Saúde: testes COVID-19","Health: COVID-19 tests ")</f>
        <v xml:space="preserve">Health: COVID-19 tests </v>
      </c>
      <c r="D19" s="510" t="str">
        <f>IF(Indice_index!$Z$1=1,"D.02 - Aq. Bens e Serv.","D.02 - Purchase of goods and services")</f>
        <v>D.02 - Purchase of goods and services</v>
      </c>
      <c r="E19" s="846">
        <v>277.83125817000007</v>
      </c>
      <c r="F19" s="846"/>
      <c r="G19" s="846">
        <v>33.779272840000004</v>
      </c>
      <c r="H19" s="846">
        <v>6.583201004000002</v>
      </c>
      <c r="I19" s="848">
        <f t="shared" si="1"/>
        <v>318.19373201400003</v>
      </c>
      <c r="J19" s="446"/>
    </row>
    <row r="20" spans="1:14" ht="15" customHeight="1">
      <c r="A20" s="446"/>
      <c r="B20" s="510"/>
      <c r="C20" s="510" t="str">
        <f>IF(Indice_index!$Z$1=1,"Saúde: aquisição de vacinas","Health: purchasing of vaccines")</f>
        <v>Health: purchasing of vaccines</v>
      </c>
      <c r="D20" s="510" t="str">
        <f>IF(Indice_index!$Z$1=1,"D.02 - Aq. Bens e Serv.","D.02 - Purchase of goods and services")</f>
        <v>D.02 - Purchase of goods and services</v>
      </c>
      <c r="E20" s="846">
        <v>335.90302193000002</v>
      </c>
      <c r="F20" s="846"/>
      <c r="G20" s="846"/>
      <c r="H20" s="846"/>
      <c r="I20" s="848">
        <f>SUM(E20:H20)</f>
        <v>335.90302193000002</v>
      </c>
      <c r="J20" s="446"/>
    </row>
    <row r="21" spans="1:14" ht="15" customHeight="1">
      <c r="A21" s="446"/>
      <c r="B21" s="510"/>
      <c r="C21" s="510" t="str">
        <f>IF(Indice_index!$Z$1=1,"Saúde: equipamentos de proteção individual (EPI), medicamentos e outros","Health: personal protective equipment, medicines and others")</f>
        <v>Health: personal protective equipment, medicines and others</v>
      </c>
      <c r="D21" s="510" t="str">
        <f>IF(Indice_index!$Z$1=1,"D.02 - Aq. Bens e Serv.","D.02 - Purchase of goods and services")</f>
        <v>D.02 - Purchase of goods and services</v>
      </c>
      <c r="E21" s="846">
        <v>257.18595233000002</v>
      </c>
      <c r="F21" s="846"/>
      <c r="G21" s="846">
        <v>47.465954689999968</v>
      </c>
      <c r="H21" s="846">
        <v>27.766540482000003</v>
      </c>
      <c r="I21" s="848">
        <f t="shared" si="1"/>
        <v>332.41844750199999</v>
      </c>
      <c r="J21" s="446"/>
    </row>
    <row r="22" spans="1:14" ht="15" customHeight="1">
      <c r="A22" s="446"/>
      <c r="B22" s="510"/>
      <c r="C22" s="510"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2" s="510" t="str">
        <f>IF(Indice_index!$Z$1=1,"D.02 - Aq. Bens e Serv.","D.02 - Purchase of goods and services")</f>
        <v>D.02 - Purchase of goods and services</v>
      </c>
      <c r="E22" s="846">
        <v>129.55562611000002</v>
      </c>
      <c r="F22" s="846">
        <v>3.4403739500000001</v>
      </c>
      <c r="G22" s="846">
        <v>0.18308423000000007</v>
      </c>
      <c r="H22" s="846">
        <v>40.863094197000002</v>
      </c>
      <c r="I22" s="848">
        <f t="shared" si="1"/>
        <v>174.04217848700003</v>
      </c>
      <c r="J22" s="446"/>
    </row>
    <row r="23" spans="1:14" ht="15" customHeight="1">
      <c r="A23" s="446"/>
      <c r="B23" s="510"/>
      <c r="C23" s="510" t="str">
        <f>IF(Indice_index!$Z$1=1,"Universalização da escola digital ","Universalization of the digital school")</f>
        <v>Universalization of the digital school</v>
      </c>
      <c r="D23" s="510" t="str">
        <f>IF(Indice_index!$Z$1=1,"D.02 - Aq. Bens e Serv.","D.02 - Purchase of goods and services")</f>
        <v>D.02 - Purchase of goods and services</v>
      </c>
      <c r="E23" s="846">
        <v>19.745917529999996</v>
      </c>
      <c r="F23" s="846"/>
      <c r="G23" s="846"/>
      <c r="H23" s="846"/>
      <c r="I23" s="848">
        <f t="shared" si="1"/>
        <v>19.745917529999996</v>
      </c>
      <c r="J23" s="446"/>
    </row>
    <row r="24" spans="1:14" ht="15" customHeight="1">
      <c r="A24" s="446"/>
      <c r="B24" s="510"/>
      <c r="C24" s="510" t="str">
        <f>IF(Indice_index!$Z$1=1,"Outras Aquisições de Bens e Serviços","Other services and goods acquisitions")</f>
        <v>Other services and goods acquisitions</v>
      </c>
      <c r="D24" s="510" t="str">
        <f>IF(Indice_index!$Z$1=1,"D.02 - Aq. Bens e Serv.","D.02 - Purchase of goods and services")</f>
        <v>D.02 - Purchase of goods and services</v>
      </c>
      <c r="E24" s="846">
        <v>2.01232122</v>
      </c>
      <c r="F24" s="846"/>
      <c r="G24" s="846">
        <v>2.0839034700000001</v>
      </c>
      <c r="H24" s="846">
        <v>13.467869542000031</v>
      </c>
      <c r="I24" s="848">
        <f t="shared" si="1"/>
        <v>17.564094232000031</v>
      </c>
      <c r="J24" s="446"/>
    </row>
    <row r="25" spans="1:14" ht="15" customHeight="1">
      <c r="A25" s="446"/>
      <c r="B25" s="510"/>
      <c r="C25" s="510" t="str">
        <f>IF(Indice_index!$Z$1=1,"Apoio a associações humanitárias de bombeiros","Financial support to humanitarian firefighters associations")</f>
        <v>Financial support to humanitarian firefighters associations</v>
      </c>
      <c r="D25" s="510" t="str">
        <f>IF(Indice_index!$Z$1=1,"D.04 - Transf. Correntes","D.04 - Current transfers")</f>
        <v>D.04 - Current transfers</v>
      </c>
      <c r="E25" s="846">
        <v>8.6375585199999989</v>
      </c>
      <c r="F25" s="846"/>
      <c r="G25" s="846">
        <v>0</v>
      </c>
      <c r="H25" s="846"/>
      <c r="I25" s="848">
        <f t="shared" si="1"/>
        <v>8.6375585199999989</v>
      </c>
      <c r="J25" s="446"/>
    </row>
    <row r="26" spans="1:14" ht="15" customHeight="1">
      <c r="A26" s="446"/>
      <c r="B26" s="510"/>
      <c r="C26" s="510" t="str">
        <f>IF(Indice_index!$Z$1=1,"Programa Ativar - Bolsas de formação","ATIVAR.PT Program - Training Scholarships")</f>
        <v>ATIVAR.PT Program - Training Scholarships</v>
      </c>
      <c r="D26" s="510" t="str">
        <f>IF(Indice_index!$Z$1=1,"D.04 - Transf. Correntes","D.04 - Current transfers")</f>
        <v>D.04 - Current transfers</v>
      </c>
      <c r="E26" s="846">
        <v>68.276072659999997</v>
      </c>
      <c r="F26" s="846"/>
      <c r="G26" s="846"/>
      <c r="H26" s="846"/>
      <c r="I26" s="848">
        <f t="shared" si="1"/>
        <v>68.276072659999997</v>
      </c>
      <c r="J26" s="446"/>
    </row>
    <row r="27" spans="1:14" ht="15" customHeight="1">
      <c r="A27" s="446"/>
      <c r="B27" s="510"/>
      <c r="C27" s="510" t="str">
        <f>IF(Indice_index!$Z$1=1,"Outros apoios","Other Central Government support expenditure")</f>
        <v>Other Central Government support expenditure</v>
      </c>
      <c r="D27" s="510" t="str">
        <f>IF(Indice_index!$Z$1=1,"D.04 - Transf. Correntes","D.04 - Current transfers")</f>
        <v>D.04 - Current transfers</v>
      </c>
      <c r="E27" s="846">
        <v>49.286093500000021</v>
      </c>
      <c r="F27" s="846"/>
      <c r="G27" s="846">
        <v>13.33123168</v>
      </c>
      <c r="H27" s="846"/>
      <c r="I27" s="848">
        <f t="shared" si="1"/>
        <v>62.617325180000023</v>
      </c>
      <c r="J27" s="446"/>
    </row>
    <row r="28" spans="1:14" ht="15" customHeight="1">
      <c r="A28" s="446"/>
      <c r="B28" s="510"/>
      <c r="C28" s="510" t="str">
        <f>IF(Indice_index!$Z$1=1,"Apoio extraordinário à retoma progressiva de atividade","Extraordinary support for the progressive resumption of activity")</f>
        <v>Extraordinary support for the progressive resumption of activity</v>
      </c>
      <c r="D28" s="510" t="str">
        <f>IF(Indice_index!$Z$1=1,"D.04 - Transf. Correntes","D.04 - Current transfers")</f>
        <v>D.04 - Current transfers</v>
      </c>
      <c r="E28" s="846" t="s">
        <v>93</v>
      </c>
      <c r="F28" s="846">
        <v>547.8388514699999</v>
      </c>
      <c r="G28" s="846"/>
      <c r="H28" s="846"/>
      <c r="I28" s="848">
        <f t="shared" si="1"/>
        <v>547.8388514699999</v>
      </c>
      <c r="J28" s="446"/>
    </row>
    <row r="29" spans="1:14" ht="15" customHeight="1">
      <c r="A29" s="446"/>
      <c r="B29" s="510"/>
      <c r="C29" s="510" t="str">
        <f>IF(Indice_index!$Z$1=1,"Apoios extraordinários ao rendimento dos trabalhadores","Extraordinary support of workers income")</f>
        <v>Extraordinary support of workers income</v>
      </c>
      <c r="D29" s="510" t="str">
        <f>IF(Indice_index!$Z$1=1,"D.04 - Transf. Correntes","D.04 - Current transfers")</f>
        <v>D.04 - Current transfers</v>
      </c>
      <c r="E29" s="846" t="s">
        <v>93</v>
      </c>
      <c r="F29" s="846">
        <v>488.39176446999994</v>
      </c>
      <c r="G29" s="846"/>
      <c r="H29" s="846"/>
      <c r="I29" s="848">
        <f t="shared" si="1"/>
        <v>488.39176446999994</v>
      </c>
      <c r="J29" s="446"/>
    </row>
    <row r="30" spans="1:14" ht="15" customHeight="1">
      <c r="A30" s="446"/>
      <c r="B30" s="572"/>
      <c r="C30" s="572" t="str">
        <f>IF(Indice_index!$Z$1=1,"Isolamento profilático","Prophylactic isolation benefit")</f>
        <v>Prophylactic isolation benefit</v>
      </c>
      <c r="D30" s="1309" t="str">
        <f>IF(Indice_index!$Z$1=1,"D.04 - Transf. Correntes","D.04 - Current transfers")</f>
        <v>D.04 - Current transfers</v>
      </c>
      <c r="E30" s="846" t="s">
        <v>93</v>
      </c>
      <c r="F30" s="846">
        <v>106.55128091999998</v>
      </c>
      <c r="G30" s="846"/>
      <c r="H30" s="846"/>
      <c r="I30" s="848">
        <f t="shared" si="1"/>
        <v>106.55128091999998</v>
      </c>
      <c r="J30" s="446"/>
    </row>
    <row r="31" spans="1:14" ht="15" customHeight="1">
      <c r="A31" s="446"/>
      <c r="B31" s="510"/>
      <c r="C31" s="510" t="str">
        <f>IF(Indice_index!$Z$1=1,"Layoff","Simplified layoff")</f>
        <v>Simplified layoff</v>
      </c>
      <c r="D31" s="510" t="str">
        <f>IF(Indice_index!$Z$1=1,"D.04 - Transf. Correntes","D.04 - Current transfers")</f>
        <v>D.04 - Current transfers</v>
      </c>
      <c r="E31" s="846" t="s">
        <v>93</v>
      </c>
      <c r="F31" s="846">
        <v>368.22500300000007</v>
      </c>
      <c r="G31" s="846"/>
      <c r="H31" s="846"/>
      <c r="I31" s="848">
        <f t="shared" si="1"/>
        <v>368.22500300000007</v>
      </c>
      <c r="J31" s="446"/>
    </row>
    <row r="32" spans="1:14" s="498" customFormat="1" ht="15" customHeight="1">
      <c r="A32" s="446"/>
      <c r="B32" s="510"/>
      <c r="C32" s="510" t="str">
        <f>IF(Indice_index!$Z$1=1,"Subsídio de doença por infecção SARS-CoV-2","SARS-CoV-2 infection sickness benefit")</f>
        <v>SARS-CoV-2 infection sickness benefit</v>
      </c>
      <c r="D32" s="510" t="str">
        <f>IF(Indice_index!$Z$1=1,"D.04 - Transf. Correntes","D.04 - Current transfers")</f>
        <v>D.04 - Current transfers</v>
      </c>
      <c r="E32" s="846" t="s">
        <v>93</v>
      </c>
      <c r="F32" s="846">
        <v>83.85467195999999</v>
      </c>
      <c r="G32" s="846"/>
      <c r="H32" s="846"/>
      <c r="I32" s="848">
        <f t="shared" si="1"/>
        <v>83.85467195999999</v>
      </c>
      <c r="M32" s="499"/>
      <c r="N32" s="499"/>
    </row>
    <row r="33" spans="1:14" s="446" customFormat="1" ht="15" customHeight="1">
      <c r="B33" s="510"/>
      <c r="C33" s="510" t="str">
        <f>IF(Indice_index!$Z$1=1,"Subsídios de assistência a filho e a neto","Allowances for child and grandchild's care")</f>
        <v>Allowances for child and grandchild's care</v>
      </c>
      <c r="D33" s="510" t="str">
        <f>IF(Indice_index!$Z$1=1,"D.04 - Transf. Correntes","D.04 - Current transfers")</f>
        <v>D.04 - Current transfers</v>
      </c>
      <c r="E33" s="846" t="s">
        <v>93</v>
      </c>
      <c r="F33" s="846">
        <v>26.157578879999996</v>
      </c>
      <c r="G33" s="846"/>
      <c r="H33" s="846"/>
      <c r="I33" s="848">
        <f t="shared" si="1"/>
        <v>26.157578879999996</v>
      </c>
      <c r="M33" s="485"/>
      <c r="N33" s="485"/>
    </row>
    <row r="34" spans="1:14" s="446" customFormat="1" ht="15" customHeight="1">
      <c r="B34" s="510"/>
      <c r="C34" s="510" t="str">
        <f>IF(Indice_index!$Z$1=1,"Apoios a setores de produção agrícola","Benefits to agricultural production sectors")</f>
        <v>Benefits to agricultural production sectors</v>
      </c>
      <c r="D34" s="510" t="str">
        <f>IF(Indice_index!$Z$1=1,"D.04 - Transf. Correntes","D.04 - Current transfers")</f>
        <v>D.04 - Current transfers</v>
      </c>
      <c r="E34" s="846">
        <v>18.307306839999995</v>
      </c>
      <c r="F34" s="846">
        <v>0</v>
      </c>
      <c r="G34" s="846"/>
      <c r="H34" s="846"/>
      <c r="I34" s="1382">
        <f t="shared" si="1"/>
        <v>18.307306839999995</v>
      </c>
      <c r="M34" s="485"/>
      <c r="N34" s="485"/>
    </row>
    <row r="35" spans="1:14" s="446" customFormat="1" ht="15" customHeight="1">
      <c r="B35" s="510"/>
      <c r="C35" s="510" t="str">
        <f>IF(Indice_index!$Z$1=1,"Apoio Social Extraordinário para Profissionais da Cultura","Extraordinary Social Benefit for Culture Professionals")</f>
        <v>Extraordinary Social Benefit for Culture Professionals</v>
      </c>
      <c r="D35" s="510" t="str">
        <f>IF(Indice_index!$Z$1=1,"D.04 - Transf. Correntes","D.04 - Current transfers")</f>
        <v>D.04 - Current transfers</v>
      </c>
      <c r="E35" s="846">
        <v>4.4609424600000001</v>
      </c>
      <c r="F35" s="846">
        <v>0</v>
      </c>
      <c r="G35" s="846"/>
      <c r="H35" s="846"/>
      <c r="I35" s="1382">
        <f t="shared" ref="I35" si="2">SUM(E35:H35)</f>
        <v>4.4609424600000001</v>
      </c>
      <c r="M35" s="485"/>
      <c r="N35" s="485"/>
    </row>
    <row r="36" spans="1:14" s="446" customFormat="1" ht="15" customHeight="1">
      <c r="B36" s="510"/>
      <c r="C36" s="510" t="str">
        <f>IF(Indice_index!$Z$1=1,"Outros apoios de proteção social","Other social protection benefits")</f>
        <v>Other social protection benefits</v>
      </c>
      <c r="D36" s="510" t="str">
        <f>IF(Indice_index!$Z$1=1,"D.04 - Transf. Correntes","D.04 - Current transfers")</f>
        <v>D.04 - Current transfers</v>
      </c>
      <c r="E36" s="846" t="s">
        <v>93</v>
      </c>
      <c r="F36" s="846">
        <v>24.364371170000002</v>
      </c>
      <c r="G36" s="846"/>
      <c r="H36" s="846">
        <v>109.60271906999998</v>
      </c>
      <c r="I36" s="1382">
        <f t="shared" si="1"/>
        <v>133.96709023999998</v>
      </c>
      <c r="M36" s="485"/>
      <c r="N36" s="485"/>
    </row>
    <row r="37" spans="1:14" s="446" customFormat="1" ht="15" customHeight="1">
      <c r="B37" s="510"/>
      <c r="C37" s="510" t="str">
        <f>IF(Indice_index!$Z$1=1,"Apoios ao emprego (inclui complementos layoff)","Employment benefits (include layoff complements)")</f>
        <v>Employment benefits (include layoff complements)</v>
      </c>
      <c r="D37" s="510" t="str">
        <f>IF(Indice_index!$Z$1=1,"D.04 - Transf. Correntes","D.04 - Current transfers")</f>
        <v>D.04 - Current transfers</v>
      </c>
      <c r="E37" s="846" t="s">
        <v>93</v>
      </c>
      <c r="F37" s="846"/>
      <c r="G37" s="846">
        <v>18.777325229999768</v>
      </c>
      <c r="H37" s="846"/>
      <c r="I37" s="848">
        <f t="shared" si="1"/>
        <v>18.777325229999768</v>
      </c>
      <c r="M37" s="485"/>
      <c r="N37" s="485"/>
    </row>
    <row r="38" spans="1:14" ht="15" customHeight="1">
      <c r="A38" s="446"/>
      <c r="B38" s="566"/>
      <c r="C38" s="566" t="str">
        <f>IF(Indice_index!$Z$1=1,"Ações de promoção do turismo","Tourism promotion actions")</f>
        <v>Tourism promotion actions</v>
      </c>
      <c r="D38" s="566" t="str">
        <f>IF(Indice_index!$Z$1=1,"D.04 - Transf. Correntes","D.04 - Current transfers")</f>
        <v>D.04 - Current transfers</v>
      </c>
      <c r="E38" s="846" t="s">
        <v>93</v>
      </c>
      <c r="F38" s="846"/>
      <c r="G38" s="846">
        <v>10.085016690000002</v>
      </c>
      <c r="H38" s="846"/>
      <c r="I38" s="848">
        <f t="shared" si="1"/>
        <v>10.085016690000002</v>
      </c>
      <c r="J38" s="446"/>
    </row>
    <row r="39" spans="1:14" ht="15" customHeight="1">
      <c r="A39" s="446"/>
      <c r="B39" s="510"/>
      <c r="C39" s="510" t="str">
        <f>IF(Indice_index!$Z$1=1,"Fundo de emergência para apoio social e outros","Emergency fund for social support and others")</f>
        <v>Emergency fund for social support and others</v>
      </c>
      <c r="D39" s="510" t="str">
        <f>IF(Indice_index!$Z$1=1,"D.04 - Transf. Correntes","D.04 - Current transfers")</f>
        <v>D.04 - Current transfers</v>
      </c>
      <c r="E39" s="846" t="s">
        <v>93</v>
      </c>
      <c r="F39" s="846"/>
      <c r="G39" s="846">
        <v>8.8263220000000011</v>
      </c>
      <c r="H39" s="846"/>
      <c r="I39" s="848">
        <f t="shared" si="1"/>
        <v>8.8263220000000011</v>
      </c>
      <c r="J39" s="446"/>
    </row>
    <row r="40" spans="1:14" ht="15" customHeight="1">
      <c r="A40" s="446"/>
      <c r="B40" s="567"/>
      <c r="C40" s="510" t="str">
        <f>IF(Indice_index!$Z$1=1,"Prestações por doenças profissionais","Benefits for professional illnesses")</f>
        <v>Benefits for professional illnesses</v>
      </c>
      <c r="D40" s="510" t="str">
        <f>IF(Indice_index!$Z$1=1,"D.04 - Transf. Correntes","D.04 - Current transfers")</f>
        <v>D.04 - Current transfers</v>
      </c>
      <c r="E40" s="846" t="s">
        <v>93</v>
      </c>
      <c r="F40" s="846">
        <v>3.44974873</v>
      </c>
      <c r="G40" s="846"/>
      <c r="H40" s="846"/>
      <c r="I40" s="848">
        <f t="shared" si="1"/>
        <v>3.44974873</v>
      </c>
      <c r="J40" s="446"/>
    </row>
    <row r="41" spans="1:14" ht="15" customHeight="1">
      <c r="A41" s="446"/>
      <c r="B41" s="510"/>
      <c r="C41" s="510" t="str">
        <f>IF(Indice_index!$Z$1=1,"Apoios sociais às famílias","Social benefits to families")</f>
        <v>Social benefits to families</v>
      </c>
      <c r="D41" s="510" t="str">
        <f>IF(Indice_index!$Z$1=1,"D.04 - Transf. Correntes","D.04 - Current transfers")</f>
        <v>D.04 - Current transfers</v>
      </c>
      <c r="E41" s="846" t="s">
        <v>93</v>
      </c>
      <c r="F41" s="846">
        <v>51.023235869999993</v>
      </c>
      <c r="G41" s="846"/>
      <c r="H41" s="846"/>
      <c r="I41" s="848">
        <f t="shared" si="1"/>
        <v>51.023235869999993</v>
      </c>
      <c r="J41" s="446"/>
    </row>
    <row r="42" spans="1:14" ht="15" customHeight="1">
      <c r="A42" s="446"/>
      <c r="B42" s="510"/>
      <c r="C42" s="1309" t="str">
        <f>IF(Indice_index!$Z$1=1,"Apoio extraordinário aos serviços públicos de transporte de passageiros","Extraordinary support for the public transportation services")</f>
        <v>Extraordinary support for the public transportation services</v>
      </c>
      <c r="D42" s="510" t="str">
        <f>IF(Indice_index!$Z$1=1,"D.04 - Transf. Correntes","D.04 - Current transfers")</f>
        <v>D.04 - Current transfers</v>
      </c>
      <c r="E42" s="846">
        <v>141.50588999999999</v>
      </c>
      <c r="F42" s="846"/>
      <c r="G42" s="846"/>
      <c r="H42" s="846"/>
      <c r="I42" s="848">
        <f t="shared" si="1"/>
        <v>141.50588999999999</v>
      </c>
      <c r="J42" s="446"/>
    </row>
    <row r="43" spans="1:14" ht="15" customHeight="1">
      <c r="A43" s="446"/>
      <c r="B43" s="510"/>
      <c r="C43" s="510" t="str">
        <f>IF(Indice_index!$Z$1=1,"Incentivo extraordinário à normalização","Extraordinary incentive to normalization")</f>
        <v>Extraordinary incentive to normalization</v>
      </c>
      <c r="D43" s="510" t="str">
        <f>IF(Indice_index!$Z$1=1,"D.05 - Subsídios","D.05 - Subsidies")</f>
        <v>D.05 - Subsidies</v>
      </c>
      <c r="E43" s="846">
        <v>161.13916234999999</v>
      </c>
      <c r="F43" s="846"/>
      <c r="G43" s="846"/>
      <c r="H43" s="846"/>
      <c r="I43" s="848">
        <f t="shared" si="1"/>
        <v>161.13916234999999</v>
      </c>
      <c r="J43" s="446"/>
    </row>
    <row r="44" spans="1:14" ht="15" customHeight="1">
      <c r="A44" s="446"/>
      <c r="B44" s="510"/>
      <c r="C44" s="510" t="str">
        <f>IF(Indice_index!$Z$1=1,"Reforço de emergência de equipamentos sociais e de saúde","Emergency reinforcement of social and health facilities")</f>
        <v>Emergency reinforcement of social and health facilities</v>
      </c>
      <c r="D44" s="510" t="str">
        <f>IF(Indice_index!$Z$1=1,"D.05 - Subsídios","D.05 - Subsidies")</f>
        <v>D.05 - Subsidies</v>
      </c>
      <c r="E44" s="846">
        <v>38.812953879999988</v>
      </c>
      <c r="F44" s="846">
        <v>2.5754472600000007</v>
      </c>
      <c r="G44" s="846"/>
      <c r="H44" s="846"/>
      <c r="I44" s="848">
        <f t="shared" si="1"/>
        <v>41.388401139999985</v>
      </c>
      <c r="J44" s="446"/>
    </row>
    <row r="45" spans="1:14" ht="15" customHeight="1">
      <c r="A45" s="446"/>
      <c r="B45" s="510"/>
      <c r="C45" s="510" t="str">
        <f>IF(Indice_index!$Z$1=1,"Apoios ao cinema e audiovisual","Support to cinema and audiovisual activities")</f>
        <v>Support to cinema and audiovisual activities</v>
      </c>
      <c r="D45" s="510" t="str">
        <f>IF(Indice_index!$Z$1=1,"D.05 - Subsídios","D.05 - Subsidies")</f>
        <v>D.05 - Subsidies</v>
      </c>
      <c r="E45" s="846">
        <v>3.5757079700000003</v>
      </c>
      <c r="F45" s="846"/>
      <c r="G45" s="846"/>
      <c r="H45" s="846"/>
      <c r="I45" s="848">
        <f t="shared" si="1"/>
        <v>3.5757079700000003</v>
      </c>
      <c r="J45" s="446"/>
    </row>
    <row r="46" spans="1:14" ht="15" customHeight="1">
      <c r="A46" s="446"/>
      <c r="B46" s="510"/>
      <c r="C46" s="510" t="str">
        <f>IF(Indice_index!$Z$1=1,"Programa Ativar","ATIVAR.PT Program")</f>
        <v>ATIVAR.PT Program</v>
      </c>
      <c r="D46" s="510" t="str">
        <f>IF(Indice_index!$Z$1=1,"D.05 - Subsídios","D.05 - Subsidies")</f>
        <v>D.05 - Subsidies</v>
      </c>
      <c r="E46" s="846">
        <v>208.06024394000002</v>
      </c>
      <c r="F46" s="846"/>
      <c r="G46" s="846"/>
      <c r="H46" s="846"/>
      <c r="I46" s="848">
        <f>SUM(E46:H46)</f>
        <v>208.06024394000002</v>
      </c>
      <c r="J46" s="446"/>
    </row>
    <row r="47" spans="1:14" ht="15" customHeight="1">
      <c r="A47" s="446"/>
      <c r="B47" s="510"/>
      <c r="C47" s="510" t="str">
        <f>IF(Indice_index!$Z$1=1,"Novo incentivo à normalização da atividade empresarial","New extraordinary incentive to normalization")</f>
        <v>New extraordinary incentive to normalization</v>
      </c>
      <c r="D47" s="510" t="str">
        <f>IF(Indice_index!$Z$1=1,"D.05 - Subsídios","D.05 - Subsidies")</f>
        <v>D.05 - Subsidies</v>
      </c>
      <c r="E47" s="846">
        <v>248.57257869999998</v>
      </c>
      <c r="F47" s="846"/>
      <c r="G47" s="846"/>
      <c r="H47" s="846"/>
      <c r="I47" s="848">
        <f>SUM(E47:H47)</f>
        <v>248.57257869999998</v>
      </c>
      <c r="J47" s="446"/>
      <c r="K47" s="573"/>
    </row>
    <row r="48" spans="1:14" ht="15" customHeight="1">
      <c r="A48" s="446"/>
      <c r="B48" s="510"/>
      <c r="C48" s="510" t="str">
        <f>IF(Indice_index!$Z$1=1,"Outros apoios a empresas","Other benefits to companies")</f>
        <v>Other benefits to companies</v>
      </c>
      <c r="D48" s="510" t="str">
        <f>IF(Indice_index!$Z$1=1,"D.05 - Subsídios","D.05 - Subsidies")</f>
        <v>D.05 - Subsidies</v>
      </c>
      <c r="E48" s="846">
        <v>5.1345848299999979</v>
      </c>
      <c r="F48" s="846"/>
      <c r="G48" s="846">
        <v>33.689897089999576</v>
      </c>
      <c r="H48" s="846">
        <v>73.65213890000004</v>
      </c>
      <c r="I48" s="848">
        <f t="shared" ref="I48:I50" si="3">SUM(E48:H48)</f>
        <v>112.47662081999961</v>
      </c>
      <c r="J48" s="446"/>
    </row>
    <row r="49" spans="1:14" ht="15" customHeight="1">
      <c r="A49" s="446"/>
      <c r="B49" s="510"/>
      <c r="C49" s="510" t="str">
        <f>+IF(Indice_index!$Z$1=1,"Programa AUTOvoucher","AUTOvoucher Program")</f>
        <v>AUTOvoucher Program</v>
      </c>
      <c r="D49" s="510" t="str">
        <f>IF(Indice_index!$Z$1=1,"D.05 - Subsídios","D.05 - Subsidies")</f>
        <v>D.05 - Subsidies</v>
      </c>
      <c r="E49" s="846">
        <v>53</v>
      </c>
      <c r="F49" s="846"/>
      <c r="G49" s="1377"/>
      <c r="H49" s="1377"/>
      <c r="I49" s="848">
        <f t="shared" si="3"/>
        <v>53</v>
      </c>
      <c r="J49" s="446"/>
    </row>
    <row r="50" spans="1:14" ht="15" customHeight="1">
      <c r="A50" s="446"/>
      <c r="B50" s="510"/>
      <c r="C50" s="510" t="str">
        <f>+IF(Indice_index!$Z$1=1,"Programa IVAUCHER","IVAUCHER Program")</f>
        <v>IVAUCHER Program</v>
      </c>
      <c r="D50" s="510" t="str">
        <f>IF(Indice_index!$Z$1=1,"D.05 - Subsídios","D.05 - Subsidies")</f>
        <v>D.05 - Subsidies</v>
      </c>
      <c r="E50" s="846">
        <v>47.518923000000001</v>
      </c>
      <c r="F50" s="846"/>
      <c r="G50" s="1377"/>
      <c r="H50" s="1377"/>
      <c r="I50" s="848">
        <f t="shared" si="3"/>
        <v>47.518923000000001</v>
      </c>
      <c r="J50" s="446"/>
    </row>
    <row r="51" spans="1:14" ht="15" customHeight="1">
      <c r="A51" s="446"/>
      <c r="B51" s="510"/>
      <c r="C51" s="510" t="str">
        <f>IF(Indice_index!$Z$1=1,"Outros encargos","Other charges")</f>
        <v>Other charges</v>
      </c>
      <c r="D51" s="510" t="str">
        <f>IF(Indice_index!$Z$1=1,"D.06/D.11 - Otr. Desp. Correntes/Capital","D.06 - Other current/capital expenditure")</f>
        <v>D.06 - Other current/capital expenditure</v>
      </c>
      <c r="E51" s="846">
        <v>21.842959879999999</v>
      </c>
      <c r="F51" s="846"/>
      <c r="G51" s="1377">
        <v>2.7768999999999998E-4</v>
      </c>
      <c r="H51" s="1377">
        <v>5.6427043909999997</v>
      </c>
      <c r="I51" s="848">
        <f t="shared" si="1"/>
        <v>27.485941960999998</v>
      </c>
      <c r="J51" s="446"/>
    </row>
    <row r="52" spans="1:14" ht="15" customHeight="1">
      <c r="A52" s="446"/>
      <c r="B52" s="510"/>
      <c r="C52" s="510" t="str">
        <f>IF(Indice_index!$Z$1=1,"Universalização da escola digital ","Universalization of the digital school")</f>
        <v>Universalization of the digital school</v>
      </c>
      <c r="D52" s="510" t="str">
        <f>IF(Indice_index!$Z$1=1,"D.07 - Aq. Bens de Capital","D.07 - Investment")</f>
        <v>D.07 - Investment</v>
      </c>
      <c r="E52" s="846">
        <v>134.27932667999997</v>
      </c>
      <c r="F52" s="846"/>
      <c r="G52" s="1377"/>
      <c r="H52" s="1377"/>
      <c r="I52" s="1383">
        <f t="shared" si="1"/>
        <v>134.27932667999997</v>
      </c>
      <c r="J52" s="446"/>
    </row>
    <row r="53" spans="1:14" ht="15" customHeight="1">
      <c r="A53" s="446"/>
      <c r="B53" s="510"/>
      <c r="C53" s="510" t="str">
        <f>IF(Indice_index!$Z$1=1,"Saúde: equipamentos e outros","Health: equipment and others")</f>
        <v>Health: equipment and others</v>
      </c>
      <c r="D53" s="510" t="str">
        <f>IF(Indice_index!$Z$1=1,"D.07 - Aq. Bens de Capital","D.07 - Investment")</f>
        <v>D.07 - Investment</v>
      </c>
      <c r="E53" s="846">
        <v>55.532840440000015</v>
      </c>
      <c r="F53" s="846"/>
      <c r="G53" s="846">
        <v>4.2783566399999993</v>
      </c>
      <c r="H53" s="846">
        <v>20.014584670000001</v>
      </c>
      <c r="I53" s="1383">
        <f t="shared" si="1"/>
        <v>79.825781750000019</v>
      </c>
      <c r="J53" s="446"/>
    </row>
    <row r="54" spans="1:14" ht="15" customHeight="1">
      <c r="A54" s="446"/>
      <c r="B54" s="510"/>
      <c r="C54" s="510" t="str">
        <f>IF(Indice_index!$Z$1=1,"Apoio ao teletrabalho","Support to teleworking")</f>
        <v>Support to teleworking</v>
      </c>
      <c r="D54" s="510" t="str">
        <f>IF(Indice_index!$Z$1=1,"D.07 - Aq. Bens de Capital","D.07 - Investment")</f>
        <v>D.07 - Investment</v>
      </c>
      <c r="E54" s="846">
        <v>4.2142867599999994</v>
      </c>
      <c r="F54" s="846"/>
      <c r="G54" s="846">
        <v>0</v>
      </c>
      <c r="H54" s="846"/>
      <c r="I54" s="848">
        <f t="shared" si="1"/>
        <v>4.2142867599999994</v>
      </c>
      <c r="J54" s="446"/>
    </row>
    <row r="55" spans="1:14" ht="15" customHeight="1">
      <c r="A55" s="446"/>
      <c r="B55" s="510"/>
      <c r="C55" s="510" t="str">
        <f>IF(Indice_index!$Z$1=1,"Outros equipamentos","Other equipment")</f>
        <v>Other equipment</v>
      </c>
      <c r="D55" s="510" t="str">
        <f>IF(Indice_index!$Z$1=1,"D.07 - Aq. Bens de Capital","D.07 - Investment")</f>
        <v>D.07 - Investment</v>
      </c>
      <c r="E55" s="846">
        <v>15.121770679999997</v>
      </c>
      <c r="F55" s="846"/>
      <c r="G55" s="846">
        <v>1.6075550999999995</v>
      </c>
      <c r="H55" s="846">
        <v>5.1070138400000111</v>
      </c>
      <c r="I55" s="848">
        <f t="shared" si="1"/>
        <v>21.836339620000007</v>
      </c>
      <c r="J55" s="446"/>
    </row>
    <row r="56" spans="1:14" ht="15" customHeight="1">
      <c r="A56" s="446"/>
      <c r="B56" s="510"/>
      <c r="C56" s="510" t="str">
        <f>IF(Indice_index!$Z$1=1,"Programa Adaptar","Adaptar Program")</f>
        <v>Adaptar Program</v>
      </c>
      <c r="D56" s="510" t="str">
        <f>IF(Indice_index!$Z$1=1,"D.08 - Transf. Capital","D.08 - Capital transfers")</f>
        <v>D.08 - Capital transfers</v>
      </c>
      <c r="E56" s="846">
        <v>6.6080326600000001</v>
      </c>
      <c r="F56" s="846"/>
      <c r="G56" s="846">
        <v>0.99974528000000007</v>
      </c>
      <c r="H56" s="846"/>
      <c r="I56" s="848">
        <f t="shared" si="1"/>
        <v>7.6077779400000001</v>
      </c>
      <c r="J56" s="446"/>
    </row>
    <row r="57" spans="1:14" ht="15" customHeight="1">
      <c r="A57" s="446"/>
      <c r="B57" s="510"/>
      <c r="C57" s="510" t="s">
        <v>112</v>
      </c>
      <c r="D57" s="510" t="str">
        <f>IF(Indice_index!$Z$1=1,"D.08 - Transf. Capital","D.08 - Capital transfers")</f>
        <v>D.08 - Capital transfers</v>
      </c>
      <c r="E57" s="846">
        <v>0.36007803999999999</v>
      </c>
      <c r="F57" s="846"/>
      <c r="G57" s="846"/>
      <c r="H57" s="846"/>
      <c r="I57" s="848">
        <f t="shared" ref="I57" si="4">SUM(E57:H57)</f>
        <v>0.36007803999999999</v>
      </c>
      <c r="J57" s="446"/>
    </row>
    <row r="58" spans="1:14" ht="15" customHeight="1">
      <c r="A58" s="446"/>
      <c r="B58" s="510"/>
      <c r="C58" s="510" t="str">
        <f>IF(Indice_index!$Z$1=1,"Programa Apoiar Rendas","Apoiar rentals Program")</f>
        <v>Apoiar rentals Program</v>
      </c>
      <c r="D58" s="510" t="str">
        <f>IF(Indice_index!$Z$1=1,"D.08 - Transf. Capital","D.08 - Capital transfers")</f>
        <v>D.08 - Capital transfers</v>
      </c>
      <c r="E58" s="846">
        <v>0.42939085999999999</v>
      </c>
      <c r="F58" s="846"/>
      <c r="G58" s="846"/>
      <c r="H58" s="846"/>
      <c r="I58" s="848">
        <f t="shared" si="1"/>
        <v>0.42939085999999999</v>
      </c>
      <c r="J58" s="446"/>
    </row>
    <row r="59" spans="1:14" ht="15" customHeight="1">
      <c r="A59" s="446"/>
      <c r="B59" s="510"/>
      <c r="C59" s="510" t="str">
        <f>IF(Indice_index!$Z$1=1,"Programa Apoiar.PT - apoios à economia","Apoiar.PT Program - support to economic activity")</f>
        <v>Apoiar.PT Program - support to economic activity</v>
      </c>
      <c r="D59" s="510" t="str">
        <f>IF(Indice_index!$Z$1=1,"D.08 - Transf. Capital","D.08 - Capital transfers")</f>
        <v>D.08 - Capital transfers</v>
      </c>
      <c r="E59" s="846">
        <v>31.108976119999998</v>
      </c>
      <c r="F59" s="846"/>
      <c r="G59" s="846">
        <v>64.42683993</v>
      </c>
      <c r="H59" s="846"/>
      <c r="I59" s="848">
        <f t="shared" si="1"/>
        <v>95.535816049999994</v>
      </c>
      <c r="J59" s="446"/>
    </row>
    <row r="60" spans="1:14" s="446" customFormat="1" ht="15" customHeight="1">
      <c r="B60" s="510"/>
      <c r="C60" s="510" t="str">
        <f>IF(Indice_index!$Z$1=1,"Outros apoios","Other benefits")</f>
        <v>Other benefits</v>
      </c>
      <c r="D60" s="510" t="str">
        <f>IF(Indice_index!$Z$1=1,"D.08 - Transf. Capital","D.08 - Capital transfers")</f>
        <v>D.08 - Capital transfers</v>
      </c>
      <c r="E60" s="846">
        <v>0.26153599</v>
      </c>
      <c r="F60" s="846"/>
      <c r="G60" s="846">
        <v>36.990990950000004</v>
      </c>
      <c r="H60" s="846">
        <v>8.1061673100000018</v>
      </c>
      <c r="I60" s="848">
        <f t="shared" si="1"/>
        <v>45.358694250000006</v>
      </c>
      <c r="L60" s="467"/>
      <c r="M60" s="485"/>
      <c r="N60" s="485"/>
    </row>
    <row r="61" spans="1:14" ht="4.5" customHeight="1">
      <c r="A61" s="446"/>
      <c r="B61" s="446"/>
      <c r="E61" s="848"/>
      <c r="F61" s="848"/>
      <c r="G61" s="848"/>
      <c r="H61" s="848"/>
      <c r="I61" s="848"/>
      <c r="J61" s="446"/>
    </row>
    <row r="62" spans="1:14" ht="15" customHeight="1">
      <c r="A62" s="446"/>
      <c r="B62" s="446"/>
      <c r="C62" s="1307" t="str">
        <f>IF(Indice_index!$Z$1=1,"Total da Despesa efetiva","Total Effective Expenditure")</f>
        <v>Total Effective Expenditure</v>
      </c>
      <c r="D62" s="1307"/>
      <c r="E62" s="1308">
        <f>SUM(E15:E60)</f>
        <v>2917.855097690001</v>
      </c>
      <c r="F62" s="1308">
        <f>SUM(F15:F60)</f>
        <v>1706.3718403599996</v>
      </c>
      <c r="G62" s="1308">
        <f>SUM(G15:G60)</f>
        <v>322.10930902999934</v>
      </c>
      <c r="H62" s="1308">
        <f>SUM(H15:H60)</f>
        <v>310.8060334060001</v>
      </c>
      <c r="I62" s="1308">
        <f>SUM(I15:I60)</f>
        <v>5257.1422804859985</v>
      </c>
      <c r="J62" s="467"/>
    </row>
    <row r="63" spans="1:14" ht="6.6" customHeight="1">
      <c r="A63" s="446"/>
      <c r="B63" s="446"/>
      <c r="J63" s="446"/>
    </row>
    <row r="64" spans="1:14" ht="15" customHeight="1">
      <c r="A64" s="446"/>
      <c r="B64" s="446"/>
      <c r="C64" s="1307" t="str">
        <f>IF(Indice_index!$Z$1=1,"Ativos financeiros","Financial assets")</f>
        <v>Financial assets</v>
      </c>
      <c r="D64" s="1307"/>
      <c r="E64" s="1308">
        <f>+E66+E69+E67+E65+E68</f>
        <v>1128.90392929</v>
      </c>
      <c r="F64" s="1308">
        <f t="shared" ref="F64:I64" si="5">+F66+F69+F67+F65+F68</f>
        <v>0</v>
      </c>
      <c r="G64" s="1308">
        <f t="shared" si="5"/>
        <v>0</v>
      </c>
      <c r="H64" s="1308">
        <f t="shared" si="5"/>
        <v>0</v>
      </c>
      <c r="I64" s="1308">
        <f t="shared" si="5"/>
        <v>1128.90392929</v>
      </c>
      <c r="J64" s="446"/>
    </row>
    <row r="65" spans="1:11" ht="15" customHeight="1">
      <c r="A65" s="446"/>
      <c r="B65" s="446"/>
      <c r="C65" s="510" t="str">
        <f>IF(Indice_index!$Z$1=1,"Apoio extraordinário à TAP","Extraordinary support for TAP - Aviation company")</f>
        <v>Extraordinary support for TAP - Aviation company</v>
      </c>
      <c r="D65" s="845" t="str">
        <f>IF(Indice_index!$Z$1=1,"D.09 - Ativos financeiros","D.09 - Financial assets")</f>
        <v>D.09 - Financial assets</v>
      </c>
      <c r="E65" s="846">
        <v>998</v>
      </c>
      <c r="F65" s="848"/>
      <c r="G65" s="848"/>
      <c r="H65" s="848"/>
      <c r="I65" s="848">
        <f t="shared" ref="I65" si="6">SUM(E65:H65)</f>
        <v>998</v>
      </c>
      <c r="J65" s="446"/>
    </row>
    <row r="66" spans="1:11" ht="15" customHeight="1">
      <c r="A66" s="446"/>
      <c r="B66" s="446"/>
      <c r="C66" s="510" t="str">
        <f>IF(Indice_index!$Z$1=1,"Apoios reembolsáveis ao arrendamento","Repayable housing rents support")</f>
        <v>Repayable housing rents support</v>
      </c>
      <c r="D66" s="845" t="str">
        <f>IF(Indice_index!$Z$1=1,"D.09 - Ativos financeiros","D.09 - Financial assets")</f>
        <v>D.09 - Financial assets</v>
      </c>
      <c r="E66" s="846">
        <v>0.89802145999999994</v>
      </c>
      <c r="F66" s="848"/>
      <c r="G66" s="848"/>
      <c r="H66" s="848"/>
      <c r="I66" s="848">
        <f t="shared" ref="I66:I67" si="7">SUM(E66:H66)</f>
        <v>0.89802145999999994</v>
      </c>
      <c r="J66" s="446"/>
    </row>
    <row r="67" spans="1:11" ht="15" customHeight="1">
      <c r="A67" s="446"/>
      <c r="B67" s="446"/>
      <c r="C67" s="510" t="str">
        <f>IF(Indice_index!$Z$1=1,"Linha de apoio ao turismo","Tourism support line")</f>
        <v>Tourism support line</v>
      </c>
      <c r="D67" s="845" t="str">
        <f>IF(Indice_index!$Z$1=1,"D.09 - Ativos financeiros","D.09 - Financial assets")</f>
        <v>D.09 - Financial assets</v>
      </c>
      <c r="E67" s="846">
        <v>104.29075</v>
      </c>
      <c r="F67" s="848"/>
      <c r="G67" s="848"/>
      <c r="H67" s="848"/>
      <c r="I67" s="848">
        <f t="shared" si="7"/>
        <v>104.29075</v>
      </c>
      <c r="J67" s="446"/>
    </row>
    <row r="68" spans="1:11" ht="15" customHeight="1">
      <c r="A68" s="446"/>
      <c r="B68" s="446"/>
      <c r="C68" s="510" t="str">
        <f>IF(Indice_index!$Z$1=1,"Linha de apoio tesouraria MPE","Treasury support line for SME")</f>
        <v>Treasury support line for SME</v>
      </c>
      <c r="D68" s="845" t="str">
        <f>IF(Indice_index!$Z$1=1,"D.09 - Ativos financeiros","D.09 - Financial assets")</f>
        <v>D.09 - Financial assets</v>
      </c>
      <c r="E68" s="846">
        <v>25.245000000000001</v>
      </c>
      <c r="F68" s="848"/>
      <c r="G68" s="848"/>
      <c r="H68" s="848"/>
      <c r="I68" s="848">
        <v>25.245000000000001</v>
      </c>
      <c r="J68" s="446"/>
    </row>
    <row r="69" spans="1:11" ht="15" customHeight="1">
      <c r="A69" s="446"/>
      <c r="B69" s="446"/>
      <c r="C69" s="510" t="str">
        <f>IF(Indice_index!$Z$1=1,"Execução de garantias financeiras","Execution of financial guarantees")</f>
        <v>Execution of financial guarantees</v>
      </c>
      <c r="D69" s="845" t="str">
        <f>IF(Indice_index!$Z$1=1,"D.09 - Ativos financeiros","D.09 - Financial assets")</f>
        <v>D.09 - Financial assets</v>
      </c>
      <c r="E69" s="846">
        <v>0.47015783</v>
      </c>
      <c r="F69" s="848"/>
      <c r="G69" s="848"/>
      <c r="H69" s="848"/>
      <c r="I69" s="848">
        <v>0.47015783</v>
      </c>
      <c r="J69" s="446"/>
    </row>
    <row r="70" spans="1:11" ht="15" customHeight="1">
      <c r="A70" s="446"/>
      <c r="B70" s="446"/>
      <c r="C70" s="1307" t="str">
        <f>IF(Indice_index!$Z$1=1,"Total da Despesa Orçamental","Total Expenditure")</f>
        <v>Total Expenditure</v>
      </c>
      <c r="D70" s="1307"/>
      <c r="E70" s="1308">
        <f>+E62+E64</f>
        <v>4046.7590269800012</v>
      </c>
      <c r="F70" s="1308">
        <f t="shared" ref="F70:I70" si="8">+F62+F64</f>
        <v>1706.3718403599996</v>
      </c>
      <c r="G70" s="1308">
        <f t="shared" si="8"/>
        <v>322.10930902999934</v>
      </c>
      <c r="H70" s="1308">
        <f t="shared" si="8"/>
        <v>310.8060334060001</v>
      </c>
      <c r="I70" s="1308">
        <f t="shared" si="8"/>
        <v>6386.0462097759982</v>
      </c>
      <c r="J70" s="446"/>
    </row>
    <row r="71" spans="1:11" ht="4.5" customHeight="1">
      <c r="A71" s="446"/>
      <c r="B71" s="446"/>
      <c r="C71" s="1310"/>
      <c r="D71" s="1310"/>
      <c r="E71" s="1311"/>
      <c r="F71" s="1311"/>
      <c r="G71" s="1311"/>
      <c r="H71" s="1311"/>
      <c r="I71" s="1311"/>
      <c r="J71" s="446"/>
    </row>
    <row r="72" spans="1:11" ht="15" customHeight="1">
      <c r="A72" s="446"/>
      <c r="B72" s="446"/>
      <c r="C72" s="1307" t="str">
        <f>IF(Indice_index!$Z$1=1,"Operações Extra-orçamentais","Extra-budgetary operations")</f>
        <v>Extra-budgetary operations</v>
      </c>
      <c r="D72" s="1307"/>
      <c r="E72" s="1308"/>
      <c r="F72" s="1308"/>
      <c r="G72" s="1308"/>
      <c r="H72" s="1308"/>
      <c r="I72" s="1308"/>
      <c r="J72" s="446"/>
      <c r="K72" s="501"/>
    </row>
    <row r="73" spans="1:11" ht="15" customHeight="1">
      <c r="A73" s="446"/>
      <c r="B73" s="446"/>
      <c r="C73" s="510" t="str">
        <f>IF(Indice_index!$Z$1=1,"Programa Apoiar.PT - apoios à economia","Apoiar.PT Program - support to economic activity")</f>
        <v>Apoiar.PT Program - support to economic activity</v>
      </c>
      <c r="D73" s="510" t="str">
        <f>IF(Indice_index!$Z$1=1,"D.12 - Operações extra-orçamentais","D.12 - Extra-budgetary operations")</f>
        <v>D.12 - Extra-budgetary operations</v>
      </c>
      <c r="E73" s="846">
        <v>872.35218320000001</v>
      </c>
      <c r="F73" s="848"/>
      <c r="G73" s="848"/>
      <c r="H73" s="848"/>
      <c r="I73" s="848">
        <f t="shared" ref="I73" si="9">SUM(E73:H73)</f>
        <v>872.35218320000001</v>
      </c>
      <c r="J73" s="446"/>
    </row>
    <row r="74" spans="1:11" ht="15" customHeight="1">
      <c r="A74" s="446"/>
      <c r="B74" s="446"/>
      <c r="C74" s="510" t="str">
        <f>IF(Indice_index!$Z$1=1,"Linha de apoio à economia","Economy support line")</f>
        <v>Economy support line</v>
      </c>
      <c r="D74" s="845" t="str">
        <f>IF(Indice_index!$Z$1=1,"D.12 - Operações extra-orçamentais","D.12 - Extra-budgetary operations")</f>
        <v>D.12 - Extra-budgetary operations</v>
      </c>
      <c r="E74" s="846">
        <v>41.369029749999996</v>
      </c>
      <c r="F74" s="848"/>
      <c r="G74" s="848"/>
      <c r="H74" s="848"/>
      <c r="I74" s="848">
        <f t="shared" ref="I74:I79" si="10">SUM(E74:H74)</f>
        <v>41.369029749999996</v>
      </c>
      <c r="J74" s="446"/>
    </row>
    <row r="75" spans="1:11" ht="15" customHeight="1">
      <c r="A75" s="446"/>
      <c r="B75" s="446"/>
      <c r="C75" s="510" t="str">
        <f>IF(Indice_index!$Z$1=1,"Programa Apoiar + Simples","Apoiar + Simplex")</f>
        <v>Apoiar + Simplex</v>
      </c>
      <c r="D75" s="845" t="str">
        <f>IF(Indice_index!$Z$1=1,"D.12 - Operações extra-orçamentais","D.12 - Extra-budgetary operations")</f>
        <v>D.12 - Extra-budgetary operations</v>
      </c>
      <c r="E75" s="846">
        <v>54.465043360000003</v>
      </c>
      <c r="F75" s="848"/>
      <c r="G75" s="848"/>
      <c r="H75" s="848"/>
      <c r="I75" s="848">
        <f t="shared" si="10"/>
        <v>54.465043360000003</v>
      </c>
      <c r="J75" s="446"/>
    </row>
    <row r="76" spans="1:11" ht="15" customHeight="1">
      <c r="A76" s="446"/>
      <c r="B76" s="446"/>
      <c r="C76" s="510" t="str">
        <f>IF(Indice_index!$Z$1=1,"Programa Apoiar Rendas","Apoiar rentals Program")</f>
        <v>Apoiar rentals Program</v>
      </c>
      <c r="D76" s="845" t="str">
        <f>IF(Indice_index!$Z$1=1,"D.12 - Operações extra-orçamentais","D.12 - Extra-budgetary operations")</f>
        <v>D.12 - Extra-budgetary operations</v>
      </c>
      <c r="E76" s="846">
        <v>63.017842049999999</v>
      </c>
      <c r="F76" s="848"/>
      <c r="G76" s="848"/>
      <c r="H76" s="848"/>
      <c r="I76" s="848">
        <f t="shared" si="10"/>
        <v>63.017842049999999</v>
      </c>
      <c r="J76" s="446"/>
    </row>
    <row r="77" spans="1:11" ht="15" customHeight="1">
      <c r="A77" s="446"/>
      <c r="B77" s="446"/>
      <c r="C77" s="510" t="str">
        <f>IF(Indice_index!$Z$1=1,"Programa Adaptar","Adaptar Program")</f>
        <v>Adaptar Program</v>
      </c>
      <c r="D77" s="845" t="str">
        <f>IF(Indice_index!$Z$1=1,"D.12 - Operações extra-orçamentais","D.12 - Extra-budgetary operations")</f>
        <v>D.12 - Extra-budgetary operations</v>
      </c>
      <c r="E77" s="846">
        <v>4.7821561199999989</v>
      </c>
      <c r="F77" s="848"/>
      <c r="G77" s="848"/>
      <c r="H77" s="848"/>
      <c r="I77" s="848">
        <f t="shared" si="10"/>
        <v>4.7821561199999989</v>
      </c>
      <c r="J77" s="446"/>
    </row>
    <row r="78" spans="1:11" ht="15" customHeight="1">
      <c r="A78" s="446"/>
      <c r="B78" s="446"/>
      <c r="C78" s="510" t="str">
        <f>IF(Indice_index!$Z$1=1,"Programa Garantir Cultura","Guarantee Culture Program")</f>
        <v>Guarantee Culture Program</v>
      </c>
      <c r="D78" s="845" t="str">
        <f>IF(Indice_index!$Z$1=1,"D.12 - Operações extra-orçamentais","D.12 - Extra-budgetary operations")</f>
        <v>D.12 - Extra-budgetary operations</v>
      </c>
      <c r="E78" s="846">
        <v>15.26292962</v>
      </c>
      <c r="F78" s="848"/>
      <c r="G78" s="848"/>
      <c r="H78" s="848"/>
      <c r="I78" s="848">
        <f t="shared" si="10"/>
        <v>15.26292962</v>
      </c>
      <c r="J78" s="446"/>
    </row>
    <row r="79" spans="1:11" ht="15" customHeight="1">
      <c r="A79" s="446"/>
      <c r="B79" s="446"/>
      <c r="C79" s="510" t="str">
        <f>IF(Indice_index!$Z$1=1,"Outros apoios","Other benefits")</f>
        <v>Other benefits</v>
      </c>
      <c r="D79" s="845" t="str">
        <f>IF(Indice_index!$Z$1=1,"D.12 - Operações extra-orçamentais","D.12 - Extra-budgetary operations")</f>
        <v>D.12 - Extra-budgetary operations</v>
      </c>
      <c r="E79" s="846">
        <v>7.62E-3</v>
      </c>
      <c r="F79" s="848"/>
      <c r="G79" s="848"/>
      <c r="H79" s="848"/>
      <c r="I79" s="848">
        <f t="shared" si="10"/>
        <v>7.62E-3</v>
      </c>
      <c r="J79" s="446"/>
    </row>
    <row r="80" spans="1:11" ht="15" customHeight="1">
      <c r="A80" s="446"/>
      <c r="B80" s="446"/>
      <c r="C80" s="1307" t="str">
        <f>IF(Indice_index!$Z$1=1,"Total da Despesa Extra-orçamental","Total Extra-budgetary Expenditure")</f>
        <v>Total Extra-budgetary Expenditure</v>
      </c>
      <c r="D80" s="1307"/>
      <c r="E80" s="1308">
        <f>SUM(E73:E79)</f>
        <v>1051.2568041000002</v>
      </c>
      <c r="F80" s="1308">
        <f t="shared" ref="F80:I80" si="11">SUM(F73:F79)</f>
        <v>0</v>
      </c>
      <c r="G80" s="1308">
        <f t="shared" si="11"/>
        <v>0</v>
      </c>
      <c r="H80" s="1308">
        <f t="shared" si="11"/>
        <v>0</v>
      </c>
      <c r="I80" s="1308">
        <f t="shared" si="11"/>
        <v>1051.2568041000002</v>
      </c>
      <c r="J80" s="446"/>
    </row>
    <row r="81" spans="1:23" ht="4.5" customHeight="1">
      <c r="A81" s="446"/>
      <c r="B81" s="446"/>
      <c r="C81" s="1312"/>
      <c r="D81" s="1312"/>
      <c r="E81" s="1313"/>
      <c r="F81" s="1313"/>
      <c r="G81" s="1313"/>
      <c r="H81" s="1313"/>
      <c r="I81" s="1313"/>
      <c r="J81" s="446"/>
    </row>
    <row r="82" spans="1:23" ht="15" customHeight="1">
      <c r="A82" s="446"/>
      <c r="B82" s="446"/>
      <c r="C82" s="1314" t="str">
        <f>IF(Indice_index!$Z$1=1,"Montante Global de despesa ","Global expenditure amount")</f>
        <v>Global expenditure amount</v>
      </c>
      <c r="D82" s="1307"/>
      <c r="E82" s="1308">
        <f>+E80+E70</f>
        <v>5098.0158310800016</v>
      </c>
      <c r="F82" s="1308">
        <f>+F80+F70</f>
        <v>1706.3718403599996</v>
      </c>
      <c r="G82" s="1308">
        <f>+G80+G70</f>
        <v>322.10930902999934</v>
      </c>
      <c r="H82" s="1308">
        <f>+H80+H70</f>
        <v>310.8060334060001</v>
      </c>
      <c r="I82" s="1308">
        <f>+I80+I70</f>
        <v>7437.3030138759987</v>
      </c>
      <c r="J82" s="446"/>
    </row>
    <row r="83" spans="1:23" ht="4.5" customHeight="1">
      <c r="A83" s="446"/>
      <c r="B83" s="446"/>
      <c r="C83" s="1378"/>
      <c r="D83" s="1378"/>
      <c r="E83" s="1315"/>
      <c r="F83" s="1315"/>
      <c r="G83" s="1315"/>
      <c r="H83" s="1315"/>
      <c r="I83" s="1315"/>
      <c r="J83" s="446"/>
    </row>
    <row r="84" spans="1:23" ht="15" customHeight="1">
      <c r="A84" s="446"/>
      <c r="B84" s="446"/>
      <c r="C84" s="1316" t="str">
        <f>IF(Indice_index!$Z$1=1,"Notas:","Notes:")</f>
        <v>Notes:</v>
      </c>
      <c r="D84" s="1317"/>
      <c r="E84" s="1318"/>
      <c r="F84" s="1318"/>
      <c r="G84" s="1318"/>
      <c r="H84" s="1318"/>
      <c r="I84" s="1318"/>
      <c r="J84" s="467"/>
    </row>
    <row r="85" spans="1:23" ht="47.25" customHeight="1">
      <c r="C85" s="1574"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normalidade'"&amp;C180,C181)</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85" s="1574"/>
      <c r="E85" s="1574"/>
      <c r="F85" s="1574"/>
      <c r="G85" s="1574"/>
      <c r="H85" s="1574"/>
      <c r="I85" s="1574"/>
    </row>
    <row r="86" spans="1:23" ht="15" customHeight="1">
      <c r="C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E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F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G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H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I86" s="15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row>
    <row r="87" spans="1:23" ht="27" customHeight="1">
      <c r="C87" s="1577" t="str">
        <f>IF(Indice_index!$Z$1=1,C114,"The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D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7"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8" spans="1:23" ht="23.1" customHeight="1">
      <c r="C88" s="1577" t="str">
        <f>IF(Indice_index!$Z$1=1,"O valor do impacto da suspenção de pagamentos de planos prestacionais e processos de execução contributiva não se encontra atualizado ao mês de dezembro, tendo-se publicado a última informação disponível.","The value of the impact of the suspension regarding the payment in instalments plans and the contributory execution processes is not available for December, thus being used the latest available information published.")</f>
        <v>The value of the impact of the suspension regarding the payment in instalments plans and the contributory execution processes is not available for December, thus being used the latest available information published.</v>
      </c>
      <c r="D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8"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9" spans="1:23">
      <c r="C89" s="1577" t="str">
        <f>IF(Indice_index!$Z$1=1,"Em dezembro de 2020 o Apoio extraordinário à TAP ascendeu a 1.200 milhões de euros.","In November 2020, Extraordinary Support to TAP - Aviation Company amounted to 1.200 million euros.")</f>
        <v>In November 2020, Extraordinary Support to TAP - Aviation Company amounted to 1.200 million euros.</v>
      </c>
      <c r="D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9" s="1577"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90" spans="1:23" ht="25.35" customHeight="1">
      <c r="C90" s="1578"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90" s="157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91" spans="1:23" ht="15" customHeight="1">
      <c r="C91" s="1576" t="str">
        <f>IF(Indice_index!$Z$1=1,"Os dados da Administração Regional e Local são provisórios.","Data from regional and local governments are provisional.")</f>
        <v>Data from regional and local governments are provisional.</v>
      </c>
      <c r="D91" s="1576" t="str">
        <f>IF(Indice_index!$Z$1=1,"Os dados da Administração Regional e Local são provisórios.","Data from regional and local governments are provisional.")</f>
        <v>Data from regional and local governments are provisional.</v>
      </c>
      <c r="E91" s="1576" t="str">
        <f>IF(Indice_index!$Z$1=1,"Os dados da Administração Regional e Local são provisórios.","Data from regional and local governments are provisional.")</f>
        <v>Data from regional and local governments are provisional.</v>
      </c>
      <c r="F91" s="1576" t="str">
        <f>IF(Indice_index!$Z$1=1,"Os dados da Administração Regional e Local são provisórios.","Data from regional and local governments are provisional.")</f>
        <v>Data from regional and local governments are provisional.</v>
      </c>
      <c r="G91" s="1576" t="str">
        <f>IF(Indice_index!$Z$1=1,"Os dados da Administração Regional e Local são provisórios.","Data from regional and local governments are provisional.")</f>
        <v>Data from regional and local governments are provisional.</v>
      </c>
      <c r="H91" s="1576" t="str">
        <f>IF(Indice_index!$Z$1=1,"Os dados da Administração Regional e Local são provisórios.","Data from regional and local governments are provisional.")</f>
        <v>Data from regional and local governments are provisional.</v>
      </c>
      <c r="I91" s="1576" t="str">
        <f>IF(Indice_index!$Z$1=1,"Os dados da Administração Regional e Local são provisórios.","Data from regional and local governments are provisional.")</f>
        <v>Data from regional and local governments are provisional.</v>
      </c>
    </row>
    <row r="92" spans="1:23" ht="15" customHeight="1">
      <c r="C92" s="567" t="str">
        <f>IF(Indice_index!$Z$1=1,"O subsector da Administração Local inclui municípios e freguesias.","The local government sub-sector includes municipalities and parishes.")</f>
        <v>The local government sub-sector includes municipalities and parishes.</v>
      </c>
    </row>
    <row r="93" spans="1:23" s="446" customFormat="1" ht="4.5" customHeight="1">
      <c r="C93" s="1312"/>
      <c r="D93" s="1312"/>
      <c r="E93" s="1313"/>
      <c r="F93" s="1313"/>
      <c r="G93" s="1313"/>
      <c r="H93" s="1313"/>
      <c r="I93" s="1313"/>
      <c r="M93" s="485"/>
      <c r="N93" s="485"/>
      <c r="P93" s="465"/>
      <c r="Q93" s="465"/>
      <c r="R93" s="465"/>
      <c r="S93" s="465"/>
      <c r="T93" s="465"/>
      <c r="U93" s="465"/>
      <c r="V93" s="465"/>
      <c r="W93" s="465"/>
    </row>
    <row r="94" spans="1:23" s="446" customFormat="1" ht="15" customHeight="1">
      <c r="C94" s="1316" t="str">
        <f>IF(Indice_index!$Z$1=1,"Fonte:","Source:")</f>
        <v>Source:</v>
      </c>
      <c r="D94" s="1312"/>
      <c r="E94" s="1313"/>
      <c r="F94" s="1313"/>
      <c r="G94" s="1313"/>
      <c r="H94" s="1313"/>
      <c r="I94" s="1313"/>
      <c r="M94" s="485"/>
      <c r="N94" s="485"/>
      <c r="Q94" s="465"/>
      <c r="S94" s="465"/>
      <c r="U94" s="465"/>
    </row>
    <row r="95" spans="1:23">
      <c r="C95" s="1574" t="s">
        <v>88</v>
      </c>
      <c r="D95" s="1574"/>
      <c r="E95" s="1574"/>
      <c r="F95" s="1574"/>
      <c r="G95" s="1574"/>
      <c r="H95" s="1574"/>
      <c r="I95" s="1574"/>
    </row>
    <row r="96" spans="1:23" ht="22.5" customHeight="1">
      <c r="C96" s="1574"/>
      <c r="D96" s="1574"/>
      <c r="E96" s="1574"/>
      <c r="F96" s="1574"/>
      <c r="G96" s="1574"/>
      <c r="H96" s="1574"/>
      <c r="I96" s="1574"/>
    </row>
    <row r="101" spans="3:9">
      <c r="C101" s="1574"/>
      <c r="D101" s="1574"/>
      <c r="E101" s="1574"/>
      <c r="F101" s="1574"/>
      <c r="G101" s="1574"/>
      <c r="H101" s="1574"/>
      <c r="I101" s="1574"/>
    </row>
    <row r="114" spans="3:9">
      <c r="C114" s="1573" t="s">
        <v>113</v>
      </c>
      <c r="D114" s="1573"/>
      <c r="E114" s="1573"/>
      <c r="F114" s="1573"/>
      <c r="G114" s="1573"/>
      <c r="H114" s="1573"/>
      <c r="I114" s="1573"/>
    </row>
    <row r="115" spans="3:9">
      <c r="C115" s="634"/>
    </row>
    <row r="180" spans="3:3">
      <c r="C180" s="1319" t="s">
        <v>89</v>
      </c>
    </row>
    <row r="181" spans="3:3">
      <c r="C181" s="1319" t="s">
        <v>90</v>
      </c>
    </row>
  </sheetData>
  <mergeCells count="11">
    <mergeCell ref="C114:I114"/>
    <mergeCell ref="C95:I96"/>
    <mergeCell ref="C4:I4"/>
    <mergeCell ref="C91:I91"/>
    <mergeCell ref="C86:I86"/>
    <mergeCell ref="C87:I87"/>
    <mergeCell ref="C85:I85"/>
    <mergeCell ref="C90:I90"/>
    <mergeCell ref="C88:I88"/>
    <mergeCell ref="C89:I89"/>
    <mergeCell ref="C101:I101"/>
  </mergeCells>
  <printOptions horizontalCentered="1"/>
  <pageMargins left="0.70866141732283472" right="0.70866141732283472" top="0.74803149606299213" bottom="0.74803149606299213" header="0.74803149606299213" footer="0.35433070866141736"/>
  <pageSetup paperSize="9" scale="52" orientation="portrait" r:id="rId1"/>
  <headerFooter differentOddEven="1">
    <oddFooter>&amp;R&amp;G</oddFooter>
    <evenFooter>&amp;L&amp;G</even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9"/>
  <dimension ref="B1:T100"/>
  <sheetViews>
    <sheetView showGridLines="0" zoomScaleNormal="100" zoomScaleSheetLayoutView="100" workbookViewId="0">
      <selection activeCell="B2" sqref="B2"/>
    </sheetView>
  </sheetViews>
  <sheetFormatPr defaultColWidth="9.140625" defaultRowHeight="11.25"/>
  <cols>
    <col min="1" max="1" width="1.140625" style="23" customWidth="1"/>
    <col min="2" max="2" width="4.42578125" style="23" customWidth="1"/>
    <col min="3" max="3" width="36.42578125" style="23" customWidth="1"/>
    <col min="4" max="4" width="9.42578125" style="23" hidden="1" customWidth="1"/>
    <col min="5" max="10" width="9.42578125" style="23" customWidth="1"/>
    <col min="11" max="11" width="8.5703125" style="23" customWidth="1"/>
    <col min="12" max="12" width="8.5703125" style="24" customWidth="1"/>
    <col min="13" max="16" width="8.5703125" style="23" customWidth="1"/>
    <col min="17" max="17" width="7.5703125" style="23" customWidth="1"/>
    <col min="18" max="18" width="12" style="23" bestFit="1" customWidth="1"/>
    <col min="19" max="19" width="7.5703125" style="25" customWidth="1"/>
    <col min="20" max="20" width="9.140625" style="25"/>
    <col min="21" max="16384" width="9.140625" style="23"/>
  </cols>
  <sheetData>
    <row r="1" spans="2:20" ht="15" customHeight="1"/>
    <row r="2" spans="2:20" ht="24" customHeight="1">
      <c r="B2" s="8"/>
      <c r="C2" s="22" t="str">
        <f>IF(Indice_index!$Z$1=1,"4 - Conta Consolidada da Administração Central e Segurança Social","4 - Central Government and Social Security Consolidated Account")</f>
        <v>4 - Central Government and Social Security Consolidated Account</v>
      </c>
      <c r="D2" s="22"/>
      <c r="E2" s="22"/>
      <c r="F2" s="22"/>
      <c r="G2" s="22"/>
      <c r="H2" s="22"/>
      <c r="I2" s="22"/>
      <c r="J2" s="22"/>
    </row>
    <row r="3" spans="2:20" ht="15" customHeight="1"/>
    <row r="4" spans="2:20" ht="15" customHeight="1">
      <c r="C4" s="26"/>
      <c r="D4" s="26"/>
      <c r="E4" s="26"/>
      <c r="F4" s="26"/>
      <c r="G4" s="26"/>
      <c r="H4" s="26"/>
      <c r="I4" s="26"/>
      <c r="J4" s="26"/>
    </row>
    <row r="5" spans="2:20" s="267" customFormat="1" ht="15" customHeight="1">
      <c r="C5" s="849" t="str">
        <f>IF(Indice_index!$Z$1=1,"Período: janeiro a dezembro","Period: January to December")</f>
        <v>Period: January to December</v>
      </c>
      <c r="D5" s="849"/>
      <c r="E5" s="849"/>
      <c r="F5" s="850"/>
      <c r="H5" s="850"/>
      <c r="I5" s="850"/>
      <c r="J5" s="851" t="str">
        <f>IF(Indice_index!$Z$1=1,"€ Milhões","€ Millions")</f>
        <v>€ Millions</v>
      </c>
      <c r="L5" s="268"/>
      <c r="S5" s="269"/>
      <c r="T5" s="269"/>
    </row>
    <row r="6" spans="2:20" ht="35.25" customHeight="1">
      <c r="C6" s="852"/>
      <c r="D6" s="703" t="str">
        <f>IF(Indice_index!$Z$1=1,"CGE","Final execution")</f>
        <v>Final execution</v>
      </c>
      <c r="E6" s="703" t="str">
        <f>IF(Indice_index!$Z$1=1,"Orçamento Inicial","Budget")</f>
        <v>Budget</v>
      </c>
      <c r="F6" s="1579" t="str">
        <f>IF(Indice_index!$Z$1=1,"Execução Acumulada","Accumulated Execution")</f>
        <v>Accumulated Execution</v>
      </c>
      <c r="G6" s="1579"/>
      <c r="H6" s="853" t="str">
        <f>IF(Indice_index!$Z$1=1,"Grau de Execução (%)","Execution Degree (%)")</f>
        <v>Execution Degree (%)</v>
      </c>
      <c r="I6" s="1580" t="str">
        <f>IF(Indice_index!$Z$1=1,"Variação Homóloga Acumulada","YOY Change Rate")</f>
        <v>YOY Change Rate</v>
      </c>
      <c r="J6" s="1581"/>
    </row>
    <row r="7" spans="2:20" ht="22.5">
      <c r="C7" s="854"/>
      <c r="D7" s="705" t="s">
        <v>66</v>
      </c>
      <c r="E7" s="705" t="s">
        <v>83</v>
      </c>
      <c r="F7" s="855" t="s">
        <v>66</v>
      </c>
      <c r="G7" s="855" t="s">
        <v>83</v>
      </c>
      <c r="H7" s="856" t="s">
        <v>83</v>
      </c>
      <c r="I7" s="855" t="str">
        <f>IF(Indice_index!$Z$1=1,"Relativa (%)","Relative change (%)")</f>
        <v>Relative change (%)</v>
      </c>
      <c r="J7" s="710" t="str">
        <f>IF(Indice_index!$Z$1=1,"Contributo VHA (p.p.)","YOY Change Rate Contrib. (p.p.)")</f>
        <v>YOY Change Rate Contrib. (p.p.)</v>
      </c>
    </row>
    <row r="8" spans="2:20" ht="5.25" customHeight="1">
      <c r="C8" s="857"/>
      <c r="D8" s="857"/>
      <c r="E8" s="857"/>
      <c r="F8" s="858"/>
      <c r="G8" s="858"/>
      <c r="H8" s="858"/>
      <c r="I8" s="858"/>
      <c r="J8" s="858"/>
    </row>
    <row r="9" spans="2:20" s="267" customFormat="1" ht="15" customHeight="1">
      <c r="C9" s="859" t="str">
        <f>IF(Indice_index!$Z$1=1,"Receita corrente","Current revenue")</f>
        <v>Current revenue</v>
      </c>
      <c r="D9" s="859">
        <f t="shared" ref="D9:E9" si="0">SUM(D11:D14)+D17+D18</f>
        <v>76077.645313270026</v>
      </c>
      <c r="E9" s="859">
        <f t="shared" si="0"/>
        <v>81250.875046000001</v>
      </c>
      <c r="F9" s="859">
        <f t="shared" ref="F9:G9" si="1">SUM(F11:F14)+F17+F18</f>
        <v>76077.645313270026</v>
      </c>
      <c r="G9" s="859">
        <f t="shared" si="1"/>
        <v>82871.37060342</v>
      </c>
      <c r="H9" s="860">
        <f>IFERROR(IF(G9/E9*100&lt;-500,"-",IF(G9/E9*100&gt;500,"-",G9/E9*100)),"-")</f>
        <v>101.99443459101525</v>
      </c>
      <c r="I9" s="860">
        <f>IF(IFERROR((G9-F9)/F9*100,"")&gt;500,"-",IFERROR((G9-F9)/F9*100,""))</f>
        <v>8.9299889109014821</v>
      </c>
      <c r="J9" s="861">
        <f>IFERROR((G9-F9)/$F$27*100,"")</f>
        <v>8.8058360482726403</v>
      </c>
      <c r="K9" s="269"/>
      <c r="L9" s="270"/>
      <c r="M9" s="271"/>
      <c r="N9" s="271"/>
      <c r="O9" s="271"/>
      <c r="P9" s="271"/>
      <c r="Q9" s="271"/>
      <c r="R9" s="271"/>
      <c r="S9" s="271"/>
      <c r="T9" s="269"/>
    </row>
    <row r="10" spans="2:20" ht="15" customHeight="1">
      <c r="C10" s="862" t="str">
        <f>IF(Indice_index!$Z$1=1,"Receita fiscal","Tax")</f>
        <v>Tax</v>
      </c>
      <c r="D10" s="863">
        <f t="shared" ref="D10:E10" si="2">+D11+D12</f>
        <v>43986.677878710012</v>
      </c>
      <c r="E10" s="863">
        <f t="shared" si="2"/>
        <v>44694.270699000001</v>
      </c>
      <c r="F10" s="863">
        <f t="shared" ref="F10:G10" si="3">+F11+F12</f>
        <v>43986.677878710012</v>
      </c>
      <c r="G10" s="863">
        <f t="shared" si="3"/>
        <v>46304.562334880007</v>
      </c>
      <c r="H10" s="864">
        <f t="shared" ref="H10:H24" si="4">IFERROR(IF(G10/E10*100&lt;-500,"-",IF(G10/E10*100&gt;500,"-",G10/E10*100)),"-")</f>
        <v>103.60290393085224</v>
      </c>
      <c r="I10" s="864">
        <f>IF(IFERROR((G10-F10)/F10*100,"")&gt;500,"-",IFERROR((G10-F10)/F10*100,""))</f>
        <v>5.2695146984307133</v>
      </c>
      <c r="J10" s="865">
        <f t="shared" ref="J10:J17" si="5">IFERROR((G10-F10)/$F$27*100,"")</f>
        <v>3.004376778299493</v>
      </c>
      <c r="K10" s="25"/>
      <c r="L10" s="27"/>
      <c r="M10" s="27"/>
      <c r="N10" s="28"/>
      <c r="O10" s="28"/>
      <c r="P10" s="28"/>
      <c r="Q10" s="28"/>
      <c r="R10" s="28"/>
      <c r="S10" s="28"/>
    </row>
    <row r="11" spans="2:20" ht="15" customHeight="1">
      <c r="C11" s="866" t="str">
        <f>IF(Indice_index!$Z$1=1,"Impostos diretos ","Direct taxes")</f>
        <v>Direct taxes</v>
      </c>
      <c r="D11" s="863">
        <v>19153.901822950007</v>
      </c>
      <c r="E11" s="863">
        <v>19051.553058000001</v>
      </c>
      <c r="F11" s="863">
        <v>19153.901822950007</v>
      </c>
      <c r="G11" s="863">
        <v>19954.721445520005</v>
      </c>
      <c r="H11" s="864">
        <f t="shared" si="4"/>
        <v>104.7406549207323</v>
      </c>
      <c r="I11" s="864">
        <f>IF(IFERROR((G11-F11)/F11*100,"")&gt;500,"-",IFERROR((G11-F11)/F11*100,""))</f>
        <v>4.1809738296270469</v>
      </c>
      <c r="J11" s="865">
        <f t="shared" si="5"/>
        <v>1.0379999189568794</v>
      </c>
      <c r="K11" s="25"/>
      <c r="L11" s="27"/>
      <c r="M11" s="27"/>
      <c r="N11" s="28"/>
      <c r="O11" s="28"/>
      <c r="P11" s="28"/>
      <c r="Q11" s="28"/>
      <c r="R11" s="28"/>
      <c r="S11" s="28"/>
    </row>
    <row r="12" spans="2:20" ht="15" customHeight="1">
      <c r="C12" s="866" t="str">
        <f>IF(Indice_index!$Z$1=1,"Impostos indiretos","Indirect taxes")</f>
        <v>Indirect taxes</v>
      </c>
      <c r="D12" s="863">
        <v>24832.776055760005</v>
      </c>
      <c r="E12" s="863">
        <v>25642.717640999999</v>
      </c>
      <c r="F12" s="863">
        <v>24832.776055760005</v>
      </c>
      <c r="G12" s="863">
        <v>26349.840889360003</v>
      </c>
      <c r="H12" s="864">
        <f t="shared" si="4"/>
        <v>102.75759870018375</v>
      </c>
      <c r="I12" s="864">
        <f t="shared" ref="I12:I23" si="6">IF(IFERROR((G12-F12)/F12*100,"")&gt;500,"-",IFERROR((G12-F12)/F12*100,""))</f>
        <v>6.109123000157334</v>
      </c>
      <c r="J12" s="865">
        <f t="shared" si="5"/>
        <v>1.9663768593426139</v>
      </c>
      <c r="K12" s="25"/>
      <c r="L12" s="27"/>
      <c r="M12" s="27"/>
      <c r="N12" s="28"/>
      <c r="O12" s="28"/>
      <c r="P12" s="28"/>
      <c r="Q12" s="28"/>
      <c r="R12" s="28"/>
      <c r="S12" s="28"/>
    </row>
    <row r="13" spans="2:20" ht="15" customHeight="1">
      <c r="C13" s="867" t="str">
        <f>IF(Indice_index!$Z$1=1,"Contribuições para Segurança Social, CGA e ADSE","Social security, CGA and ADSE contributions")</f>
        <v>Social security, CGA and ADSE contributions</v>
      </c>
      <c r="D13" s="863">
        <v>22399.486679070003</v>
      </c>
      <c r="E13" s="863">
        <v>22840.946011</v>
      </c>
      <c r="F13" s="863">
        <v>22399.486679070003</v>
      </c>
      <c r="G13" s="863">
        <v>24195.115062429999</v>
      </c>
      <c r="H13" s="864">
        <f t="shared" si="4"/>
        <v>105.92869074152114</v>
      </c>
      <c r="I13" s="864">
        <f>IF(IFERROR((G13-F13)/F13*100,"")&gt;500,"-",IFERROR((G13-F13)/F13*100,""))</f>
        <v>8.0163818443117449</v>
      </c>
      <c r="J13" s="865">
        <f t="shared" si="5"/>
        <v>2.3274431143717789</v>
      </c>
      <c r="K13" s="25"/>
      <c r="L13" s="27"/>
      <c r="M13" s="27"/>
      <c r="N13" s="28"/>
      <c r="O13" s="28"/>
      <c r="P13" s="28"/>
      <c r="Q13" s="28"/>
      <c r="R13" s="28"/>
      <c r="S13" s="28"/>
    </row>
    <row r="14" spans="2:20" ht="15" customHeight="1">
      <c r="C14" s="867" t="str">
        <f>IF(Indice_index!$Z$1=1,"Transferências Correntes","Current transfers")</f>
        <v>Current transfers</v>
      </c>
      <c r="D14" s="863">
        <f t="shared" ref="D14:E14" si="7">+D15+D16</f>
        <v>2039.8639327700009</v>
      </c>
      <c r="E14" s="863">
        <f t="shared" si="7"/>
        <v>4086.0071860000007</v>
      </c>
      <c r="F14" s="863">
        <f>+F15+F16</f>
        <v>2039.8639327700009</v>
      </c>
      <c r="G14" s="863">
        <f>+G15+G16</f>
        <v>3031.6946987400029</v>
      </c>
      <c r="H14" s="864">
        <f t="shared" si="4"/>
        <v>74.196998701509443</v>
      </c>
      <c r="I14" s="864">
        <f>IF(IFERROR((G14-F14)/F14*100,"")&gt;500,"-",IFERROR((G14-F14)/F14*100,""))</f>
        <v>48.622398290221305</v>
      </c>
      <c r="J14" s="865">
        <f t="shared" si="5"/>
        <v>1.2855832021096782</v>
      </c>
      <c r="K14" s="25"/>
      <c r="L14" s="27"/>
      <c r="M14" s="28"/>
      <c r="N14" s="28"/>
      <c r="O14" s="28"/>
      <c r="P14" s="28"/>
      <c r="Q14" s="28"/>
      <c r="R14" s="28"/>
      <c r="S14" s="28"/>
    </row>
    <row r="15" spans="2:20" ht="15" customHeight="1">
      <c r="C15" s="868" t="str">
        <f>IF(Indice_index!$Z$1=1,"Administrações Públicas","General Government subsectors")</f>
        <v>General Government subsectors</v>
      </c>
      <c r="D15" s="863">
        <v>144.73869795000064</v>
      </c>
      <c r="E15" s="863">
        <v>143.68694200000027</v>
      </c>
      <c r="F15" s="863">
        <v>144.73869795000064</v>
      </c>
      <c r="G15" s="863">
        <v>189.77540779000265</v>
      </c>
      <c r="H15" s="864">
        <f t="shared" si="4"/>
        <v>132.07561184648378</v>
      </c>
      <c r="I15" s="864">
        <f>IF(IFERROR((G15-F15)/F15*100,"")&gt;500,"-",IFERROR((G15-F15)/F15*100,""))</f>
        <v>31.115873279141798</v>
      </c>
      <c r="J15" s="865">
        <f t="shared" si="5"/>
        <v>5.8375319293478521E-2</v>
      </c>
      <c r="K15" s="25"/>
      <c r="L15" s="27"/>
      <c r="M15" s="28"/>
      <c r="N15" s="28"/>
      <c r="O15" s="28"/>
      <c r="P15" s="28"/>
      <c r="Q15" s="28"/>
      <c r="R15" s="28"/>
      <c r="S15" s="28"/>
    </row>
    <row r="16" spans="2:20" ht="15" customHeight="1">
      <c r="C16" s="868" t="str">
        <f>IF(Indice_index!$Z$1=1,"Outras","Others")</f>
        <v>Others</v>
      </c>
      <c r="D16" s="863">
        <v>1895.1252348200003</v>
      </c>
      <c r="E16" s="863">
        <v>3942.3202440000005</v>
      </c>
      <c r="F16" s="863">
        <v>1895.1252348200003</v>
      </c>
      <c r="G16" s="863">
        <v>2841.9192909500002</v>
      </c>
      <c r="H16" s="864">
        <f t="shared" si="4"/>
        <v>72.087479328328257</v>
      </c>
      <c r="I16" s="864">
        <f>IF(IFERROR((G16-F16)/F16*100,"")&gt;500,"-",IFERROR((G16-F16)/F16*100,""))</f>
        <v>49.959445356650896</v>
      </c>
      <c r="J16" s="865">
        <f t="shared" si="5"/>
        <v>1.2272078828161999</v>
      </c>
      <c r="K16" s="25"/>
      <c r="L16" s="27"/>
      <c r="M16" s="28"/>
      <c r="N16" s="28"/>
      <c r="O16" s="28"/>
      <c r="P16" s="28"/>
      <c r="Q16" s="28"/>
      <c r="R16" s="28"/>
      <c r="S16" s="28"/>
    </row>
    <row r="17" spans="3:20" ht="15" customHeight="1">
      <c r="C17" s="867" t="str">
        <f>IF(Indice_index!$Z$1=1,"Outras receitas correntes","Other current revenue")</f>
        <v>Other current revenue</v>
      </c>
      <c r="D17" s="863">
        <v>7638.1429806500009</v>
      </c>
      <c r="E17" s="863">
        <v>9527.8689969999996</v>
      </c>
      <c r="F17" s="863">
        <v>7638.1429806500009</v>
      </c>
      <c r="G17" s="863">
        <v>9298.1496700399966</v>
      </c>
      <c r="H17" s="864">
        <f t="shared" si="4"/>
        <v>97.58897475361664</v>
      </c>
      <c r="I17" s="864">
        <f t="shared" si="6"/>
        <v>21.733118816908167</v>
      </c>
      <c r="J17" s="865">
        <f t="shared" si="5"/>
        <v>2.1516540810088385</v>
      </c>
      <c r="K17" s="25"/>
      <c r="L17" s="27"/>
      <c r="M17" s="28"/>
      <c r="N17" s="28"/>
      <c r="O17" s="28"/>
      <c r="P17" s="28"/>
      <c r="Q17" s="28"/>
      <c r="R17" s="28"/>
      <c r="S17" s="28"/>
    </row>
    <row r="18" spans="3:20" ht="15" customHeight="1">
      <c r="C18" s="867" t="str">
        <f>IF(Indice_index!$Z$1=1,"Diferenças de consolidação","Consolidation differences")</f>
        <v>Consolidation differences</v>
      </c>
      <c r="D18" s="863">
        <v>13.473842070000064</v>
      </c>
      <c r="E18" s="863">
        <v>101.78215299999972</v>
      </c>
      <c r="F18" s="863">
        <v>13.473842069999154</v>
      </c>
      <c r="G18" s="863">
        <v>41.848837329996691</v>
      </c>
      <c r="H18" s="864"/>
      <c r="I18" s="865"/>
      <c r="J18" s="865"/>
      <c r="K18" s="25"/>
      <c r="L18" s="27"/>
      <c r="M18" s="28"/>
      <c r="N18" s="28"/>
      <c r="O18" s="28"/>
      <c r="P18" s="28"/>
      <c r="Q18" s="28"/>
      <c r="R18" s="28"/>
      <c r="S18" s="28"/>
    </row>
    <row r="19" spans="3:20" s="272" customFormat="1" ht="15" customHeight="1">
      <c r="C19" s="859" t="str">
        <f>IF(Indice_index!$Z$1=1,"Receita de capital","Capital revenue")</f>
        <v>Capital revenue</v>
      </c>
      <c r="D19" s="859">
        <f t="shared" ref="D19:E19" si="8">+D20+D21+D24+D25</f>
        <v>1072.6133663999999</v>
      </c>
      <c r="E19" s="859">
        <f t="shared" si="8"/>
        <v>3013.5340180000003</v>
      </c>
      <c r="F19" s="859">
        <f t="shared" ref="F19:G19" si="9">+F20+F21+F24+F25</f>
        <v>1072.6133663999999</v>
      </c>
      <c r="G19" s="859">
        <f t="shared" si="9"/>
        <v>1165.9740226700005</v>
      </c>
      <c r="H19" s="860">
        <f t="shared" si="4"/>
        <v>38.691251391408734</v>
      </c>
      <c r="I19" s="860">
        <f>IF(IFERROR((G19-F19)/F19*100,"")&gt;500,"-",IFERROR((G19-F19)/F19*100,""))</f>
        <v>8.7040362533748699</v>
      </c>
      <c r="J19" s="861">
        <f t="shared" ref="J19:J24" si="10">IFERROR((G19-F19)/$F$27*100,"")</f>
        <v>0.12101146239526767</v>
      </c>
      <c r="K19" s="269"/>
      <c r="L19" s="270"/>
      <c r="M19" s="271"/>
      <c r="N19" s="271"/>
      <c r="O19" s="271"/>
      <c r="P19" s="271"/>
      <c r="Q19" s="271"/>
      <c r="R19" s="271"/>
      <c r="S19" s="271"/>
      <c r="T19" s="269"/>
    </row>
    <row r="20" spans="3:20" ht="15" customHeight="1">
      <c r="C20" s="867" t="str">
        <f>IF(Indice_index!$Z$1=1,"Venda de bens de investimento","Sale of investment goods")</f>
        <v>Sale of investment goods</v>
      </c>
      <c r="D20" s="863">
        <v>145.45496288000001</v>
      </c>
      <c r="E20" s="863">
        <v>364.93011999999999</v>
      </c>
      <c r="F20" s="863">
        <v>145.45496288000001</v>
      </c>
      <c r="G20" s="863">
        <v>152.11033176999993</v>
      </c>
      <c r="H20" s="864">
        <f t="shared" si="4"/>
        <v>41.682043611527583</v>
      </c>
      <c r="I20" s="864">
        <f>IF(IFERROR((G20-F20)/F20*100,"")&gt;500,"-",IFERROR((G20-F20)/F20*100,""))</f>
        <v>4.5755529809529998</v>
      </c>
      <c r="J20" s="865">
        <f t="shared" si="10"/>
        <v>8.6265023655114279E-3</v>
      </c>
      <c r="K20" s="25"/>
      <c r="L20" s="27"/>
      <c r="M20" s="27"/>
      <c r="N20" s="28"/>
      <c r="O20" s="28"/>
      <c r="P20" s="28"/>
      <c r="Q20" s="28"/>
      <c r="R20" s="28"/>
      <c r="S20" s="28"/>
    </row>
    <row r="21" spans="3:20" ht="15" customHeight="1">
      <c r="C21" s="867" t="str">
        <f>IF(Indice_index!$Z$1=1,"Transferências de Capital","Capital transfers")</f>
        <v>Capital transfers</v>
      </c>
      <c r="D21" s="863">
        <f t="shared" ref="D21:E21" si="11">+D22+D23</f>
        <v>853.9904637799998</v>
      </c>
      <c r="E21" s="863">
        <f t="shared" si="11"/>
        <v>2614.0456410000002</v>
      </c>
      <c r="F21" s="863">
        <f t="shared" ref="F21:G21" si="12">+F22+F23</f>
        <v>853.9904637799998</v>
      </c>
      <c r="G21" s="863">
        <f t="shared" si="12"/>
        <v>983.31325083000024</v>
      </c>
      <c r="H21" s="864">
        <f t="shared" si="4"/>
        <v>37.616529543601807</v>
      </c>
      <c r="I21" s="864">
        <f>IF(IFERROR((G21-F21)/F21*100,"")&gt;500,"-",IFERROR((G21-F21)/F21*100,""))</f>
        <v>15.143352594077191</v>
      </c>
      <c r="J21" s="865">
        <f t="shared" si="10"/>
        <v>0.16762456699847525</v>
      </c>
      <c r="K21" s="25"/>
      <c r="L21" s="27"/>
      <c r="M21" s="28"/>
      <c r="N21" s="28"/>
      <c r="O21" s="28"/>
      <c r="P21" s="28"/>
      <c r="Q21" s="28"/>
      <c r="R21" s="28"/>
      <c r="S21" s="28"/>
    </row>
    <row r="22" spans="3:20" ht="15" customHeight="1">
      <c r="C22" s="868" t="str">
        <f>IF(Indice_index!$Z$1=1,"Administrações Públicas","General Government subsectors")</f>
        <v>General Government subsectors</v>
      </c>
      <c r="D22" s="863">
        <v>7.1971570100000006</v>
      </c>
      <c r="E22" s="863">
        <v>18.768305999999999</v>
      </c>
      <c r="F22" s="863">
        <v>7.1971570100000006</v>
      </c>
      <c r="G22" s="863">
        <v>8.2811246999999995</v>
      </c>
      <c r="H22" s="864">
        <f t="shared" si="4"/>
        <v>44.12292031044251</v>
      </c>
      <c r="I22" s="864">
        <f>IF(IFERROR((G22-F22)/F22*100,"")&gt;500,"-",IFERROR((G22-F22)/F22*100,""))</f>
        <v>15.061053809078965</v>
      </c>
      <c r="J22" s="865">
        <f t="shared" si="10"/>
        <v>1.4050084971207449E-3</v>
      </c>
      <c r="K22" s="25"/>
      <c r="L22" s="27"/>
      <c r="M22" s="28"/>
      <c r="N22" s="28"/>
      <c r="O22" s="28"/>
      <c r="P22" s="28"/>
      <c r="Q22" s="28"/>
      <c r="R22" s="28"/>
      <c r="S22" s="28"/>
    </row>
    <row r="23" spans="3:20" ht="15" customHeight="1">
      <c r="C23" s="868" t="str">
        <f>IF(Indice_index!$Z$1=1,"Outras","Others")</f>
        <v>Others</v>
      </c>
      <c r="D23" s="863">
        <v>846.79330676999984</v>
      </c>
      <c r="E23" s="863">
        <v>2595.2773350000002</v>
      </c>
      <c r="F23" s="863">
        <v>846.79330676999984</v>
      </c>
      <c r="G23" s="863">
        <v>975.03212613000028</v>
      </c>
      <c r="H23" s="864">
        <f t="shared" si="4"/>
        <v>37.569477179979309</v>
      </c>
      <c r="I23" s="864">
        <f t="shared" si="6"/>
        <v>15.144052076787586</v>
      </c>
      <c r="J23" s="865">
        <f t="shared" si="10"/>
        <v>0.1662195585013545</v>
      </c>
      <c r="K23" s="25"/>
      <c r="L23" s="27"/>
      <c r="M23" s="28"/>
      <c r="N23" s="28"/>
      <c r="O23" s="28"/>
      <c r="P23" s="28"/>
      <c r="Q23" s="28"/>
      <c r="R23" s="28"/>
      <c r="S23" s="28"/>
    </row>
    <row r="24" spans="3:20" ht="15" customHeight="1">
      <c r="C24" s="867" t="str">
        <f>IF(Indice_index!$Z$1=1,"Outras receitas de capital","Other capital revenue")</f>
        <v>Other capital revenue</v>
      </c>
      <c r="D24" s="863">
        <v>68.625021319999988</v>
      </c>
      <c r="E24" s="863">
        <v>31.840581</v>
      </c>
      <c r="F24" s="863">
        <v>68.625021319999988</v>
      </c>
      <c r="G24" s="863">
        <v>18.433471109999999</v>
      </c>
      <c r="H24" s="864">
        <f t="shared" si="4"/>
        <v>57.893011154538918</v>
      </c>
      <c r="I24" s="864">
        <f>IF(IFERROR((G24-F24)/F24*100,"")&gt;500,"-",IFERROR((G24-F24)/F24*100,""))</f>
        <v>-73.138848257628482</v>
      </c>
      <c r="J24" s="865">
        <f t="shared" si="10"/>
        <v>-6.5056878705224669E-2</v>
      </c>
      <c r="K24" s="25"/>
      <c r="L24" s="27"/>
      <c r="M24" s="27"/>
      <c r="N24" s="28"/>
      <c r="O24" s="28"/>
      <c r="P24" s="28"/>
      <c r="Q24" s="28"/>
      <c r="R24" s="28"/>
      <c r="S24" s="28"/>
    </row>
    <row r="25" spans="3:20" ht="15" customHeight="1">
      <c r="C25" s="867" t="str">
        <f>IF(Indice_index!$Z$1=1,"Diferenças de consolidação","Consolidation differences")</f>
        <v>Consolidation differences</v>
      </c>
      <c r="D25" s="863">
        <v>4.5429184199999995</v>
      </c>
      <c r="E25" s="863">
        <v>2.7176760000000035</v>
      </c>
      <c r="F25" s="863">
        <v>4.5429184199999995</v>
      </c>
      <c r="G25" s="863">
        <v>12.11696896000033</v>
      </c>
      <c r="H25" s="865"/>
      <c r="I25" s="865"/>
      <c r="J25" s="865"/>
      <c r="K25" s="25"/>
      <c r="L25" s="27"/>
      <c r="M25" s="28"/>
      <c r="N25" s="28"/>
      <c r="O25" s="28"/>
      <c r="P25" s="28"/>
      <c r="Q25" s="28"/>
      <c r="R25" s="28"/>
      <c r="S25" s="28"/>
    </row>
    <row r="26" spans="3:20" ht="5.0999999999999996" customHeight="1">
      <c r="C26" s="869"/>
      <c r="D26" s="869"/>
      <c r="E26" s="869"/>
      <c r="F26" s="869"/>
      <c r="G26" s="863"/>
      <c r="H26" s="865"/>
      <c r="I26" s="865"/>
      <c r="J26" s="865"/>
      <c r="K26" s="25"/>
      <c r="L26" s="27"/>
      <c r="M26" s="28"/>
      <c r="N26" s="28"/>
      <c r="O26" s="28"/>
      <c r="P26" s="28"/>
      <c r="Q26" s="28"/>
      <c r="R26" s="28"/>
      <c r="S26" s="28"/>
    </row>
    <row r="27" spans="3:20" s="267" customFormat="1" ht="15" customHeight="1">
      <c r="C27" s="870" t="str">
        <f>IF(Indice_index!$Z$1=1,"Receita efetiva","Effective revenue")</f>
        <v>Effective revenue</v>
      </c>
      <c r="D27" s="870">
        <f>+D9+D19</f>
        <v>77150.25867967002</v>
      </c>
      <c r="E27" s="870">
        <f>+E9+E19</f>
        <v>84264.409064000007</v>
      </c>
      <c r="F27" s="870">
        <f>+F9+F19</f>
        <v>77150.25867967002</v>
      </c>
      <c r="G27" s="870">
        <f>+G9+G19</f>
        <v>84037.344626089995</v>
      </c>
      <c r="H27" s="871">
        <f>IFERROR(IF(G27/E27*100&lt;-500,"-",IF(G27/E27*100&gt;500,"-",G27/E27*100)),"-")</f>
        <v>99.73053340024309</v>
      </c>
      <c r="I27" s="871">
        <f>IF(IFERROR((G27-F27)/F27*100,"")&gt;500,"-",IFERROR((G27-F27)/F27*100,""))</f>
        <v>8.9268475106679084</v>
      </c>
      <c r="J27" s="872"/>
      <c r="K27" s="269"/>
      <c r="L27" s="270"/>
      <c r="M27" s="271"/>
      <c r="N27" s="271"/>
      <c r="O27" s="271"/>
      <c r="P27" s="271"/>
      <c r="Q27" s="271"/>
      <c r="R27" s="271"/>
      <c r="S27" s="271"/>
      <c r="T27" s="269"/>
    </row>
    <row r="28" spans="3:20" ht="4.3499999999999996" customHeight="1">
      <c r="C28" s="869"/>
      <c r="D28" s="869"/>
      <c r="E28" s="869"/>
      <c r="F28" s="34"/>
      <c r="G28" s="863"/>
      <c r="H28" s="865"/>
      <c r="I28" s="865"/>
      <c r="J28" s="865"/>
      <c r="K28" s="25"/>
      <c r="L28" s="27"/>
      <c r="M28" s="28"/>
      <c r="N28" s="28"/>
      <c r="O28" s="28"/>
      <c r="P28" s="28"/>
      <c r="Q28" s="28"/>
      <c r="R28" s="28"/>
      <c r="S28" s="28"/>
    </row>
    <row r="29" spans="3:20" s="267" customFormat="1" ht="15" customHeight="1">
      <c r="C29" s="859" t="str">
        <f>IF(Indice_index!$Z$1=1,"Despesa corrente","Current expenditure")</f>
        <v>Current expenditure</v>
      </c>
      <c r="D29" s="859">
        <f t="shared" ref="D29:E29" si="13">+D30+D34+D35+D36+D39+D40+D41</f>
        <v>82979.179724750007</v>
      </c>
      <c r="E29" s="859">
        <f t="shared" si="13"/>
        <v>87730.034201999981</v>
      </c>
      <c r="F29" s="859">
        <f t="shared" ref="F29:G29" si="14">+F30+F34+F35+F36+F39+F40+F41</f>
        <v>82979.179724750022</v>
      </c>
      <c r="G29" s="859">
        <f t="shared" si="14"/>
        <v>86920.564208200027</v>
      </c>
      <c r="H29" s="860">
        <f t="shared" ref="H29:H47" si="15">IFERROR(IF(G29/E29*100&lt;-500,"-",IF(G29/E29*100&gt;500,"-",G29/E29*100)),"-")</f>
        <v>99.077317134134319</v>
      </c>
      <c r="I29" s="860">
        <f>IF(IFERROR((G29-F29)/F29*100,"")&gt;500,"-",IFERROR((G29-F29)/F29*100,""))</f>
        <v>4.7498474876757752</v>
      </c>
      <c r="J29" s="861">
        <f>IFERROR((G29-F29)/$F$50*100,"")</f>
        <v>4.4468700363596421</v>
      </c>
      <c r="K29" s="269"/>
      <c r="L29" s="270"/>
      <c r="M29" s="271"/>
      <c r="N29" s="271"/>
      <c r="O29" s="271"/>
      <c r="P29" s="271"/>
      <c r="Q29" s="271"/>
      <c r="R29" s="271"/>
      <c r="S29" s="271"/>
      <c r="T29" s="269"/>
    </row>
    <row r="30" spans="3:20" ht="15" customHeight="1">
      <c r="C30" s="867" t="str">
        <f>IF(Indice_index!$Z$1=1,"Despesas com o pessoal","Employees")</f>
        <v>Employees</v>
      </c>
      <c r="D30" s="863">
        <f t="shared" ref="D30:E30" si="16">+D31+D32+D33</f>
        <v>18269.771255050007</v>
      </c>
      <c r="E30" s="863">
        <f t="shared" si="16"/>
        <v>19038.416395</v>
      </c>
      <c r="F30" s="863">
        <f t="shared" ref="F30:G30" si="17">+F31+F32+F33</f>
        <v>18269.771255050007</v>
      </c>
      <c r="G30" s="863">
        <f t="shared" si="17"/>
        <v>18991.214996439987</v>
      </c>
      <c r="H30" s="864">
        <f t="shared" si="15"/>
        <v>99.752072874231231</v>
      </c>
      <c r="I30" s="864">
        <f>IF(IFERROR((G30-F30)/F30*100,"")&gt;500,"-",IFERROR((G30-F30)/F30*100,""))</f>
        <v>3.9488383916715044</v>
      </c>
      <c r="J30" s="865">
        <f t="shared" ref="J30:J40" si="18">IFERROR((G30-F30)/$F$50*100,"")</f>
        <v>0.81396944905463686</v>
      </c>
      <c r="K30" s="25"/>
      <c r="L30" s="27"/>
      <c r="M30" s="27"/>
      <c r="N30" s="28"/>
      <c r="O30" s="28"/>
      <c r="P30" s="28"/>
      <c r="Q30" s="28"/>
      <c r="R30" s="28"/>
      <c r="S30" s="28"/>
    </row>
    <row r="31" spans="3:20" ht="15" customHeight="1">
      <c r="C31" s="868" t="str">
        <f>IF(Indice_index!$Z$1=1,"Remunerações Certas e Permanentes","Certain and permanent wages")</f>
        <v>Certain and permanent wages</v>
      </c>
      <c r="D31" s="863">
        <v>13216.040832970015</v>
      </c>
      <c r="E31" s="863">
        <v>14163.167202999999</v>
      </c>
      <c r="F31" s="863">
        <v>13216.040832970015</v>
      </c>
      <c r="G31" s="863">
        <v>13523.062129249991</v>
      </c>
      <c r="H31" s="864">
        <f t="shared" si="15"/>
        <v>95.480494831590903</v>
      </c>
      <c r="I31" s="864">
        <f>IF(IFERROR((G31-F31)/F31*100,"")&gt;500,"-",IFERROR((G31-F31)/F31*100,""))</f>
        <v>2.3230958511723947</v>
      </c>
      <c r="J31" s="865">
        <f t="shared" si="18"/>
        <v>0.34639701066581813</v>
      </c>
      <c r="K31" s="25"/>
      <c r="L31" s="27"/>
      <c r="M31" s="27"/>
      <c r="N31" s="28"/>
      <c r="O31" s="28"/>
      <c r="P31" s="28"/>
      <c r="Q31" s="28"/>
      <c r="R31" s="28"/>
      <c r="S31" s="28"/>
    </row>
    <row r="32" spans="3:20" ht="15" customHeight="1">
      <c r="C32" s="868" t="str">
        <f>IF(Indice_index!$Z$1=1,"Abonos Variáveis ou Eventuais","Variable or contingent bonuses")</f>
        <v>Variable or contingent bonuses</v>
      </c>
      <c r="D32" s="863">
        <v>1137.1043930699975</v>
      </c>
      <c r="E32" s="863">
        <v>1128.580815</v>
      </c>
      <c r="F32" s="863">
        <v>1137.1043930699975</v>
      </c>
      <c r="G32" s="863">
        <v>1338.6555118100002</v>
      </c>
      <c r="H32" s="864">
        <f t="shared" si="15"/>
        <v>118.61405882661582</v>
      </c>
      <c r="I32" s="864">
        <f>IF(IFERROR((G32-F32)/F32*100,"")&gt;500,"-",IFERROR((G32-F32)/F32*100,""))</f>
        <v>17.724944162413038</v>
      </c>
      <c r="J32" s="865">
        <f t="shared" si="18"/>
        <v>0.22740020276711259</v>
      </c>
      <c r="K32" s="25"/>
      <c r="L32" s="27"/>
      <c r="M32" s="27"/>
      <c r="N32" s="28"/>
      <c r="O32" s="28"/>
      <c r="P32" s="28"/>
      <c r="Q32" s="28"/>
      <c r="R32" s="28"/>
      <c r="S32" s="28"/>
    </row>
    <row r="33" spans="3:20" ht="15" customHeight="1">
      <c r="C33" s="868" t="str">
        <f>IF(Indice_index!$Z$1=1,"Segurança social","Social security")</f>
        <v>Social security</v>
      </c>
      <c r="D33" s="863">
        <v>3916.6260290099949</v>
      </c>
      <c r="E33" s="863">
        <v>3746.668377</v>
      </c>
      <c r="F33" s="863">
        <v>3916.626029009994</v>
      </c>
      <c r="G33" s="863">
        <v>4129.4973553799955</v>
      </c>
      <c r="H33" s="864">
        <f t="shared" si="15"/>
        <v>110.21785063044547</v>
      </c>
      <c r="I33" s="864">
        <f>IF(IFERROR((G33-F33)/F33*100,"")&gt;500,"-",IFERROR((G33-F33)/F33*100,""))</f>
        <v>5.4350689801193255</v>
      </c>
      <c r="J33" s="865">
        <f t="shared" si="18"/>
        <v>0.24017223562170681</v>
      </c>
      <c r="K33" s="25"/>
      <c r="L33" s="27"/>
      <c r="M33" s="27"/>
      <c r="N33" s="28"/>
      <c r="O33" s="28"/>
      <c r="P33" s="28"/>
      <c r="Q33" s="28"/>
      <c r="R33" s="28"/>
      <c r="S33" s="28"/>
    </row>
    <row r="34" spans="3:20" ht="15" customHeight="1">
      <c r="C34" s="867" t="str">
        <f>IF(Indice_index!$Z$1=1,"Aquisição de bens e serviços","Purchase of goods and services")</f>
        <v>Purchase of goods and services</v>
      </c>
      <c r="D34" s="863">
        <v>10299.94470767002</v>
      </c>
      <c r="E34" s="863">
        <v>11876.666187999997</v>
      </c>
      <c r="F34" s="863">
        <v>10299.944707670023</v>
      </c>
      <c r="G34" s="863">
        <v>11406.891382380032</v>
      </c>
      <c r="H34" s="864">
        <f t="shared" si="15"/>
        <v>96.044556627392481</v>
      </c>
      <c r="I34" s="864">
        <f t="shared" ref="I34:I40" si="19">IF(IFERROR((G34-F34)/F34*100,"")&gt;500,"-",IFERROR((G34-F34)/F34*100,""))</f>
        <v>10.747112786787124</v>
      </c>
      <c r="J34" s="865">
        <f t="shared" si="18"/>
        <v>1.2489134263062618</v>
      </c>
      <c r="K34" s="25"/>
      <c r="L34" s="27"/>
      <c r="M34" s="28"/>
      <c r="N34" s="28"/>
      <c r="O34" s="28"/>
      <c r="P34" s="28"/>
      <c r="Q34" s="28"/>
      <c r="R34" s="28"/>
      <c r="S34" s="28"/>
    </row>
    <row r="35" spans="3:20" ht="15" customHeight="1">
      <c r="C35" s="867" t="str">
        <f>IF(Indice_index!$Z$1=1,"Juros e outros encargos","Interests and other charges")</f>
        <v>Interests and other charges</v>
      </c>
      <c r="D35" s="863">
        <v>7421.767302899998</v>
      </c>
      <c r="E35" s="863">
        <v>7094.170083</v>
      </c>
      <c r="F35" s="863">
        <v>7421.767302899998</v>
      </c>
      <c r="G35" s="863">
        <v>6799.2142974300004</v>
      </c>
      <c r="H35" s="864">
        <f t="shared" si="15"/>
        <v>95.842279193773322</v>
      </c>
      <c r="I35" s="864">
        <f>IF(IFERROR((G35-F35)/F35*100,"")&gt;500,"-",IFERROR((G35-F35)/F35*100,""))</f>
        <v>-8.3882043192965607</v>
      </c>
      <c r="J35" s="865">
        <f t="shared" si="18"/>
        <v>-0.70239590115981354</v>
      </c>
      <c r="K35" s="25"/>
      <c r="L35" s="27"/>
      <c r="M35" s="28"/>
      <c r="N35" s="28"/>
      <c r="O35" s="28"/>
      <c r="P35" s="28"/>
      <c r="Q35" s="28"/>
      <c r="R35" s="28"/>
      <c r="S35" s="28"/>
    </row>
    <row r="36" spans="3:20" ht="15" customHeight="1">
      <c r="C36" s="867" t="str">
        <f>IF(Indice_index!$Z$1=1,"Transferências correntes","Current transfers")</f>
        <v>Current transfers</v>
      </c>
      <c r="D36" s="863">
        <f t="shared" ref="D36:E36" si="20">+D37+D38</f>
        <v>44998.860809250007</v>
      </c>
      <c r="E36" s="863">
        <f t="shared" si="20"/>
        <v>45654.661118999997</v>
      </c>
      <c r="F36" s="863">
        <f t="shared" ref="F36:G36" si="21">+F37+F38</f>
        <v>44998.860809250007</v>
      </c>
      <c r="G36" s="863">
        <f t="shared" si="21"/>
        <v>47161.143735720005</v>
      </c>
      <c r="H36" s="864">
        <f t="shared" si="15"/>
        <v>103.29973452829564</v>
      </c>
      <c r="I36" s="864">
        <f>IF(IFERROR((G36-F36)/F36*100,"")&gt;500,"-",IFERROR((G36-F36)/F36*100,""))</f>
        <v>4.8051948151218902</v>
      </c>
      <c r="J36" s="865">
        <f t="shared" si="18"/>
        <v>2.4395973537285682</v>
      </c>
      <c r="K36" s="25"/>
      <c r="L36" s="27"/>
      <c r="M36" s="28"/>
      <c r="N36" s="28"/>
      <c r="O36" s="28"/>
      <c r="P36" s="28"/>
      <c r="Q36" s="28"/>
      <c r="R36" s="28"/>
      <c r="S36" s="28"/>
    </row>
    <row r="37" spans="3:20" ht="15" customHeight="1">
      <c r="C37" s="868" t="str">
        <f>IF(Indice_index!$Z$1=1,"Administrações Públicas","General Government subsectors")</f>
        <v>General Government subsectors</v>
      </c>
      <c r="D37" s="863">
        <v>3883.6199809499994</v>
      </c>
      <c r="E37" s="863">
        <v>3976.4652569999998</v>
      </c>
      <c r="F37" s="863">
        <v>3883.6199809499994</v>
      </c>
      <c r="G37" s="863">
        <v>4286.5147145100036</v>
      </c>
      <c r="H37" s="864">
        <f t="shared" si="15"/>
        <v>107.7971121956669</v>
      </c>
      <c r="I37" s="864">
        <f>IF(IFERROR((G37-F37)/F37*100,"")&gt;500,"-",IFERROR((G37-F37)/F37*100,""))</f>
        <v>10.374205909339494</v>
      </c>
      <c r="J37" s="865">
        <f t="shared" si="18"/>
        <v>0.45456628907891478</v>
      </c>
      <c r="K37" s="25"/>
      <c r="L37" s="27"/>
      <c r="M37" s="28"/>
      <c r="N37" s="28"/>
      <c r="O37" s="28"/>
      <c r="P37" s="28"/>
      <c r="Q37" s="28"/>
      <c r="R37" s="28"/>
      <c r="S37" s="28"/>
    </row>
    <row r="38" spans="3:20" ht="15" customHeight="1">
      <c r="C38" s="868" t="str">
        <f>IF(Indice_index!$Z$1=1,"Outras","Others")</f>
        <v>Others</v>
      </c>
      <c r="D38" s="863">
        <v>41115.240828300004</v>
      </c>
      <c r="E38" s="863">
        <v>41678.195862</v>
      </c>
      <c r="F38" s="863">
        <v>41115.240828300004</v>
      </c>
      <c r="G38" s="863">
        <v>42874.629021209999</v>
      </c>
      <c r="H38" s="864">
        <f t="shared" si="15"/>
        <v>102.87064527258207</v>
      </c>
      <c r="I38" s="864">
        <f>IF(IFERROR((G38-F38)/F38*100,"")&gt;500,"-",IFERROR((G38-F38)/F38*100,""))</f>
        <v>4.2791630487033219</v>
      </c>
      <c r="J38" s="865">
        <f t="shared" si="18"/>
        <v>1.9850310646496556</v>
      </c>
      <c r="K38" s="25"/>
      <c r="L38" s="27"/>
      <c r="M38" s="28"/>
      <c r="N38" s="28"/>
      <c r="O38" s="28"/>
      <c r="P38" s="28"/>
      <c r="Q38" s="28"/>
      <c r="R38" s="28"/>
      <c r="S38" s="28"/>
    </row>
    <row r="39" spans="3:20" ht="15" customHeight="1">
      <c r="C39" s="867" t="str">
        <f>IF(Indice_index!$Z$1=1,"Subsídios","Subsidies")</f>
        <v>Subsidies</v>
      </c>
      <c r="D39" s="863">
        <v>1258.5285320600003</v>
      </c>
      <c r="E39" s="863">
        <v>1986.4286339999999</v>
      </c>
      <c r="F39" s="863">
        <v>1258.5285320600003</v>
      </c>
      <c r="G39" s="863">
        <v>1702.4700628899998</v>
      </c>
      <c r="H39" s="864">
        <f t="shared" si="15"/>
        <v>85.705070584982309</v>
      </c>
      <c r="I39" s="864">
        <f>IF(IFERROR((G39-F39)/F39*100,"")&gt;500,"-",IFERROR((G39-F39)/F39*100,""))</f>
        <v>35.274649681826567</v>
      </c>
      <c r="J39" s="865">
        <f t="shared" si="18"/>
        <v>0.5008773692678482</v>
      </c>
      <c r="K39" s="25"/>
      <c r="L39" s="27"/>
      <c r="M39" s="27"/>
      <c r="N39" s="28"/>
      <c r="O39" s="28"/>
      <c r="P39" s="28"/>
      <c r="Q39" s="28"/>
      <c r="R39" s="28"/>
      <c r="S39" s="28"/>
    </row>
    <row r="40" spans="3:20" ht="15" customHeight="1">
      <c r="C40" s="867" t="str">
        <f>IF(Indice_index!$Z$1=1,"Outras despesas correntes","Other current expenditure")</f>
        <v>Other current expenditure</v>
      </c>
      <c r="D40" s="863">
        <v>686.10467389000041</v>
      </c>
      <c r="E40" s="863">
        <v>2060.6196169999998</v>
      </c>
      <c r="F40" s="863">
        <v>686.10467389000041</v>
      </c>
      <c r="G40" s="863">
        <v>646.01557021999952</v>
      </c>
      <c r="H40" s="864">
        <f t="shared" si="15"/>
        <v>31.350549363424779</v>
      </c>
      <c r="I40" s="864">
        <f t="shared" si="19"/>
        <v>-5.8430011040018321</v>
      </c>
      <c r="J40" s="865">
        <f t="shared" si="18"/>
        <v>-4.5230561657510937E-2</v>
      </c>
      <c r="K40" s="25"/>
      <c r="L40" s="27"/>
      <c r="M40" s="28"/>
      <c r="N40" s="28"/>
      <c r="O40" s="28"/>
      <c r="P40" s="28"/>
      <c r="Q40" s="28"/>
      <c r="R40" s="28"/>
      <c r="S40" s="28"/>
    </row>
    <row r="41" spans="3:20" ht="15" customHeight="1">
      <c r="C41" s="867" t="str">
        <f>IF(Indice_index!$Z$1=1,"Diferenças de consolidação","Consolidation differences")</f>
        <v>Consolidation differences</v>
      </c>
      <c r="D41" s="863">
        <v>44.202443929991759</v>
      </c>
      <c r="E41" s="863">
        <v>19.072165999998447</v>
      </c>
      <c r="F41" s="863">
        <v>44.202443929991759</v>
      </c>
      <c r="G41" s="863">
        <v>213.61416311999812</v>
      </c>
      <c r="H41" s="864"/>
      <c r="I41" s="865"/>
      <c r="J41" s="865"/>
      <c r="K41" s="25"/>
      <c r="L41" s="27"/>
      <c r="M41" s="28"/>
      <c r="N41" s="28"/>
      <c r="O41" s="28"/>
      <c r="P41" s="28"/>
      <c r="Q41" s="28"/>
      <c r="R41" s="28"/>
      <c r="S41" s="28"/>
    </row>
    <row r="42" spans="3:20" s="267" customFormat="1" ht="15" customHeight="1">
      <c r="C42" s="859" t="str">
        <f>IF(Indice_index!$Z$1=1,"Despesa de capital","Capital expenditure")</f>
        <v>Capital expenditure</v>
      </c>
      <c r="D42" s="859">
        <f t="shared" ref="D42:E42" si="22">+D43+D44+D47+D48</f>
        <v>5653.5990887399985</v>
      </c>
      <c r="E42" s="859">
        <f t="shared" si="22"/>
        <v>7364.437465</v>
      </c>
      <c r="F42" s="859">
        <f t="shared" ref="F42:G42" si="23">+F43+F44+F47+F48</f>
        <v>5653.5990887399994</v>
      </c>
      <c r="G42" s="859">
        <f t="shared" si="23"/>
        <v>5573.0447075899956</v>
      </c>
      <c r="H42" s="860">
        <f t="shared" si="15"/>
        <v>75.675090379628813</v>
      </c>
      <c r="I42" s="860">
        <f>IF(IFERROR((G42-F42)/F42*100,"")&gt;500,"-",IFERROR((G42-F42)/F42*100,""))</f>
        <v>-1.424833630499907</v>
      </c>
      <c r="J42" s="861">
        <f t="shared" ref="J42:J47" si="24">IFERROR((G42-F42)/$F$50*100,"")</f>
        <v>-9.0885541701805836E-2</v>
      </c>
      <c r="K42" s="269"/>
      <c r="L42" s="270"/>
      <c r="M42" s="271"/>
      <c r="N42" s="271"/>
      <c r="O42" s="271"/>
      <c r="P42" s="271"/>
      <c r="Q42" s="271"/>
      <c r="R42" s="271"/>
      <c r="S42" s="271"/>
      <c r="T42" s="269"/>
    </row>
    <row r="43" spans="3:20" ht="15" customHeight="1">
      <c r="C43" s="867" t="str">
        <f>IF(Indice_index!$Z$1=1,"Investimento","Investments")</f>
        <v>Investments</v>
      </c>
      <c r="D43" s="863">
        <v>2956.6341963399991</v>
      </c>
      <c r="E43" s="863">
        <v>5191.4001909999997</v>
      </c>
      <c r="F43" s="863">
        <v>2956.6341963399996</v>
      </c>
      <c r="G43" s="863">
        <v>3460.5518568799957</v>
      </c>
      <c r="H43" s="864">
        <f t="shared" si="15"/>
        <v>66.659315975665564</v>
      </c>
      <c r="I43" s="864">
        <f>IF(IFERROR((G43-F43)/F43*100,"")&gt;500,"-",IFERROR((G43-F43)/F43*100,""))</f>
        <v>17.043625524043286</v>
      </c>
      <c r="J43" s="865">
        <f t="shared" si="24"/>
        <v>0.56854548315628273</v>
      </c>
      <c r="K43" s="25"/>
      <c r="L43" s="27"/>
      <c r="M43" s="27"/>
      <c r="N43" s="28"/>
      <c r="O43" s="28"/>
      <c r="P43" s="28"/>
      <c r="Q43" s="28"/>
      <c r="R43" s="28"/>
      <c r="S43" s="28"/>
    </row>
    <row r="44" spans="3:20" s="29" customFormat="1" ht="15" customHeight="1">
      <c r="C44" s="867" t="str">
        <f>IF(Indice_index!$Z$1=1,"Transferências de capital","Capital transfers")</f>
        <v>Capital transfers</v>
      </c>
      <c r="D44" s="863">
        <f>+D45+D46</f>
        <v>2592.9012165699996</v>
      </c>
      <c r="E44" s="863">
        <f>+E45+E46</f>
        <v>1915.3896340000001</v>
      </c>
      <c r="F44" s="863">
        <f t="shared" ref="F44:G44" si="25">+F45+F46</f>
        <v>2592.9012165699996</v>
      </c>
      <c r="G44" s="863">
        <f t="shared" si="25"/>
        <v>1903.3521118600002</v>
      </c>
      <c r="H44" s="864">
        <f t="shared" si="15"/>
        <v>99.371536635349685</v>
      </c>
      <c r="I44" s="864">
        <f>IF(IFERROR((G44-F44)/F44*100,"")&gt;500,"-",IFERROR((G44-F44)/F44*100,""))</f>
        <v>-26.593728303393078</v>
      </c>
      <c r="J44" s="865">
        <f t="shared" si="24"/>
        <v>-0.77798430100112048</v>
      </c>
      <c r="K44" s="25"/>
      <c r="L44" s="27"/>
      <c r="M44" s="28"/>
      <c r="N44" s="28"/>
      <c r="O44" s="28"/>
      <c r="P44" s="28"/>
      <c r="Q44" s="28"/>
      <c r="R44" s="28"/>
      <c r="S44" s="28"/>
      <c r="T44" s="25"/>
    </row>
    <row r="45" spans="3:20" ht="15" customHeight="1">
      <c r="C45" s="868" t="str">
        <f>IF(Indice_index!$Z$1=1,"Administrações Públicas","General Government subsectors")</f>
        <v>General Government subsectors</v>
      </c>
      <c r="D45" s="863">
        <v>553.84722369999986</v>
      </c>
      <c r="E45" s="863">
        <v>821.57547799999998</v>
      </c>
      <c r="F45" s="863">
        <v>553.84722369999986</v>
      </c>
      <c r="G45" s="863">
        <v>607.40173998000012</v>
      </c>
      <c r="H45" s="864">
        <f t="shared" si="15"/>
        <v>73.931337563607286</v>
      </c>
      <c r="I45" s="864">
        <f>IF(IFERROR((G45-F45)/F45*100,"")&gt;500,"-",IFERROR((G45-F45)/F45*100,""))</f>
        <v>9.669546760969034</v>
      </c>
      <c r="J45" s="865">
        <f t="shared" si="24"/>
        <v>6.0422923659761409E-2</v>
      </c>
      <c r="K45" s="25"/>
      <c r="L45" s="27"/>
      <c r="M45" s="28"/>
      <c r="N45" s="28"/>
      <c r="O45" s="28"/>
      <c r="P45" s="28"/>
      <c r="Q45" s="28"/>
      <c r="R45" s="28"/>
      <c r="S45" s="28"/>
    </row>
    <row r="46" spans="3:20" ht="15" customHeight="1">
      <c r="C46" s="868" t="str">
        <f>IF(Indice_index!$Z$1=1,"Outras","Others")</f>
        <v>Others</v>
      </c>
      <c r="D46" s="863">
        <v>2039.05399287</v>
      </c>
      <c r="E46" s="863">
        <v>1093.8141560000001</v>
      </c>
      <c r="F46" s="863">
        <v>2039.05399287</v>
      </c>
      <c r="G46" s="863">
        <v>1295.9503718800001</v>
      </c>
      <c r="H46" s="864">
        <f t="shared" si="15"/>
        <v>118.47994147554257</v>
      </c>
      <c r="I46" s="864">
        <f t="shared" ref="I46" si="26">IF(IFERROR((G46-F46)/F46*100,"")&gt;500,"-",IFERROR((G46-F46)/F46*100,""))</f>
        <v>-36.443548017287661</v>
      </c>
      <c r="J46" s="865">
        <f t="shared" si="24"/>
        <v>-0.83840722466088191</v>
      </c>
      <c r="K46" s="25"/>
      <c r="L46" s="27"/>
      <c r="M46" s="28"/>
      <c r="N46" s="28"/>
      <c r="O46" s="28"/>
      <c r="P46" s="28"/>
      <c r="Q46" s="28"/>
      <c r="R46" s="28"/>
      <c r="S46" s="28"/>
    </row>
    <row r="47" spans="3:20" ht="15" customHeight="1">
      <c r="C47" s="867" t="str">
        <f>IF(Indice_index!$Z$1=1,"Outras despesas de capital","Other capital expenditure")</f>
        <v>Other capital expenditure</v>
      </c>
      <c r="D47" s="863">
        <v>80.274620909999996</v>
      </c>
      <c r="E47" s="863">
        <v>162.836544</v>
      </c>
      <c r="F47" s="863">
        <v>80.274620909999996</v>
      </c>
      <c r="G47" s="863">
        <v>149.77563847000002</v>
      </c>
      <c r="H47" s="864">
        <f t="shared" si="15"/>
        <v>91.979131213936853</v>
      </c>
      <c r="I47" s="864">
        <f>IF(IFERROR((G47-F47)/F47*100,"")&gt;500,"-",IFERROR((G47-F47)/F47*100,""))</f>
        <v>86.579066674037847</v>
      </c>
      <c r="J47" s="865">
        <f t="shared" si="24"/>
        <v>7.8414575837965128E-2</v>
      </c>
      <c r="K47" s="25"/>
      <c r="L47" s="27"/>
      <c r="M47" s="27"/>
      <c r="N47" s="28"/>
      <c r="O47" s="28"/>
      <c r="P47" s="28"/>
      <c r="Q47" s="28"/>
      <c r="R47" s="28"/>
      <c r="S47" s="28"/>
    </row>
    <row r="48" spans="3:20" ht="15" customHeight="1">
      <c r="C48" s="867" t="str">
        <f>IF(Indice_index!$Z$1=1,"Diferenças de consolidação","Consolidation differences")</f>
        <v>Consolidation differences</v>
      </c>
      <c r="D48" s="863">
        <v>23.789054920000222</v>
      </c>
      <c r="E48" s="863">
        <v>94.811096000000319</v>
      </c>
      <c r="F48" s="863">
        <v>23.789054920000222</v>
      </c>
      <c r="G48" s="863">
        <v>59.365100379999774</v>
      </c>
      <c r="H48" s="865"/>
      <c r="I48" s="865"/>
      <c r="J48" s="865"/>
      <c r="K48" s="25"/>
      <c r="L48" s="27"/>
      <c r="M48" s="28"/>
      <c r="N48" s="28"/>
      <c r="O48" s="28"/>
      <c r="P48" s="28"/>
      <c r="Q48" s="28"/>
      <c r="R48" s="28"/>
      <c r="S48" s="28"/>
    </row>
    <row r="49" spans="3:20" ht="2.4500000000000002" customHeight="1">
      <c r="C49" s="863"/>
      <c r="D49" s="863"/>
      <c r="E49" s="863"/>
      <c r="F49" s="863"/>
      <c r="G49" s="863"/>
      <c r="H49" s="865"/>
      <c r="I49" s="865"/>
      <c r="J49" s="865"/>
      <c r="K49" s="25"/>
      <c r="L49" s="27"/>
      <c r="M49" s="28"/>
      <c r="N49" s="28"/>
      <c r="O49" s="28"/>
      <c r="P49" s="28"/>
      <c r="Q49" s="28"/>
      <c r="R49" s="28"/>
      <c r="S49" s="28"/>
    </row>
    <row r="50" spans="3:20" s="267" customFormat="1" ht="15" customHeight="1">
      <c r="C50" s="873" t="str">
        <f>IF(Indice_index!$Z$1=1,"Despesa efetiva","Effective Expenditure")</f>
        <v>Effective Expenditure</v>
      </c>
      <c r="D50" s="873">
        <f t="shared" ref="D50:E50" si="27">+D29+D42</f>
        <v>88632.778813490004</v>
      </c>
      <c r="E50" s="873">
        <f t="shared" si="27"/>
        <v>95094.471666999976</v>
      </c>
      <c r="F50" s="873">
        <f t="shared" ref="F50:G50" si="28">+F29+F42</f>
        <v>88632.778813490018</v>
      </c>
      <c r="G50" s="873">
        <f t="shared" si="28"/>
        <v>92493.608915790028</v>
      </c>
      <c r="H50" s="874">
        <f>IFERROR(IF(G50/E50*100&lt;-500,"-",IF(G50/E50*100&gt;500,"-",G50/E50*100)),"-")</f>
        <v>97.264969555414751</v>
      </c>
      <c r="I50" s="874">
        <f t="shared" ref="I50" si="29">IF(IFERROR((G50-F50)/F50*100,"")&gt;500,"-",IFERROR((G50-F50)/F50*100,""))</f>
        <v>4.3559844946578465</v>
      </c>
      <c r="J50" s="875"/>
      <c r="K50" s="269"/>
      <c r="L50" s="270"/>
      <c r="M50" s="271"/>
      <c r="N50" s="271"/>
      <c r="O50" s="271"/>
      <c r="P50" s="271"/>
      <c r="Q50" s="271"/>
      <c r="R50" s="271"/>
      <c r="S50" s="271"/>
      <c r="T50" s="269"/>
    </row>
    <row r="51" spans="3:20" ht="8.25" customHeight="1">
      <c r="C51" s="857"/>
      <c r="D51" s="857"/>
      <c r="E51" s="857"/>
      <c r="F51" s="34"/>
      <c r="G51" s="857"/>
      <c r="H51" s="876"/>
      <c r="I51" s="876"/>
      <c r="J51" s="877"/>
      <c r="K51" s="30"/>
      <c r="L51" s="27"/>
      <c r="M51" s="28"/>
      <c r="N51" s="28"/>
      <c r="O51" s="28"/>
      <c r="P51" s="28"/>
      <c r="Q51" s="28"/>
      <c r="R51" s="28"/>
      <c r="S51" s="28"/>
    </row>
    <row r="52" spans="3:20" s="267" customFormat="1" ht="15" customHeight="1">
      <c r="C52" s="873" t="str">
        <f>IF(Indice_index!$Z$1=1,"Saldo global","Overall balance")</f>
        <v>Overall balance</v>
      </c>
      <c r="D52" s="873">
        <f t="shared" ref="D52:E52" si="30">+D27-D50</f>
        <v>-11482.520133819984</v>
      </c>
      <c r="E52" s="873">
        <f t="shared" si="30"/>
        <v>-10830.062602999969</v>
      </c>
      <c r="F52" s="873">
        <f t="shared" ref="F52:G52" si="31">+F27-F50</f>
        <v>-11482.520133819999</v>
      </c>
      <c r="G52" s="873">
        <f t="shared" si="31"/>
        <v>-8456.2642897000333</v>
      </c>
      <c r="H52" s="875"/>
      <c r="I52" s="875"/>
      <c r="J52" s="875"/>
      <c r="L52" s="273"/>
      <c r="M52" s="273"/>
      <c r="N52" s="271"/>
      <c r="O52" s="271"/>
      <c r="P52" s="271"/>
      <c r="Q52" s="271"/>
      <c r="R52" s="271"/>
      <c r="S52" s="271"/>
      <c r="T52" s="269"/>
    </row>
    <row r="53" spans="3:20" ht="5.0999999999999996" customHeight="1">
      <c r="C53" s="878"/>
      <c r="D53" s="878"/>
      <c r="E53" s="878"/>
      <c r="F53" s="858"/>
      <c r="G53" s="863"/>
      <c r="H53" s="877"/>
      <c r="I53" s="877"/>
      <c r="J53" s="877"/>
      <c r="L53" s="27"/>
      <c r="M53" s="28"/>
      <c r="N53" s="28"/>
      <c r="O53" s="28"/>
      <c r="P53" s="28"/>
      <c r="Q53" s="28"/>
      <c r="R53" s="28"/>
      <c r="S53" s="28"/>
    </row>
    <row r="54" spans="3:20" ht="15" customHeight="1">
      <c r="C54" s="867" t="str">
        <f>IF(Indice_index!$Z$1=1,"Despesa primária","Primary expenditure")</f>
        <v>Primary expenditure</v>
      </c>
      <c r="D54" s="879">
        <f t="shared" ref="D54:E54" si="32">+D50-D35</f>
        <v>81211.011510590004</v>
      </c>
      <c r="E54" s="879">
        <f t="shared" si="32"/>
        <v>88000.301583999972</v>
      </c>
      <c r="F54" s="879">
        <f t="shared" ref="F54" si="33">+F50-F35</f>
        <v>81211.011510590019</v>
      </c>
      <c r="G54" s="879">
        <f>+G50-G35</f>
        <v>85694.394618360035</v>
      </c>
      <c r="H54" s="864">
        <f>IFERROR(IF(G54/E54*100&lt;-500,"-",IF(G54/E54*100&gt;500,"-",G54/E54*100)),"-")</f>
        <v>97.379660155552017</v>
      </c>
      <c r="I54" s="864">
        <f t="shared" ref="I54" si="34">IF(IFERROR((G54-F54)/F54*100,"")&gt;500,"-",IFERROR((G54-F54)/F54*100,""))</f>
        <v>5.5206591130629832</v>
      </c>
      <c r="J54" s="864">
        <f t="shared" ref="J54" si="35">IFERROR((G54-F54)/$F$50*100,"")</f>
        <v>5.0583803958176699</v>
      </c>
      <c r="K54" s="31"/>
      <c r="L54" s="31"/>
      <c r="M54" s="31"/>
      <c r="N54" s="28"/>
      <c r="O54" s="28"/>
      <c r="P54" s="28"/>
      <c r="Q54" s="28"/>
      <c r="R54" s="28"/>
      <c r="S54" s="28"/>
    </row>
    <row r="55" spans="3:20" ht="15" customHeight="1">
      <c r="C55" s="867" t="str">
        <f>IF(Indice_index!$Z$1=1,"Saldo corrente","Current balance")</f>
        <v>Current balance</v>
      </c>
      <c r="D55" s="879">
        <f>+D9-D29</f>
        <v>-6901.5344114799809</v>
      </c>
      <c r="E55" s="879">
        <f>+E9-E29</f>
        <v>-6479.1591559999797</v>
      </c>
      <c r="F55" s="879">
        <f>+F9-F29</f>
        <v>-6901.5344114799955</v>
      </c>
      <c r="G55" s="879">
        <f>+G9-G29</f>
        <v>-4049.1936047800264</v>
      </c>
      <c r="H55" s="879"/>
      <c r="I55" s="879"/>
      <c r="J55" s="879"/>
      <c r="L55" s="31"/>
      <c r="M55" s="28"/>
      <c r="N55" s="28"/>
      <c r="O55" s="28"/>
      <c r="P55" s="28"/>
      <c r="Q55" s="28"/>
      <c r="R55" s="25"/>
    </row>
    <row r="56" spans="3:20" ht="15" customHeight="1">
      <c r="C56" s="867" t="str">
        <f>IF(Indice_index!$Z$1=1,"Saldo de capital","Capital balance")</f>
        <v>Capital balance</v>
      </c>
      <c r="D56" s="879">
        <f t="shared" ref="D56:E56" si="36">+D19-D42</f>
        <v>-4580.9857223399986</v>
      </c>
      <c r="E56" s="879">
        <f t="shared" si="36"/>
        <v>-4350.9034469999997</v>
      </c>
      <c r="F56" s="879">
        <f t="shared" ref="F56:G56" si="37">+F19-F42</f>
        <v>-4580.9857223399995</v>
      </c>
      <c r="G56" s="879">
        <f t="shared" si="37"/>
        <v>-4407.0706849199951</v>
      </c>
      <c r="H56" s="879"/>
      <c r="I56" s="879"/>
      <c r="J56" s="879"/>
      <c r="L56" s="31"/>
      <c r="M56" s="28"/>
      <c r="N56" s="28"/>
      <c r="O56" s="28"/>
      <c r="P56" s="28"/>
      <c r="Q56" s="28"/>
      <c r="R56" s="25"/>
    </row>
    <row r="57" spans="3:20" ht="15" customHeight="1">
      <c r="C57" s="880" t="str">
        <f>IF(Indice_index!$Z$1=1,"Saldo primário","Primary balance")</f>
        <v>Primary balance</v>
      </c>
      <c r="D57" s="881">
        <f t="shared" ref="D57:E57" si="38">+D52+D35</f>
        <v>-4060.7528309199861</v>
      </c>
      <c r="E57" s="881">
        <f t="shared" si="38"/>
        <v>-3735.8925199999694</v>
      </c>
      <c r="F57" s="881">
        <f t="shared" ref="F57:G57" si="39">+F52+F35</f>
        <v>-4060.7528309200006</v>
      </c>
      <c r="G57" s="881">
        <f t="shared" si="39"/>
        <v>-1657.0499922700328</v>
      </c>
      <c r="H57" s="881"/>
      <c r="I57" s="881"/>
      <c r="J57" s="881"/>
      <c r="L57" s="31"/>
      <c r="M57" s="28"/>
      <c r="N57" s="28"/>
      <c r="O57" s="28"/>
      <c r="P57" s="28"/>
      <c r="Q57" s="28"/>
      <c r="R57" s="25"/>
    </row>
    <row r="58" spans="3:20" ht="15" customHeight="1">
      <c r="C58" s="882" t="str">
        <f>IF(Indice_index!$Z$1=1,"Ativos financeiros líquidos de reembolsos","Financial assets net of reimbursements")</f>
        <v>Financial assets net of reimbursements</v>
      </c>
      <c r="D58" s="883">
        <v>3270.8818545300028</v>
      </c>
      <c r="E58" s="883">
        <v>10844.257518000002</v>
      </c>
      <c r="F58" s="883">
        <v>3270.8818545300028</v>
      </c>
      <c r="G58" s="852">
        <v>893.54257005999807</v>
      </c>
      <c r="H58" s="883"/>
      <c r="I58" s="883"/>
      <c r="J58" s="883"/>
      <c r="L58" s="23"/>
      <c r="M58" s="27"/>
      <c r="N58" s="28"/>
      <c r="O58" s="27"/>
      <c r="P58" s="28"/>
      <c r="Q58" s="28"/>
      <c r="R58" s="25"/>
    </row>
    <row r="59" spans="3:20" ht="15" customHeight="1">
      <c r="C59" s="884" t="str">
        <f>IF(Indice_index!$Z$1=1,"dos quais Receitas de:","of which revenue from:")</f>
        <v>of which revenue from:</v>
      </c>
      <c r="D59" s="884"/>
      <c r="E59" s="884"/>
      <c r="F59" s="879"/>
      <c r="G59" s="863"/>
      <c r="H59" s="879"/>
      <c r="I59" s="879"/>
      <c r="J59" s="879"/>
      <c r="L59" s="23"/>
      <c r="M59" s="27"/>
      <c r="N59" s="28"/>
      <c r="O59" s="27"/>
      <c r="P59" s="28"/>
      <c r="Q59" s="28"/>
      <c r="R59" s="25"/>
    </row>
    <row r="60" spans="3:20" ht="15" customHeight="1">
      <c r="C60" s="868" t="str">
        <f>IF(Indice_index!$Z$1=1,"Alienação de partes de Capital","Disposal of Capital Shares")</f>
        <v>Disposal of Capital Shares</v>
      </c>
      <c r="D60" s="879">
        <v>3.0014323799999998</v>
      </c>
      <c r="E60" s="879">
        <v>0</v>
      </c>
      <c r="F60" s="879">
        <v>3.0014323799999998</v>
      </c>
      <c r="G60" s="879">
        <v>1.3794E-4</v>
      </c>
      <c r="H60" s="879"/>
      <c r="I60" s="879"/>
      <c r="J60" s="879"/>
      <c r="L60" s="23"/>
      <c r="M60" s="27"/>
      <c r="N60" s="28"/>
      <c r="O60" s="28"/>
      <c r="P60" s="28"/>
      <c r="Q60" s="28"/>
      <c r="R60" s="25"/>
    </row>
    <row r="61" spans="3:20" ht="15" customHeight="1">
      <c r="C61" s="880" t="str">
        <f>IF(Indice_index!$Z$1=1,"Passivos financeiros líquidos de amortizações","Financial liabilities net of amortizations")</f>
        <v>Financial liabilities net of amortizations</v>
      </c>
      <c r="D61" s="881">
        <v>18821.409223270006</v>
      </c>
      <c r="E61" s="881">
        <v>22591.194320999988</v>
      </c>
      <c r="F61" s="881">
        <v>18821.409223270006</v>
      </c>
      <c r="G61" s="854">
        <v>3202.7478559400042</v>
      </c>
      <c r="H61" s="881"/>
      <c r="I61" s="881"/>
      <c r="J61" s="881"/>
      <c r="L61" s="23"/>
      <c r="M61" s="27"/>
      <c r="N61" s="28"/>
      <c r="O61" s="28"/>
      <c r="P61" s="28"/>
      <c r="Q61" s="28"/>
      <c r="R61" s="25"/>
    </row>
    <row r="62" spans="3:20" ht="4.5" customHeight="1">
      <c r="L62" s="31"/>
      <c r="M62" s="27"/>
      <c r="N62" s="28"/>
      <c r="O62" s="28"/>
      <c r="P62" s="28"/>
    </row>
    <row r="63" spans="3:20" ht="15" customHeight="1">
      <c r="C63" s="885" t="str">
        <f>IF(Indice_index!$Z$1=1,"Nota:","Note:")</f>
        <v>Note:</v>
      </c>
      <c r="D63" s="65"/>
      <c r="E63" s="65"/>
      <c r="F63" s="55"/>
      <c r="G63" s="55"/>
      <c r="H63" s="55"/>
      <c r="I63" s="55"/>
      <c r="J63" s="55"/>
      <c r="L63" s="31"/>
      <c r="M63" s="27"/>
      <c r="N63" s="28"/>
      <c r="O63" s="28"/>
      <c r="P63" s="28"/>
    </row>
    <row r="64" spans="3:20" ht="44.25" customHeight="1">
      <c r="C64" s="1583" t="str">
        <f>IF(Indice_index!$Z$1=1,C75,C76)</f>
        <v>In the consolidated accounts presented above the process of consolidating interest revenue and expenditure was altered, in which concerns the Final Execution of 2020 and the 2021 State Budget forecast. In particular, regarding interests paid by the State subsector to Social Security and accounted as such by the former, the Social Security revenue is now considered identical to the expenditure recorded by the State subsector, which was not done in previous disclosures of the Budget Outturn Report (it was recorded as interests paid to bank and other financial institutions).</v>
      </c>
      <c r="D64" s="1583"/>
      <c r="E64" s="1583"/>
      <c r="F64" s="1583"/>
      <c r="G64" s="1583"/>
      <c r="H64" s="1583"/>
      <c r="I64" s="1583"/>
      <c r="J64" s="1583"/>
      <c r="K64" s="65"/>
      <c r="L64" s="23"/>
      <c r="R64" s="25"/>
      <c r="T64" s="23"/>
    </row>
    <row r="65" spans="3:20" ht="15" customHeight="1">
      <c r="C65" s="1582" t="str">
        <f>IF(Indice_index!$Z$1=1,"Os dados da execução acumulada de 2020 correspondem aos valores publicados na Conta Geral do Estado.","2020 accumulated execution was updated with the final execution.")</f>
        <v>2020 accumulated execution was updated with the final execution.</v>
      </c>
      <c r="D65" s="1582"/>
      <c r="E65" s="1582"/>
      <c r="F65" s="1582"/>
      <c r="G65" s="1582"/>
      <c r="H65" s="1582"/>
      <c r="I65" s="1582"/>
      <c r="J65" s="1582"/>
      <c r="K65" s="65"/>
      <c r="L65" s="23"/>
      <c r="R65" s="25"/>
      <c r="T65" s="23"/>
    </row>
    <row r="66" spans="3:20" ht="4.5" customHeight="1">
      <c r="L66" s="31"/>
      <c r="M66" s="27"/>
      <c r="N66" s="28"/>
      <c r="O66" s="28"/>
      <c r="P66" s="28"/>
    </row>
    <row r="67" spans="3:20" ht="15" customHeight="1">
      <c r="C67" s="886" t="str">
        <f>IF(Indice_index!$Z$1=1,"Fonte: Direção-Geral do Orçamento","Source: Budget General Directorate")</f>
        <v>Source: Budget General Directorate</v>
      </c>
      <c r="D67" s="886"/>
      <c r="E67" s="886"/>
      <c r="F67" s="25"/>
      <c r="G67" s="580"/>
      <c r="J67" s="857"/>
    </row>
    <row r="68" spans="3:20">
      <c r="F68" s="581"/>
      <c r="G68" s="580"/>
      <c r="J68" s="25"/>
    </row>
    <row r="69" spans="3:20" ht="12.75">
      <c r="C69" s="339"/>
      <c r="D69" s="339"/>
      <c r="E69" s="339"/>
      <c r="F69" s="32"/>
      <c r="G69" s="32"/>
      <c r="J69" s="25"/>
      <c r="K69" s="33"/>
    </row>
    <row r="70" spans="3:20" ht="12.75">
      <c r="C70" s="34"/>
      <c r="D70" s="34"/>
      <c r="E70" s="34"/>
      <c r="F70" s="35"/>
      <c r="G70" s="35"/>
      <c r="H70" s="33"/>
      <c r="I70" s="33"/>
      <c r="J70" s="25"/>
      <c r="K70" s="33"/>
    </row>
    <row r="71" spans="3:20" ht="12.75">
      <c r="C71" s="34"/>
      <c r="D71" s="34"/>
      <c r="E71" s="34"/>
      <c r="F71" s="28"/>
      <c r="G71" s="28"/>
      <c r="H71" s="33"/>
      <c r="I71" s="33"/>
      <c r="J71" s="28"/>
    </row>
    <row r="72" spans="3:20" ht="12.75">
      <c r="C72" s="34"/>
      <c r="D72" s="34"/>
      <c r="E72" s="34"/>
      <c r="F72" s="30"/>
      <c r="G72" s="36"/>
      <c r="H72" s="33"/>
      <c r="I72" s="33"/>
      <c r="J72" s="28"/>
    </row>
    <row r="73" spans="3:20" ht="12.75">
      <c r="C73" s="34"/>
      <c r="D73" s="34"/>
      <c r="E73" s="34"/>
      <c r="F73" s="28"/>
      <c r="G73" s="28"/>
      <c r="H73" s="33"/>
      <c r="I73" s="33"/>
      <c r="J73" s="28"/>
    </row>
    <row r="74" spans="3:20" ht="12.75">
      <c r="C74" s="34"/>
      <c r="D74" s="34"/>
      <c r="E74" s="34"/>
      <c r="F74" s="28"/>
      <c r="G74" s="37"/>
      <c r="H74" s="38"/>
      <c r="I74" s="38"/>
      <c r="J74" s="28"/>
    </row>
    <row r="75" spans="3:20" ht="12.75">
      <c r="C75" s="486" t="s">
        <v>118</v>
      </c>
      <c r="D75" s="34"/>
      <c r="E75" s="34"/>
      <c r="F75" s="28"/>
      <c r="G75" s="37"/>
      <c r="H75" s="38"/>
      <c r="I75" s="38"/>
      <c r="J75" s="28"/>
    </row>
    <row r="76" spans="3:20" ht="11.25" customHeight="1">
      <c r="C76" s="486" t="s">
        <v>117</v>
      </c>
      <c r="D76" s="34"/>
      <c r="E76" s="34"/>
      <c r="F76" s="39"/>
      <c r="G76" s="39"/>
      <c r="H76" s="39"/>
      <c r="I76" s="39"/>
      <c r="J76" s="40"/>
    </row>
    <row r="77" spans="3:20" ht="12.75">
      <c r="C77" s="34"/>
      <c r="D77" s="34"/>
      <c r="E77" s="34"/>
      <c r="F77" s="39"/>
      <c r="G77" s="39"/>
      <c r="H77" s="39"/>
      <c r="I77" s="39"/>
      <c r="J77" s="41"/>
    </row>
    <row r="78" spans="3:20" ht="12.75">
      <c r="C78" s="34"/>
      <c r="D78" s="34"/>
      <c r="E78" s="34"/>
      <c r="F78" s="39"/>
      <c r="G78" s="27"/>
      <c r="H78" s="34"/>
      <c r="I78" s="34"/>
      <c r="J78" s="27"/>
    </row>
    <row r="79" spans="3:20" ht="12.75">
      <c r="F79" s="42"/>
      <c r="G79" s="42"/>
    </row>
    <row r="80" spans="3:20" ht="12.75">
      <c r="F80" s="42"/>
    </row>
    <row r="81" spans="3:6" ht="12.75">
      <c r="F81" s="42"/>
    </row>
    <row r="85" spans="3:6" ht="11.25" customHeight="1"/>
    <row r="88" spans="3:6">
      <c r="C88" s="43" t="s">
        <v>5</v>
      </c>
      <c r="D88" s="43"/>
      <c r="E88" s="43"/>
    </row>
    <row r="89" spans="3:6">
      <c r="C89" s="43" t="s">
        <v>6</v>
      </c>
      <c r="D89" s="43"/>
      <c r="E89" s="43"/>
    </row>
    <row r="92" spans="3:6" ht="11.25" customHeight="1"/>
    <row r="100" spans="3:5">
      <c r="C100" s="43" t="s">
        <v>7</v>
      </c>
      <c r="D100" s="43"/>
      <c r="E100" s="43"/>
    </row>
  </sheetData>
  <mergeCells count="4">
    <mergeCell ref="F6:G6"/>
    <mergeCell ref="I6:J6"/>
    <mergeCell ref="C65:J65"/>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8:XFD10 A7:C7 I7:J7 A14:XFD14 A11:C13 H11:XFD13 A19:XFD19 A15:C18 H15:XFD17 A21:XFD21 A20:C20 H20:XFD20 A26:XFD30 A22:C25 H22:XFD25 A36:XFD36 A31:C35 H31:XFD35 A42:XFD42 A37:C41 H37:XFD40 A44:XFD44 A43:C43 H43:XFD43 A49:XFD57 A45:C48 H45:XFD48 A66:XFD68 A58:C61 H58:XFD61 A6:D6 A1:XFD4 I18:XFD18 I41:XFD41 A62:XFD62 A70:XFD74 A69:B69 D69:XFD69 A77:XFD1048576 A75:B75 D75:XFD75 A76:B76 D76:XFD76 A63:B63 D63:XFD63 A5:C5 D5:XFD5 K6:XFD6 K7:XFD7 J6 G6:H6 F6 I6 E6 A65:B65 D65:XFD65" unlockedFormula="1"/>
    <ignoredError sqref="D7:H7" numberStoredAsText="1" unlockedFormula="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0"/>
  <dimension ref="A1:Y121"/>
  <sheetViews>
    <sheetView showGridLines="0" zoomScaleNormal="100" zoomScaleSheetLayoutView="100" workbookViewId="0">
      <selection activeCell="B2" sqref="B2"/>
    </sheetView>
  </sheetViews>
  <sheetFormatPr defaultColWidth="10" defaultRowHeight="15.75"/>
  <cols>
    <col min="1" max="1" width="1.140625" style="44" customWidth="1"/>
    <col min="2" max="2" width="4.42578125" style="44" customWidth="1"/>
    <col min="3" max="3" width="37.5703125" style="44" customWidth="1"/>
    <col min="4" max="4" width="7.5703125" style="44" hidden="1" customWidth="1"/>
    <col min="5" max="5" width="9.42578125" style="44" hidden="1" customWidth="1"/>
    <col min="6" max="6" width="9.42578125" style="44" customWidth="1"/>
    <col min="7" max="8" width="9.42578125" style="50" customWidth="1"/>
    <col min="9" max="12" width="9.42578125" style="44" customWidth="1"/>
    <col min="13" max="14" width="8.5703125" style="44" customWidth="1"/>
    <col min="15" max="15" width="11.42578125" style="44" bestFit="1" customWidth="1"/>
    <col min="16" max="16" width="8.5703125" style="44" customWidth="1"/>
    <col min="17" max="17" width="10.42578125" style="44" bestFit="1" customWidth="1"/>
    <col min="18" max="19" width="6.140625" style="44" bestFit="1" customWidth="1"/>
    <col min="20" max="20" width="8" style="44" bestFit="1" customWidth="1"/>
    <col min="21" max="21" width="7.5703125" style="44" bestFit="1" customWidth="1"/>
    <col min="22" max="16384" width="10" style="44"/>
  </cols>
  <sheetData>
    <row r="1" spans="2:25" ht="15" customHeight="1"/>
    <row r="2" spans="2:25" ht="24" customHeight="1">
      <c r="B2" s="8"/>
      <c r="C2" s="22" t="str">
        <f>IF(Indice_index!$Z$1=1,"5 - Conta Consolidada da Administração Central","5 - Central Government Account")</f>
        <v>5 - Central Government Account</v>
      </c>
      <c r="D2" s="22"/>
      <c r="E2" s="22"/>
      <c r="F2" s="22"/>
      <c r="G2" s="22"/>
      <c r="H2" s="22"/>
      <c r="I2" s="22"/>
      <c r="J2" s="22"/>
      <c r="K2" s="22"/>
      <c r="L2" s="22"/>
    </row>
    <row r="3" spans="2:25" ht="30" customHeight="1">
      <c r="B3" s="44" t="s">
        <v>8</v>
      </c>
      <c r="G3" s="44"/>
      <c r="H3" s="44"/>
    </row>
    <row r="4" spans="2:25" s="274" customFormat="1" ht="15" customHeight="1">
      <c r="C4" s="849" t="str">
        <f>+'4 - Conta AC + SS'!C5</f>
        <v>Period: January to December</v>
      </c>
      <c r="D4" s="849"/>
      <c r="E4" s="849"/>
      <c r="F4" s="849"/>
      <c r="G4" s="887"/>
      <c r="H4" s="888"/>
      <c r="I4" s="889"/>
      <c r="J4" s="889"/>
      <c r="K4" s="890"/>
      <c r="L4" s="891" t="str">
        <f>IF(Indice_index!$Z$1=1,"€ Milhões","€ Millions")</f>
        <v>€ Millions</v>
      </c>
    </row>
    <row r="5" spans="2:25" ht="37.5" customHeight="1">
      <c r="C5" s="892"/>
      <c r="D5" s="703" t="str">
        <f>IF(Indice_index!$Z$1=1,"Estimativa","Estimate")</f>
        <v>Estimate</v>
      </c>
      <c r="E5" s="703" t="str">
        <f>IF(Indice_index!$Z$1=1,"CGE","Final execution")</f>
        <v>Final execution</v>
      </c>
      <c r="F5" s="703" t="str">
        <f>IF(Indice_index!$Z$1=1,"Orçamento Inicial","Budget")</f>
        <v>Budget</v>
      </c>
      <c r="G5" s="1586" t="str">
        <f>IF(Indice_index!$Z$1=1,"Execução Acumulada","Accumulated Execution")</f>
        <v>Accumulated Execution</v>
      </c>
      <c r="H5" s="1586"/>
      <c r="I5" s="844" t="str">
        <f>IF(Indice_index!$Z$1=1,"Grau de Execução (%)","Execution Degree (%)")</f>
        <v>Execution Degree (%)</v>
      </c>
      <c r="J5" s="1587" t="str">
        <f>IF(Indice_index!$Z$1=1,"Variação Homóloga Acumulada","YOY Change Rate")</f>
        <v>YOY Change Rate</v>
      </c>
      <c r="K5" s="1588"/>
      <c r="L5" s="1584" t="str">
        <f>IF(Indice_index!$Z$1=1,"Variação implícita ao OE (%)","Change rate implicit to budget (%)")</f>
        <v>Change rate implicit to budget (%)</v>
      </c>
    </row>
    <row r="6" spans="2:25" ht="30.75" customHeight="1">
      <c r="C6" s="893"/>
      <c r="D6" s="705" t="s">
        <v>66</v>
      </c>
      <c r="E6" s="705" t="s">
        <v>66</v>
      </c>
      <c r="F6" s="705" t="s">
        <v>83</v>
      </c>
      <c r="G6" s="709" t="s">
        <v>66</v>
      </c>
      <c r="H6" s="709" t="s">
        <v>83</v>
      </c>
      <c r="I6" s="709" t="s">
        <v>83</v>
      </c>
      <c r="J6" s="709" t="str">
        <f>IF(Indice_index!$Z$1=1,"Relativa (%)","Relative change (%)")</f>
        <v>Relative change (%)</v>
      </c>
      <c r="K6" s="710" t="str">
        <f>IF(Indice_index!$Z$1=1,"Contributo VHA (p.p.)","YOY Change Rate Contrib. (p.p.)")</f>
        <v>YOY Change Rate Contrib. (p.p.)</v>
      </c>
      <c r="L6" s="1585"/>
    </row>
    <row r="7" spans="2:25" ht="3" customHeight="1">
      <c r="C7" s="46"/>
      <c r="D7" s="46"/>
      <c r="E7" s="46"/>
      <c r="F7" s="46"/>
      <c r="G7" s="894"/>
      <c r="H7" s="895"/>
      <c r="I7" s="895"/>
      <c r="J7" s="895"/>
      <c r="K7" s="895"/>
      <c r="L7" s="895"/>
      <c r="N7" s="45"/>
    </row>
    <row r="8" spans="2:25" s="275" customFormat="1" ht="15" customHeight="1">
      <c r="C8" s="276" t="str">
        <f>IF(Indice_index!$Z$1=1,"Receita corrente","Current revenue")</f>
        <v>Current revenue</v>
      </c>
      <c r="D8" s="896">
        <f t="shared" ref="D8:E8" si="0">+D10+D11+D12+D13+D16+D17</f>
        <v>56269.774631675013</v>
      </c>
      <c r="E8" s="896">
        <f t="shared" si="0"/>
        <v>57964.019545780022</v>
      </c>
      <c r="F8" s="896">
        <f t="shared" ref="F8" si="1">+F10+F11+F12+F13+F16+F17</f>
        <v>61679.339415999995</v>
      </c>
      <c r="G8" s="896">
        <f t="shared" ref="G8:H8" si="2">+G10+G11+G12+G13+G16+G17</f>
        <v>57964.019545780022</v>
      </c>
      <c r="H8" s="896">
        <f t="shared" si="2"/>
        <v>62630.45257377001</v>
      </c>
      <c r="I8" s="897">
        <f>IFERROR(IF(H8/F8*100&lt;-500,"-",IF(H8/F8*100&gt;500,"-",H8/F8*100)),"-")</f>
        <v>101.54202876810203</v>
      </c>
      <c r="J8" s="897">
        <f>IF(IFERROR((H8-G8)/G8*100,"")&gt;500,"-",IFERROR((H8-G8)/G8*100,""))</f>
        <v>8.050568377688915</v>
      </c>
      <c r="K8" s="898">
        <f t="shared" ref="K8:K16" si="3">IFERROR((H8-G8)/$G$26*100,"")</f>
        <v>7.9043762130490203</v>
      </c>
      <c r="L8" s="897">
        <f t="shared" ref="L8:L16" si="4">IF(IFERROR((F8-D8)/D8*100,"")&gt;500,"-",IFERROR((F8-D8)/D8*100,""))</f>
        <v>9.6136244009050387</v>
      </c>
      <c r="M8" s="270"/>
      <c r="N8" s="270"/>
      <c r="O8" s="270"/>
      <c r="P8" s="277"/>
      <c r="Q8" s="277"/>
      <c r="R8" s="277"/>
      <c r="S8" s="277"/>
      <c r="T8" s="277"/>
      <c r="U8" s="277"/>
      <c r="V8" s="278"/>
      <c r="W8" s="278"/>
      <c r="X8" s="278"/>
      <c r="Y8" s="278"/>
    </row>
    <row r="9" spans="2:25" s="46" customFormat="1" ht="15" customHeight="1">
      <c r="C9" s="899" t="str">
        <f>IF(Indice_index!$Z$1=1,"Receita fiscal","Tax")</f>
        <v>Tax</v>
      </c>
      <c r="D9" s="116">
        <f t="shared" ref="D9:E9" si="5">+D10+D11</f>
        <v>41588.482817304975</v>
      </c>
      <c r="E9" s="116">
        <f t="shared" si="5"/>
        <v>43782.734301070013</v>
      </c>
      <c r="F9" s="116">
        <f t="shared" ref="F9" si="6">+F10+F11</f>
        <v>44467.675612999999</v>
      </c>
      <c r="G9" s="116">
        <f t="shared" ref="G9:H9" si="7">+G10+G11</f>
        <v>43782.734301070013</v>
      </c>
      <c r="H9" s="116">
        <f t="shared" si="7"/>
        <v>46092.311405370012</v>
      </c>
      <c r="I9" s="900">
        <f t="shared" ref="I9:I23" si="8">IFERROR(IF(H9/F9*100&lt;-500,"-",IF(H9/F9*100&gt;500,"-",H9/F9*100)),"-")</f>
        <v>103.65352083277106</v>
      </c>
      <c r="J9" s="900">
        <f t="shared" ref="J9:J23" si="9">IF(IFERROR((H9-G9)/G9*100,"")&gt;500,"-",IFERROR((H9-G9)/G9*100,""))</f>
        <v>5.2750864950971197</v>
      </c>
      <c r="K9" s="901">
        <f t="shared" si="3"/>
        <v>3.9121457901421999</v>
      </c>
      <c r="L9" s="900">
        <f>IF(IFERROR((F9-D9)/D9*100,"")&gt;500,"-",IFERROR((F9-D9)/D9*100,""))</f>
        <v>6.9230532124557129</v>
      </c>
      <c r="M9" s="27"/>
      <c r="N9" s="27"/>
      <c r="O9" s="27"/>
      <c r="P9" s="47"/>
      <c r="Q9" s="47"/>
      <c r="R9" s="47"/>
      <c r="S9" s="47"/>
      <c r="T9" s="47"/>
      <c r="U9" s="47"/>
      <c r="V9" s="48"/>
      <c r="W9" s="48"/>
      <c r="X9" s="48"/>
      <c r="Y9" s="48"/>
    </row>
    <row r="10" spans="2:25" s="46" customFormat="1" ht="15" customHeight="1">
      <c r="C10" s="49" t="str">
        <f>IF(Indice_index!$Z$1=1,"Impostos diretos ","Direct taxes")</f>
        <v>Direct taxes</v>
      </c>
      <c r="D10" s="116">
        <v>17658.440543180001</v>
      </c>
      <c r="E10" s="116">
        <v>19153.901822950007</v>
      </c>
      <c r="F10" s="116">
        <v>19051.553058000001</v>
      </c>
      <c r="G10" s="116">
        <v>19153.901822950007</v>
      </c>
      <c r="H10" s="116">
        <v>19954.721445520005</v>
      </c>
      <c r="I10" s="900">
        <f t="shared" si="8"/>
        <v>104.7406549207323</v>
      </c>
      <c r="J10" s="900">
        <f t="shared" si="9"/>
        <v>4.1809738296270469</v>
      </c>
      <c r="K10" s="901">
        <f t="shared" si="3"/>
        <v>1.3564921081299115</v>
      </c>
      <c r="L10" s="900">
        <f t="shared" si="4"/>
        <v>7.8892159894495624</v>
      </c>
      <c r="M10" s="27"/>
      <c r="N10" s="27"/>
      <c r="O10" s="27"/>
      <c r="P10" s="47"/>
      <c r="Q10" s="47"/>
      <c r="R10" s="47"/>
      <c r="S10" s="47"/>
      <c r="T10" s="47"/>
      <c r="U10" s="47"/>
      <c r="V10" s="48"/>
      <c r="W10" s="48"/>
      <c r="X10" s="48"/>
      <c r="Y10" s="48"/>
    </row>
    <row r="11" spans="2:25" s="46" customFormat="1" ht="15" customHeight="1">
      <c r="C11" s="49" t="str">
        <f>IF(Indice_index!$Z$1=1,"Impostos indiretos","Indirect taxes")</f>
        <v>Indirect taxes</v>
      </c>
      <c r="D11" s="116">
        <v>23930.042274124971</v>
      </c>
      <c r="E11" s="116">
        <v>24628.832478120006</v>
      </c>
      <c r="F11" s="116">
        <v>25416.122554999998</v>
      </c>
      <c r="G11" s="116">
        <v>24628.832478120006</v>
      </c>
      <c r="H11" s="116">
        <v>26137.589959850004</v>
      </c>
      <c r="I11" s="900">
        <f t="shared" si="8"/>
        <v>102.83862104964581</v>
      </c>
      <c r="J11" s="900">
        <f t="shared" si="9"/>
        <v>6.1259805273772585</v>
      </c>
      <c r="K11" s="901">
        <f t="shared" si="3"/>
        <v>2.5556536820122822</v>
      </c>
      <c r="L11" s="900">
        <f t="shared" si="4"/>
        <v>6.2101030322119106</v>
      </c>
      <c r="M11" s="27"/>
      <c r="N11" s="27"/>
      <c r="O11" s="27"/>
      <c r="P11" s="47"/>
      <c r="Q11" s="47"/>
      <c r="R11" s="47"/>
      <c r="S11" s="47"/>
      <c r="T11" s="47"/>
      <c r="U11" s="47"/>
      <c r="V11" s="48"/>
      <c r="W11" s="48"/>
      <c r="X11" s="48"/>
      <c r="Y11" s="48"/>
    </row>
    <row r="12" spans="2:25" s="46" customFormat="1" ht="15" customHeight="1">
      <c r="C12" s="902" t="str">
        <f>IF(Indice_index!$Z$1=1,"Contribuições para Segurança Social, CGA e ADSE","Social security, CGA and ADSE contributions")</f>
        <v>Social security, CGA and ADSE contributions</v>
      </c>
      <c r="D12" s="116">
        <v>4098.8948182300001</v>
      </c>
      <c r="E12" s="116">
        <v>4169.583969889999</v>
      </c>
      <c r="F12" s="116">
        <v>3912.8719539999997</v>
      </c>
      <c r="G12" s="116">
        <v>4169.583969889999</v>
      </c>
      <c r="H12" s="116">
        <v>4251.8196911100003</v>
      </c>
      <c r="I12" s="900">
        <f t="shared" si="8"/>
        <v>108.66237743260434</v>
      </c>
      <c r="J12" s="900">
        <f t="shared" si="9"/>
        <v>1.9722764144781295</v>
      </c>
      <c r="K12" s="901">
        <f t="shared" si="3"/>
        <v>0.13929741941550988</v>
      </c>
      <c r="L12" s="900">
        <f t="shared" si="4"/>
        <v>-4.5383663762889475</v>
      </c>
      <c r="M12" s="27"/>
      <c r="N12" s="27"/>
      <c r="O12" s="27"/>
      <c r="P12" s="47"/>
      <c r="Q12" s="47"/>
      <c r="R12" s="47"/>
      <c r="S12" s="47"/>
      <c r="T12" s="47"/>
      <c r="U12" s="47"/>
      <c r="V12" s="48"/>
      <c r="W12" s="48"/>
      <c r="X12" s="48"/>
      <c r="Y12" s="48"/>
    </row>
    <row r="13" spans="2:25" s="46" customFormat="1" ht="15" customHeight="1">
      <c r="C13" s="902" t="str">
        <f>IF(Indice_index!$Z$1=1,"Transferências Correntes","Current transfers")</f>
        <v>Current transfers</v>
      </c>
      <c r="D13" s="116">
        <f t="shared" ref="D13:E13" si="10">+D14+D15</f>
        <v>3181.5050482926458</v>
      </c>
      <c r="E13" s="116">
        <f t="shared" si="10"/>
        <v>2952.0879163900008</v>
      </c>
      <c r="F13" s="116">
        <f t="shared" ref="F13" si="11">+F14+F15</f>
        <v>3933.5787839999998</v>
      </c>
      <c r="G13" s="116">
        <f t="shared" ref="G13:H13" si="12">+G14+G15</f>
        <v>2952.0879163900008</v>
      </c>
      <c r="H13" s="116">
        <f t="shared" si="12"/>
        <v>3642.8368544600007</v>
      </c>
      <c r="I13" s="900">
        <f t="shared" si="8"/>
        <v>92.608717264730927</v>
      </c>
      <c r="J13" s="900">
        <f t="shared" si="9"/>
        <v>23.398657412435441</v>
      </c>
      <c r="K13" s="901">
        <f t="shared" si="3"/>
        <v>1.1700456092522524</v>
      </c>
      <c r="L13" s="900">
        <f t="shared" si="4"/>
        <v>23.638929509508532</v>
      </c>
      <c r="M13" s="27"/>
      <c r="N13" s="27"/>
      <c r="O13" s="27"/>
      <c r="P13" s="47"/>
      <c r="Q13" s="47"/>
      <c r="R13" s="47"/>
      <c r="S13" s="47"/>
      <c r="T13" s="47"/>
      <c r="U13" s="47"/>
      <c r="V13" s="48"/>
      <c r="W13" s="48"/>
      <c r="X13" s="48"/>
      <c r="Y13" s="48"/>
    </row>
    <row r="14" spans="2:25" s="46" customFormat="1" ht="15" customHeight="1">
      <c r="C14" s="903" t="str">
        <f>IF(Indice_index!$Z$1=1,"Administrações Públicas","General Government subsectors")</f>
        <v>General Government subsectors</v>
      </c>
      <c r="D14" s="116">
        <v>2001.256386758741</v>
      </c>
      <c r="E14" s="116">
        <v>2055.1423471300004</v>
      </c>
      <c r="F14" s="116">
        <v>1680.4594039999997</v>
      </c>
      <c r="G14" s="116">
        <v>2055.1423471300004</v>
      </c>
      <c r="H14" s="116">
        <v>2176.0559303100003</v>
      </c>
      <c r="I14" s="900">
        <f t="shared" si="8"/>
        <v>129.49172857912137</v>
      </c>
      <c r="J14" s="900">
        <f t="shared" si="9"/>
        <v>5.8834651209856759</v>
      </c>
      <c r="K14" s="901">
        <f t="shared" si="3"/>
        <v>0.20481306492342236</v>
      </c>
      <c r="L14" s="900">
        <f t="shared" si="4"/>
        <v>-16.029779336684989</v>
      </c>
      <c r="M14" s="27"/>
      <c r="N14" s="27"/>
      <c r="O14" s="27"/>
      <c r="P14" s="47"/>
      <c r="Q14" s="47"/>
      <c r="R14" s="47"/>
      <c r="S14" s="47"/>
      <c r="T14" s="47"/>
      <c r="U14" s="47"/>
      <c r="V14" s="48"/>
      <c r="W14" s="48"/>
      <c r="X14" s="48"/>
      <c r="Y14" s="48"/>
    </row>
    <row r="15" spans="2:25" s="46" customFormat="1" ht="15" customHeight="1">
      <c r="C15" s="903" t="str">
        <f>IF(Indice_index!$Z$1=1,"Outras","Others")</f>
        <v>Others</v>
      </c>
      <c r="D15" s="116">
        <v>1180.2486615339049</v>
      </c>
      <c r="E15" s="116">
        <v>896.94556926000018</v>
      </c>
      <c r="F15" s="116">
        <v>2253.1193800000001</v>
      </c>
      <c r="G15" s="116">
        <v>896.94556926000018</v>
      </c>
      <c r="H15" s="116">
        <v>1466.7809241500001</v>
      </c>
      <c r="I15" s="900">
        <f t="shared" si="8"/>
        <v>65.100009221437702</v>
      </c>
      <c r="J15" s="900">
        <f t="shared" si="9"/>
        <v>63.530650512062472</v>
      </c>
      <c r="K15" s="901">
        <f t="shared" si="3"/>
        <v>0.96523254432883021</v>
      </c>
      <c r="L15" s="900">
        <f t="shared" si="4"/>
        <v>90.90209151957383</v>
      </c>
      <c r="M15" s="27"/>
      <c r="N15" s="27"/>
      <c r="O15" s="27"/>
      <c r="P15" s="47"/>
      <c r="Q15" s="47"/>
      <c r="R15" s="47"/>
      <c r="S15" s="47"/>
      <c r="T15" s="47"/>
      <c r="U15" s="47"/>
      <c r="V15" s="48"/>
      <c r="W15" s="48"/>
      <c r="X15" s="48"/>
      <c r="Y15" s="48"/>
    </row>
    <row r="16" spans="2:25" s="46" customFormat="1" ht="15" customHeight="1">
      <c r="C16" s="902" t="str">
        <f>IF(Indice_index!$Z$1=1,"Outras receitas correntes","Other current revenue")</f>
        <v>Other current revenue</v>
      </c>
      <c r="D16" s="116">
        <v>7400.8919478473872</v>
      </c>
      <c r="E16" s="116">
        <v>7046.1395163600027</v>
      </c>
      <c r="F16" s="116">
        <v>9263.430911999998</v>
      </c>
      <c r="G16" s="116">
        <v>7046.1395163600027</v>
      </c>
      <c r="H16" s="116">
        <v>8601.6357854999969</v>
      </c>
      <c r="I16" s="900">
        <f t="shared" si="8"/>
        <v>92.855831356795676</v>
      </c>
      <c r="J16" s="900">
        <f t="shared" si="9"/>
        <v>22.075865309342539</v>
      </c>
      <c r="K16" s="901">
        <f t="shared" si="3"/>
        <v>2.6348235655645307</v>
      </c>
      <c r="L16" s="900">
        <f t="shared" si="4"/>
        <v>25.166412065971944</v>
      </c>
      <c r="M16" s="27"/>
      <c r="N16" s="27"/>
      <c r="O16" s="27"/>
      <c r="P16" s="47"/>
      <c r="Q16" s="47"/>
      <c r="R16" s="47"/>
      <c r="S16" s="47"/>
      <c r="T16" s="47"/>
      <c r="U16" s="47"/>
      <c r="V16" s="48"/>
      <c r="W16" s="48"/>
      <c r="X16" s="48"/>
      <c r="Y16" s="48"/>
    </row>
    <row r="17" spans="2:25" s="46" customFormat="1" ht="15" customHeight="1">
      <c r="C17" s="902" t="str">
        <f>IF(Indice_index!$Z$1=1,"Diferenças de consolidação","Consolidation differences")</f>
        <v>Consolidation differences</v>
      </c>
      <c r="D17" s="116">
        <v>0</v>
      </c>
      <c r="E17" s="116">
        <v>13.473842070000064</v>
      </c>
      <c r="F17" s="116">
        <v>101.78215299999972</v>
      </c>
      <c r="G17" s="116">
        <v>13.473842069999154</v>
      </c>
      <c r="H17" s="116">
        <v>41.848837329996691</v>
      </c>
      <c r="I17" s="900"/>
      <c r="J17" s="900"/>
      <c r="K17" s="901"/>
      <c r="L17" s="900"/>
      <c r="M17" s="27"/>
      <c r="N17" s="27"/>
      <c r="O17" s="27"/>
      <c r="P17" s="47"/>
      <c r="Q17" s="47"/>
      <c r="R17" s="47"/>
      <c r="S17" s="47"/>
      <c r="T17" s="47"/>
      <c r="U17" s="47"/>
      <c r="V17" s="48"/>
      <c r="W17" s="48"/>
      <c r="X17" s="48"/>
      <c r="Y17" s="48"/>
    </row>
    <row r="18" spans="2:25" s="275" customFormat="1" ht="15" customHeight="1">
      <c r="C18" s="276" t="str">
        <f>IF(Indice_index!$Z$1=1,"Receita de capital","Capital revenue")</f>
        <v>Capital revenue</v>
      </c>
      <c r="D18" s="896">
        <f t="shared" ref="D18:E18" si="13">+D19+D20+D23+D24</f>
        <v>1359.91178763326</v>
      </c>
      <c r="E18" s="896">
        <f t="shared" si="13"/>
        <v>1072.0498696199998</v>
      </c>
      <c r="F18" s="896">
        <f t="shared" ref="F18" si="14">+F19+F20+F23+F24</f>
        <v>3007.7258190000002</v>
      </c>
      <c r="G18" s="896">
        <f t="shared" ref="G18:H18" si="15">+G19+G20+G23+G24</f>
        <v>1072.0498696199998</v>
      </c>
      <c r="H18" s="896">
        <f t="shared" si="15"/>
        <v>1165.3560695800004</v>
      </c>
      <c r="I18" s="896">
        <f t="shared" si="8"/>
        <v>38.74542227946344</v>
      </c>
      <c r="J18" s="896">
        <f t="shared" si="9"/>
        <v>8.7035316736780235</v>
      </c>
      <c r="K18" s="898">
        <f t="shared" ref="K18:K23" si="16">IFERROR((H18-G18)/$G$26*100,"")</f>
        <v>0.15804947870675989</v>
      </c>
      <c r="L18" s="897">
        <f t="shared" ref="L18:L23" si="17">IF(IFERROR((F18-D18)/D18*100,"")&gt;500,"-",IFERROR((F18-D18)/D18*100,""))</f>
        <v>121.17065579926583</v>
      </c>
      <c r="M18" s="270"/>
      <c r="N18" s="270"/>
      <c r="O18" s="270"/>
      <c r="P18" s="277"/>
      <c r="Q18" s="277"/>
      <c r="R18" s="277"/>
      <c r="S18" s="277"/>
      <c r="T18" s="277"/>
      <c r="U18" s="277"/>
      <c r="V18" s="278"/>
      <c r="W18" s="278"/>
      <c r="X18" s="278"/>
      <c r="Y18" s="278"/>
    </row>
    <row r="19" spans="2:25" s="46" customFormat="1" ht="15" customHeight="1">
      <c r="C19" s="902" t="str">
        <f>IF(Indice_index!$Z$1=1,"Venda de bens de investimento","Sale of investment goods")</f>
        <v>Sale of investment goods</v>
      </c>
      <c r="D19" s="116">
        <v>158.61857755799136</v>
      </c>
      <c r="E19" s="116">
        <v>144.89163881000002</v>
      </c>
      <c r="F19" s="116">
        <v>359.75592499999999</v>
      </c>
      <c r="G19" s="116">
        <v>144.89163881000002</v>
      </c>
      <c r="H19" s="116">
        <v>151.49237867999994</v>
      </c>
      <c r="I19" s="900">
        <f t="shared" si="8"/>
        <v>42.109766136582728</v>
      </c>
      <c r="J19" s="900">
        <f t="shared" si="9"/>
        <v>4.5556389065732361</v>
      </c>
      <c r="K19" s="901">
        <f t="shared" si="16"/>
        <v>1.1180859321027345E-2</v>
      </c>
      <c r="L19" s="900">
        <f t="shared" si="17"/>
        <v>126.80566837668954</v>
      </c>
      <c r="M19" s="27"/>
      <c r="N19" s="27"/>
      <c r="O19" s="27"/>
      <c r="P19" s="47"/>
      <c r="Q19" s="47"/>
      <c r="R19" s="47"/>
      <c r="S19" s="47"/>
      <c r="T19" s="47"/>
      <c r="U19" s="47"/>
      <c r="V19" s="48"/>
      <c r="W19" s="48"/>
      <c r="X19" s="48"/>
      <c r="Y19" s="48"/>
    </row>
    <row r="20" spans="2:25" s="46" customFormat="1" ht="15" customHeight="1">
      <c r="C20" s="902" t="str">
        <f>IF(Indice_index!$Z$1=1,"Transferências de Capital","Capital transfers")</f>
        <v>Capital transfers</v>
      </c>
      <c r="D20" s="116">
        <f t="shared" ref="D20:E20" si="18">+D21+D22</f>
        <v>1181.5346807094134</v>
      </c>
      <c r="E20" s="116">
        <f t="shared" si="18"/>
        <v>854.55356735999987</v>
      </c>
      <c r="F20" s="116">
        <f t="shared" ref="F20" si="19">+F21+F22</f>
        <v>2616.5544110000001</v>
      </c>
      <c r="G20" s="116">
        <f t="shared" ref="G20:H20" si="20">+G21+G22</f>
        <v>854.55356735999987</v>
      </c>
      <c r="H20" s="116">
        <f t="shared" si="20"/>
        <v>985.64140149000025</v>
      </c>
      <c r="I20" s="900">
        <f t="shared" si="8"/>
        <v>37.669440289350064</v>
      </c>
      <c r="J20" s="900">
        <f t="shared" si="9"/>
        <v>15.339920063171029</v>
      </c>
      <c r="K20" s="901">
        <f t="shared" si="16"/>
        <v>0.22204702214779407</v>
      </c>
      <c r="L20" s="900">
        <f t="shared" si="17"/>
        <v>121.45388144078655</v>
      </c>
      <c r="M20" s="27"/>
      <c r="N20" s="27"/>
      <c r="O20" s="27"/>
      <c r="P20" s="47"/>
      <c r="Q20" s="47"/>
      <c r="R20" s="47"/>
      <c r="S20" s="47"/>
      <c r="T20" s="47"/>
      <c r="U20" s="47"/>
      <c r="V20" s="48"/>
      <c r="W20" s="48"/>
      <c r="X20" s="48"/>
      <c r="Y20" s="48"/>
    </row>
    <row r="21" spans="2:25" s="46" customFormat="1" ht="15" customHeight="1">
      <c r="C21" s="903" t="str">
        <f>IF(Indice_index!$Z$1=1,"Administrações Públicas","General Government subsectors")</f>
        <v>General Government subsectors</v>
      </c>
      <c r="D21" s="116">
        <v>11.603665910878986</v>
      </c>
      <c r="E21" s="116">
        <v>7.7602605900000006</v>
      </c>
      <c r="F21" s="116">
        <v>21.277076000000001</v>
      </c>
      <c r="G21" s="116">
        <v>7.7602605900000006</v>
      </c>
      <c r="H21" s="116">
        <v>10.60927536</v>
      </c>
      <c r="I21" s="900">
        <f t="shared" si="8"/>
        <v>49.862468696356579</v>
      </c>
      <c r="J21" s="900">
        <f t="shared" si="9"/>
        <v>36.712874998956693</v>
      </c>
      <c r="K21" s="901">
        <f t="shared" si="16"/>
        <v>4.8258883055937521E-3</v>
      </c>
      <c r="L21" s="900">
        <f t="shared" si="17"/>
        <v>83.365120673215316</v>
      </c>
      <c r="M21" s="27"/>
      <c r="N21" s="27"/>
      <c r="O21" s="27"/>
      <c r="P21" s="47"/>
      <c r="Q21" s="47"/>
      <c r="R21" s="47"/>
      <c r="S21" s="47"/>
      <c r="T21" s="47"/>
      <c r="U21" s="47"/>
      <c r="V21" s="48"/>
      <c r="W21" s="48"/>
      <c r="X21" s="48"/>
      <c r="Y21" s="48"/>
    </row>
    <row r="22" spans="2:25" s="46" customFormat="1" ht="15" customHeight="1">
      <c r="B22" s="49"/>
      <c r="C22" s="903" t="str">
        <f>IF(Indice_index!$Z$1=1,"Outras","Others")</f>
        <v>Others</v>
      </c>
      <c r="D22" s="116">
        <v>1169.9310147985343</v>
      </c>
      <c r="E22" s="116">
        <v>846.79330676999984</v>
      </c>
      <c r="F22" s="116">
        <v>2595.2773350000002</v>
      </c>
      <c r="G22" s="116">
        <v>846.79330676999984</v>
      </c>
      <c r="H22" s="116">
        <v>975.03212613000028</v>
      </c>
      <c r="I22" s="900">
        <f t="shared" si="8"/>
        <v>37.569477179979309</v>
      </c>
      <c r="J22" s="900">
        <f t="shared" si="9"/>
        <v>15.144052076787586</v>
      </c>
      <c r="K22" s="901">
        <f t="shared" si="16"/>
        <v>0.21722113384220043</v>
      </c>
      <c r="L22" s="900">
        <f t="shared" si="17"/>
        <v>121.83165521489443</v>
      </c>
      <c r="M22" s="27"/>
      <c r="N22" s="27"/>
      <c r="O22" s="27"/>
      <c r="P22" s="47"/>
      <c r="Q22" s="47"/>
      <c r="R22" s="47"/>
      <c r="S22" s="47"/>
      <c r="T22" s="47"/>
      <c r="U22" s="47"/>
      <c r="V22" s="48"/>
      <c r="W22" s="48"/>
      <c r="X22" s="48"/>
      <c r="Y22" s="48"/>
    </row>
    <row r="23" spans="2:25" s="46" customFormat="1" ht="15" customHeight="1">
      <c r="C23" s="902" t="str">
        <f>IF(Indice_index!$Z$1=1,"Outras receitas de capital","Other capital revenue")</f>
        <v>Other capital revenue</v>
      </c>
      <c r="D23" s="116">
        <v>19.758529365855384</v>
      </c>
      <c r="E23" s="116">
        <v>68.622567469999993</v>
      </c>
      <c r="F23" s="116">
        <v>31.406576999999999</v>
      </c>
      <c r="G23" s="116">
        <v>68.622567469999993</v>
      </c>
      <c r="H23" s="116">
        <v>18.433471109999999</v>
      </c>
      <c r="I23" s="900">
        <f t="shared" si="8"/>
        <v>58.693028246917834</v>
      </c>
      <c r="J23" s="900">
        <f t="shared" si="9"/>
        <v>-73.137887739250445</v>
      </c>
      <c r="K23" s="901">
        <f t="shared" si="16"/>
        <v>-8.5014291867655689E-2</v>
      </c>
      <c r="L23" s="900">
        <f t="shared" si="17"/>
        <v>58.95199697541026</v>
      </c>
      <c r="M23" s="27"/>
      <c r="N23" s="27"/>
      <c r="O23" s="27"/>
      <c r="P23" s="47"/>
      <c r="Q23" s="47"/>
      <c r="R23" s="47"/>
      <c r="S23" s="47"/>
      <c r="T23" s="47"/>
      <c r="U23" s="47"/>
      <c r="V23" s="48"/>
      <c r="W23" s="48"/>
      <c r="X23" s="48"/>
      <c r="Y23" s="48"/>
    </row>
    <row r="24" spans="2:25" s="46" customFormat="1" ht="15" customHeight="1">
      <c r="C24" s="902" t="str">
        <f>IF(Indice_index!$Z$1=1,"Diferenças de consolidação","Consolidation differences")</f>
        <v>Consolidation differences</v>
      </c>
      <c r="D24" s="116">
        <v>0</v>
      </c>
      <c r="E24" s="116">
        <v>3.9820959799999995</v>
      </c>
      <c r="F24" s="116">
        <v>8.9060000000031891E-3</v>
      </c>
      <c r="G24" s="116">
        <v>3.9820959799999995</v>
      </c>
      <c r="H24" s="116">
        <v>9.7888183000003295</v>
      </c>
      <c r="I24" s="901"/>
      <c r="J24" s="901"/>
      <c r="K24" s="901"/>
      <c r="L24" s="901"/>
      <c r="M24" s="27"/>
      <c r="N24" s="27"/>
      <c r="O24" s="27"/>
      <c r="P24" s="47"/>
      <c r="Q24" s="47"/>
      <c r="R24" s="47"/>
      <c r="S24" s="47"/>
      <c r="T24" s="47"/>
      <c r="U24" s="47"/>
      <c r="V24" s="48"/>
      <c r="W24" s="48"/>
      <c r="X24" s="48"/>
      <c r="Y24" s="48"/>
    </row>
    <row r="25" spans="2:25" s="46" customFormat="1" ht="4.5" customHeight="1">
      <c r="C25" s="904"/>
      <c r="D25" s="904"/>
      <c r="E25" s="904"/>
      <c r="F25" s="904"/>
      <c r="G25" s="116"/>
      <c r="H25" s="116"/>
      <c r="I25" s="901"/>
      <c r="J25" s="901"/>
      <c r="K25" s="901"/>
      <c r="L25" s="901"/>
      <c r="M25" s="27"/>
      <c r="N25" s="27"/>
      <c r="O25" s="27"/>
      <c r="P25" s="47"/>
      <c r="Q25" s="47"/>
      <c r="R25" s="47"/>
      <c r="S25" s="47"/>
      <c r="T25" s="47"/>
      <c r="U25" s="47"/>
      <c r="V25" s="48"/>
      <c r="W25" s="48"/>
      <c r="X25" s="48"/>
      <c r="Y25" s="48"/>
    </row>
    <row r="26" spans="2:25" s="276" customFormat="1" ht="15" customHeight="1">
      <c r="C26" s="905" t="str">
        <f>IF(Indice_index!$Z$1=1,"Receita efetiva","Effective revenue")</f>
        <v>Effective revenue</v>
      </c>
      <c r="D26" s="906">
        <f t="shared" ref="D26:H26" si="21">+D8+D18</f>
        <v>57629.686419308273</v>
      </c>
      <c r="E26" s="906">
        <f t="shared" ref="E26" si="22">+E8+E18</f>
        <v>59036.069415400023</v>
      </c>
      <c r="F26" s="906">
        <f t="shared" si="21"/>
        <v>64687.065234999995</v>
      </c>
      <c r="G26" s="906">
        <f t="shared" si="21"/>
        <v>59036.069415400023</v>
      </c>
      <c r="H26" s="906">
        <f t="shared" si="21"/>
        <v>63795.808643350007</v>
      </c>
      <c r="I26" s="907">
        <f>IFERROR(IF(H26/F26*100&lt;-500,"-",IF(H26/F26*100&gt;500,"-",H26/F26*100)),"-")</f>
        <v>98.622202772050088</v>
      </c>
      <c r="J26" s="907">
        <f t="shared" ref="J26" si="23">IF(IFERROR((H26-G26)/G26*100,"")&gt;500,"-",IFERROR((H26-G26)/G26*100,""))</f>
        <v>8.0624256917557737</v>
      </c>
      <c r="K26" s="908"/>
      <c r="L26" s="907">
        <f>IF(IFERROR((F26-D26)/D26*100,"")&gt;500,"-",IFERROR((F26-D26)/D26*100,""))</f>
        <v>12.24608227839882</v>
      </c>
      <c r="M26" s="270"/>
      <c r="N26" s="270"/>
      <c r="O26" s="270"/>
      <c r="P26" s="277"/>
      <c r="Q26" s="277"/>
      <c r="R26" s="277"/>
      <c r="S26" s="277"/>
      <c r="T26" s="277"/>
      <c r="U26" s="277"/>
      <c r="V26" s="278"/>
      <c r="W26" s="278"/>
      <c r="X26" s="278"/>
      <c r="Y26" s="278"/>
    </row>
    <row r="27" spans="2:25" s="46" customFormat="1" ht="4.5" customHeight="1">
      <c r="C27" s="904"/>
      <c r="D27" s="904"/>
      <c r="E27" s="904"/>
      <c r="F27" s="904"/>
      <c r="G27" s="116"/>
      <c r="H27" s="116"/>
      <c r="I27" s="901"/>
      <c r="J27" s="901"/>
      <c r="K27" s="901"/>
      <c r="L27" s="901"/>
      <c r="M27" s="27"/>
      <c r="N27" s="27"/>
      <c r="O27" s="27"/>
      <c r="P27" s="47"/>
      <c r="Q27" s="47"/>
      <c r="R27" s="47"/>
      <c r="S27" s="47"/>
      <c r="T27" s="47"/>
      <c r="U27" s="47"/>
      <c r="V27" s="48"/>
      <c r="W27" s="48"/>
      <c r="X27" s="48"/>
      <c r="Y27" s="48"/>
    </row>
    <row r="28" spans="2:25" s="275" customFormat="1" ht="15" customHeight="1">
      <c r="C28" s="276" t="str">
        <f>IF(Indice_index!$Z$1=1,"Despesa corrente","Current expenditure")</f>
        <v>Current expenditure</v>
      </c>
      <c r="D28" s="896">
        <f>+D29+D33+D34+D35+D38+D39+D40</f>
        <v>68064.565214979331</v>
      </c>
      <c r="E28" s="896">
        <f>+E29+E33+E34+E35+E38+E39+E40</f>
        <v>67031.184486730024</v>
      </c>
      <c r="F28" s="896">
        <f>+F29+F33+F34+F35+F38+F39+F40</f>
        <v>69159.398346000002</v>
      </c>
      <c r="G28" s="896">
        <f>+G29+G33+G34+G35+G38+G39+G40</f>
        <v>67031.184486730024</v>
      </c>
      <c r="H28" s="896">
        <f t="shared" ref="H28" si="24">+H29+H33+H34+H35+H38+H39+H40</f>
        <v>68975.331632470014</v>
      </c>
      <c r="I28" s="896">
        <f t="shared" ref="I28:I46" si="25">IFERROR(IF(H28/F28*100&lt;-500,"-",IF(H28/F28*100&gt;500,"-",H28/F28*100)),"-")</f>
        <v>99.733851482326216</v>
      </c>
      <c r="J28" s="896">
        <f t="shared" ref="J28:J46" si="26">IF(IFERROR((H28-G28)/G28*100,"")&gt;500,"-",IFERROR((H28-G28)/G28*100,""))</f>
        <v>2.9003622129411522</v>
      </c>
      <c r="K28" s="898">
        <f>IFERROR((H28-G28)/$G$49*100,"")</f>
        <v>2.6760414913772341</v>
      </c>
      <c r="L28" s="897">
        <f t="shared" ref="L28:L39" si="27">IF(IFERROR((F28-D28)/D28*100,"")&gt;500,"-",IFERROR((F28-D28)/D28*100,""))</f>
        <v>1.6085214495423303</v>
      </c>
      <c r="M28" s="270"/>
      <c r="N28" s="270"/>
      <c r="O28" s="270"/>
      <c r="P28" s="277"/>
      <c r="Q28" s="277"/>
      <c r="R28" s="277"/>
      <c r="S28" s="277"/>
      <c r="T28" s="277"/>
      <c r="U28" s="277"/>
      <c r="V28" s="278"/>
      <c r="W28" s="278"/>
      <c r="X28" s="278"/>
      <c r="Y28" s="278"/>
    </row>
    <row r="29" spans="2:25" s="46" customFormat="1" ht="15" customHeight="1">
      <c r="C29" s="902" t="str">
        <f>IF(Indice_index!$Z$1=1,"Despesas com o pessoal","Employees")</f>
        <v>Employees</v>
      </c>
      <c r="D29" s="116">
        <f t="shared" ref="D29:E29" si="28">+D30+D31+D32</f>
        <v>17888.738614486661</v>
      </c>
      <c r="E29" s="116">
        <f t="shared" si="28"/>
        <v>17983.65540547001</v>
      </c>
      <c r="F29" s="116">
        <f t="shared" ref="F29" si="29">+F30+F31+F32</f>
        <v>18721.081571999999</v>
      </c>
      <c r="G29" s="116">
        <f t="shared" ref="G29:H29" si="30">+G30+G31+G32</f>
        <v>17983.655405470006</v>
      </c>
      <c r="H29" s="116">
        <f t="shared" si="30"/>
        <v>18698.376258109987</v>
      </c>
      <c r="I29" s="900">
        <f t="shared" si="25"/>
        <v>99.878717937301388</v>
      </c>
      <c r="J29" s="900">
        <f t="shared" si="26"/>
        <v>3.9742801812282695</v>
      </c>
      <c r="K29" s="901">
        <f t="shared" ref="K29:K46" si="31">IFERROR((H29-G29)/$G$49*100,"")</f>
        <v>0.98378492626344538</v>
      </c>
      <c r="L29" s="900">
        <f t="shared" si="27"/>
        <v>4.6528879170904185</v>
      </c>
      <c r="M29" s="27"/>
      <c r="N29" s="27"/>
      <c r="O29" s="27"/>
      <c r="P29" s="47"/>
      <c r="Q29" s="47"/>
      <c r="R29" s="47"/>
      <c r="S29" s="47"/>
      <c r="T29" s="47"/>
      <c r="U29" s="47"/>
      <c r="V29" s="48"/>
      <c r="W29" s="48"/>
      <c r="X29" s="48"/>
      <c r="Y29" s="48"/>
    </row>
    <row r="30" spans="2:25" s="46" customFormat="1" ht="15" customHeight="1">
      <c r="C30" s="909" t="str">
        <f>IF(Indice_index!$Z$1=1,"Remunerações Certas e Permanentes","Certain and permanent wages")</f>
        <v>Certain and permanent wages</v>
      </c>
      <c r="D30" s="116">
        <v>12855.078742824842</v>
      </c>
      <c r="E30" s="116">
        <v>12988.180068100015</v>
      </c>
      <c r="F30" s="116">
        <v>13910.607276999999</v>
      </c>
      <c r="G30" s="116">
        <v>12988.180068100015</v>
      </c>
      <c r="H30" s="116">
        <v>13289.364259999991</v>
      </c>
      <c r="I30" s="900">
        <f t="shared" si="25"/>
        <v>95.534033815855182</v>
      </c>
      <c r="J30" s="900">
        <f t="shared" si="26"/>
        <v>2.3189098882275903</v>
      </c>
      <c r="K30" s="901">
        <f t="shared" si="31"/>
        <v>0.41456810295317614</v>
      </c>
      <c r="L30" s="900">
        <f t="shared" si="27"/>
        <v>8.2109845866506888</v>
      </c>
      <c r="M30" s="27"/>
      <c r="N30" s="27"/>
      <c r="O30" s="27"/>
      <c r="P30" s="47"/>
      <c r="Q30" s="47"/>
      <c r="R30" s="47"/>
      <c r="S30" s="47"/>
      <c r="T30" s="47"/>
      <c r="U30" s="47"/>
      <c r="V30" s="48"/>
      <c r="W30" s="48"/>
      <c r="X30" s="48"/>
      <c r="Y30" s="48"/>
    </row>
    <row r="31" spans="2:25" s="46" customFormat="1" ht="15" customHeight="1">
      <c r="C31" s="909" t="str">
        <f>IF(Indice_index!$Z$1=1,"Abonos Variáveis ou Eventuais","Variable or contingent bonuses")</f>
        <v>Variable or contingent bonuses</v>
      </c>
      <c r="D31" s="116">
        <v>1235.6968782712811</v>
      </c>
      <c r="E31" s="116">
        <v>1132.5115953199975</v>
      </c>
      <c r="F31" s="116">
        <v>1121.868434</v>
      </c>
      <c r="G31" s="116">
        <v>1132.5115953199975</v>
      </c>
      <c r="H31" s="116">
        <v>1333.5385887900002</v>
      </c>
      <c r="I31" s="900">
        <f t="shared" si="25"/>
        <v>118.86764511550561</v>
      </c>
      <c r="J31" s="900">
        <f t="shared" si="26"/>
        <v>17.750546157825557</v>
      </c>
      <c r="K31" s="901">
        <f t="shared" si="31"/>
        <v>0.27670568896563041</v>
      </c>
      <c r="L31" s="900">
        <f t="shared" si="27"/>
        <v>-9.2116801679166791</v>
      </c>
      <c r="M31" s="27"/>
      <c r="N31" s="27"/>
      <c r="O31" s="27"/>
      <c r="P31" s="47"/>
      <c r="Q31" s="47"/>
      <c r="R31" s="47"/>
      <c r="S31" s="47"/>
      <c r="T31" s="47"/>
      <c r="U31" s="47"/>
      <c r="V31" s="48"/>
      <c r="W31" s="48"/>
      <c r="X31" s="48"/>
      <c r="Y31" s="48"/>
    </row>
    <row r="32" spans="2:25" s="46" customFormat="1" ht="15" customHeight="1">
      <c r="C32" s="909" t="str">
        <f>IF(Indice_index!$Z$1=1,"Segurança social","Social security")</f>
        <v>Social security</v>
      </c>
      <c r="D32" s="116">
        <v>3797.9629933905362</v>
      </c>
      <c r="E32" s="116">
        <v>3862.9637420499948</v>
      </c>
      <c r="F32" s="116">
        <v>3688.605861</v>
      </c>
      <c r="G32" s="116">
        <v>3862.9637420499939</v>
      </c>
      <c r="H32" s="116">
        <v>4075.4734093199959</v>
      </c>
      <c r="I32" s="900">
        <f t="shared" si="25"/>
        <v>110.48817799728579</v>
      </c>
      <c r="J32" s="900">
        <f t="shared" si="26"/>
        <v>5.5012079185922547</v>
      </c>
      <c r="K32" s="901">
        <f t="shared" si="31"/>
        <v>0.29251113434463871</v>
      </c>
      <c r="L32" s="900">
        <f t="shared" si="27"/>
        <v>-2.8793627684326215</v>
      </c>
      <c r="M32" s="27"/>
      <c r="N32" s="27"/>
      <c r="O32" s="27"/>
      <c r="P32" s="47"/>
      <c r="Q32" s="47"/>
      <c r="R32" s="47"/>
      <c r="S32" s="47"/>
      <c r="T32" s="47"/>
      <c r="U32" s="47"/>
      <c r="V32" s="48"/>
      <c r="W32" s="48"/>
      <c r="X32" s="48"/>
      <c r="Y32" s="48"/>
    </row>
    <row r="33" spans="3:25" s="46" customFormat="1" ht="15" customHeight="1">
      <c r="C33" s="902" t="str">
        <f>IF(Indice_index!$Z$1=1,"Aquisição de bens e serviços","Purchase of goods and services")</f>
        <v>Purchase of goods and services</v>
      </c>
      <c r="D33" s="116">
        <v>10650.82983136469</v>
      </c>
      <c r="E33" s="116">
        <v>10213.560535480021</v>
      </c>
      <c r="F33" s="116">
        <v>11700.242587999999</v>
      </c>
      <c r="G33" s="116">
        <v>10213.560535480025</v>
      </c>
      <c r="H33" s="116">
        <v>11307.343804520031</v>
      </c>
      <c r="I33" s="900">
        <f t="shared" si="25"/>
        <v>96.641960365138644</v>
      </c>
      <c r="J33" s="900">
        <f t="shared" si="26"/>
        <v>10.709127979810813</v>
      </c>
      <c r="K33" s="901">
        <f t="shared" si="31"/>
        <v>1.5055493185991304</v>
      </c>
      <c r="L33" s="900">
        <f t="shared" si="27"/>
        <v>9.8528731868852688</v>
      </c>
      <c r="M33" s="27"/>
      <c r="N33" s="27"/>
      <c r="O33" s="27"/>
      <c r="P33" s="47"/>
      <c r="Q33" s="47"/>
      <c r="R33" s="47"/>
      <c r="S33" s="47"/>
      <c r="T33" s="47"/>
      <c r="U33" s="47"/>
      <c r="V33" s="48"/>
      <c r="W33" s="48"/>
      <c r="X33" s="48"/>
      <c r="Y33" s="48"/>
    </row>
    <row r="34" spans="3:25" s="46" customFormat="1" ht="15" customHeight="1">
      <c r="C34" s="902" t="str">
        <f>IF(Indice_index!$Z$1=1,"Juros e outros encargos","Interests and other charges")</f>
        <v>Interests and other charges</v>
      </c>
      <c r="D34" s="116">
        <v>7595.0248749056209</v>
      </c>
      <c r="E34" s="116">
        <v>7419.341251519998</v>
      </c>
      <c r="F34" s="116">
        <v>7082.7054459999999</v>
      </c>
      <c r="G34" s="116">
        <v>7419.341251519998</v>
      </c>
      <c r="H34" s="116">
        <v>6796.1882396499996</v>
      </c>
      <c r="I34" s="900">
        <f t="shared" si="25"/>
        <v>95.954692616621344</v>
      </c>
      <c r="J34" s="900">
        <f t="shared" si="26"/>
        <v>-8.3990342369321969</v>
      </c>
      <c r="K34" s="901">
        <f t="shared" si="31"/>
        <v>-0.85774542266248244</v>
      </c>
      <c r="L34" s="900">
        <f t="shared" si="27"/>
        <v>-6.7454608423779163</v>
      </c>
      <c r="M34" s="27"/>
      <c r="N34" s="27"/>
      <c r="O34" s="27"/>
      <c r="P34" s="47"/>
      <c r="Q34" s="47"/>
      <c r="R34" s="47"/>
      <c r="S34" s="47"/>
      <c r="T34" s="47"/>
      <c r="U34" s="47"/>
      <c r="V34" s="48"/>
      <c r="W34" s="48"/>
      <c r="X34" s="48"/>
      <c r="Y34" s="48"/>
    </row>
    <row r="35" spans="3:25" s="46" customFormat="1" ht="15" customHeight="1">
      <c r="C35" s="902" t="str">
        <f>IF(Indice_index!$Z$1=1,"Transferências Correntes","Current transfers")</f>
        <v>Current transfers</v>
      </c>
      <c r="D35" s="116">
        <f t="shared" ref="D35:E35" si="32">+D36+D37</f>
        <v>30034.132623486559</v>
      </c>
      <c r="E35" s="116">
        <f t="shared" si="32"/>
        <v>29927.426238360007</v>
      </c>
      <c r="F35" s="116">
        <f t="shared" ref="F35" si="33">+F36+F37</f>
        <v>28416.123492999999</v>
      </c>
      <c r="G35" s="116">
        <f t="shared" ref="G35:H35" si="34">+G36+G37</f>
        <v>29927.426238360007</v>
      </c>
      <c r="H35" s="116">
        <f t="shared" si="34"/>
        <v>30241.028281630002</v>
      </c>
      <c r="I35" s="900">
        <f t="shared" si="25"/>
        <v>106.42207509085308</v>
      </c>
      <c r="J35" s="900">
        <f t="shared" si="26"/>
        <v>1.0478750854559964</v>
      </c>
      <c r="K35" s="901">
        <f t="shared" si="31"/>
        <v>0.43166078319229362</v>
      </c>
      <c r="L35" s="900">
        <f t="shared" si="27"/>
        <v>-5.3872344201519704</v>
      </c>
      <c r="M35" s="27"/>
      <c r="N35" s="27"/>
      <c r="O35" s="27"/>
      <c r="P35" s="47"/>
      <c r="Q35" s="47"/>
      <c r="R35" s="47"/>
      <c r="S35" s="47"/>
      <c r="T35" s="47"/>
      <c r="U35" s="47"/>
      <c r="V35" s="48"/>
      <c r="W35" s="48"/>
      <c r="X35" s="48"/>
      <c r="Y35" s="48"/>
    </row>
    <row r="36" spans="3:25" s="46" customFormat="1" ht="15" customHeight="1">
      <c r="C36" s="903" t="str">
        <f>IF(Indice_index!$Z$1=1,"Administrações Públicas","General Government subsectors")</f>
        <v>General Government subsectors</v>
      </c>
      <c r="D36" s="116">
        <v>15762.164655345587</v>
      </c>
      <c r="E36" s="116">
        <v>15727.371019369999</v>
      </c>
      <c r="F36" s="116">
        <v>13898.688634999999</v>
      </c>
      <c r="G36" s="116">
        <v>15727.371019369999</v>
      </c>
      <c r="H36" s="116">
        <v>15063.043390040004</v>
      </c>
      <c r="I36" s="900">
        <f t="shared" si="25"/>
        <v>108.37744326545959</v>
      </c>
      <c r="J36" s="900">
        <f t="shared" si="26"/>
        <v>-4.2240221109542206</v>
      </c>
      <c r="K36" s="901">
        <f t="shared" si="31"/>
        <v>-0.9144206516727833</v>
      </c>
      <c r="L36" s="900">
        <f t="shared" si="27"/>
        <v>-11.822462593763149</v>
      </c>
      <c r="M36" s="27"/>
      <c r="N36" s="27"/>
      <c r="O36" s="27"/>
      <c r="P36" s="47"/>
      <c r="Q36" s="47"/>
      <c r="R36" s="47"/>
      <c r="S36" s="47"/>
      <c r="T36" s="47"/>
      <c r="U36" s="47"/>
      <c r="V36" s="48"/>
      <c r="W36" s="48"/>
      <c r="X36" s="48"/>
      <c r="Y36" s="48"/>
    </row>
    <row r="37" spans="3:25" s="46" customFormat="1" ht="15" customHeight="1">
      <c r="C37" s="903" t="str">
        <f>IF(Indice_index!$Z$1=1,"Outras","Others")</f>
        <v>Others</v>
      </c>
      <c r="D37" s="116">
        <v>14271.967968140973</v>
      </c>
      <c r="E37" s="116">
        <v>14200.055218990006</v>
      </c>
      <c r="F37" s="116">
        <v>14517.434858000001</v>
      </c>
      <c r="G37" s="116">
        <v>14200.055218990006</v>
      </c>
      <c r="H37" s="116">
        <v>15177.98489159</v>
      </c>
      <c r="I37" s="900">
        <f t="shared" si="25"/>
        <v>104.550046478948</v>
      </c>
      <c r="J37" s="900">
        <f t="shared" si="26"/>
        <v>6.8868018998418377</v>
      </c>
      <c r="K37" s="901">
        <f t="shared" si="31"/>
        <v>1.3460814348650818</v>
      </c>
      <c r="L37" s="900">
        <f t="shared" si="27"/>
        <v>1.7199232117601357</v>
      </c>
      <c r="M37" s="27"/>
      <c r="N37" s="27"/>
      <c r="O37" s="27"/>
      <c r="P37" s="47"/>
      <c r="Q37" s="47"/>
      <c r="R37" s="47"/>
      <c r="S37" s="47"/>
      <c r="T37" s="47"/>
      <c r="U37" s="47"/>
      <c r="V37" s="48"/>
      <c r="W37" s="48"/>
      <c r="X37" s="48"/>
      <c r="Y37" s="48"/>
    </row>
    <row r="38" spans="3:25" s="46" customFormat="1" ht="15" customHeight="1">
      <c r="C38" s="902" t="str">
        <f>IF(Indice_index!$Z$1=1,"Subsídios","Subsidies")</f>
        <v>Subsidies</v>
      </c>
      <c r="D38" s="116">
        <v>1117.5888557614373</v>
      </c>
      <c r="E38" s="116">
        <v>783.03872533000037</v>
      </c>
      <c r="F38" s="116">
        <v>1201.8737489999999</v>
      </c>
      <c r="G38" s="116">
        <v>783.03872533000037</v>
      </c>
      <c r="H38" s="116">
        <v>1162.4224113899995</v>
      </c>
      <c r="I38" s="900">
        <f t="shared" si="25"/>
        <v>96.717513994891291</v>
      </c>
      <c r="J38" s="900">
        <f t="shared" si="26"/>
        <v>48.450181809349644</v>
      </c>
      <c r="K38" s="901">
        <f t="shared" si="31"/>
        <v>0.52220660728937029</v>
      </c>
      <c r="L38" s="900">
        <f t="shared" si="27"/>
        <v>7.5416726646882513</v>
      </c>
      <c r="M38" s="27"/>
      <c r="N38" s="27"/>
      <c r="O38" s="27"/>
      <c r="P38" s="47"/>
      <c r="Q38" s="47"/>
      <c r="R38" s="47"/>
      <c r="S38" s="47"/>
      <c r="T38" s="47"/>
      <c r="U38" s="47"/>
      <c r="V38" s="48"/>
      <c r="W38" s="48"/>
      <c r="X38" s="48"/>
      <c r="Y38" s="48"/>
    </row>
    <row r="39" spans="3:25" s="46" customFormat="1" ht="15" customHeight="1">
      <c r="C39" s="902" t="str">
        <f>IF(Indice_index!$Z$1=1,"Outras despesas correntes","Other current expenditure")</f>
        <v>Other current expenditure</v>
      </c>
      <c r="D39" s="116">
        <v>778.250414974362</v>
      </c>
      <c r="E39" s="116">
        <v>677.89966027000037</v>
      </c>
      <c r="F39" s="116">
        <v>2037.355049</v>
      </c>
      <c r="G39" s="116">
        <v>677.89966027000037</v>
      </c>
      <c r="H39" s="116">
        <v>636.50119154999948</v>
      </c>
      <c r="I39" s="900">
        <f t="shared" si="25"/>
        <v>31.241544857996889</v>
      </c>
      <c r="J39" s="900">
        <f>IF(IFERROR((H39-G39)/G39*100,"")&gt;500,"-",IFERROR((H39-G39)/G39*100,""))</f>
        <v>-6.1068726164447868</v>
      </c>
      <c r="K39" s="901">
        <f>IFERROR((H39-G39)/$G$49*100,"")</f>
        <v>-5.6983351397529067E-2</v>
      </c>
      <c r="L39" s="900">
        <f t="shared" si="27"/>
        <v>161.78656763930115</v>
      </c>
      <c r="M39" s="27"/>
      <c r="N39" s="27"/>
      <c r="O39" s="27"/>
      <c r="P39" s="47"/>
      <c r="Q39" s="47"/>
      <c r="R39" s="47"/>
      <c r="S39" s="47"/>
      <c r="T39" s="47"/>
      <c r="U39" s="47"/>
      <c r="V39" s="48"/>
      <c r="W39" s="48"/>
      <c r="X39" s="48"/>
      <c r="Y39" s="48"/>
    </row>
    <row r="40" spans="3:25" s="46" customFormat="1" ht="15" customHeight="1">
      <c r="C40" s="902" t="str">
        <f>IF(Indice_index!$Z$1=1,"Diferenças de consolidação","Consolidation differences")</f>
        <v>Consolidation differences</v>
      </c>
      <c r="D40" s="116">
        <v>0</v>
      </c>
      <c r="E40" s="116">
        <v>26.262670299990944</v>
      </c>
      <c r="F40" s="116">
        <v>1.6449000000022806E-2</v>
      </c>
      <c r="G40" s="116">
        <v>26.262670299990944</v>
      </c>
      <c r="H40" s="116">
        <v>133.47144561999826</v>
      </c>
      <c r="I40" s="900"/>
      <c r="J40" s="900"/>
      <c r="K40" s="901"/>
      <c r="L40" s="900"/>
      <c r="M40" s="27"/>
      <c r="N40" s="27"/>
      <c r="O40" s="27"/>
      <c r="P40" s="47"/>
      <c r="Q40" s="47"/>
      <c r="R40" s="47"/>
      <c r="S40" s="47"/>
      <c r="T40" s="47"/>
      <c r="U40" s="47"/>
      <c r="V40" s="48"/>
      <c r="W40" s="48"/>
      <c r="X40" s="48"/>
      <c r="Y40" s="48"/>
    </row>
    <row r="41" spans="3:25" s="275" customFormat="1" ht="15" customHeight="1">
      <c r="C41" s="276" t="str">
        <f>IF(Indice_index!$Z$1=1,"Despesa de capital","Capital expenditure")</f>
        <v>Capital expenditure</v>
      </c>
      <c r="D41" s="896">
        <f>+D42+D43+D46+D47</f>
        <v>4719.5680249420921</v>
      </c>
      <c r="E41" s="896">
        <f>+E42+E43+E46+E47</f>
        <v>5618.9277033999988</v>
      </c>
      <c r="F41" s="896">
        <f>+F42+F43+F46+F47</f>
        <v>7289.8917929999998</v>
      </c>
      <c r="G41" s="896">
        <f t="shared" ref="G41:H41" si="35">+G42+G43+G46+G47</f>
        <v>5618.9277033999997</v>
      </c>
      <c r="H41" s="896">
        <f t="shared" si="35"/>
        <v>5530.5213309499959</v>
      </c>
      <c r="I41" s="896">
        <f t="shared" si="25"/>
        <v>75.865616225752348</v>
      </c>
      <c r="J41" s="896">
        <f t="shared" si="26"/>
        <v>-1.5733673240983206</v>
      </c>
      <c r="K41" s="898">
        <f t="shared" si="31"/>
        <v>-0.12168786776080762</v>
      </c>
      <c r="L41" s="897">
        <f t="shared" ref="L41:L46" si="36">IF(IFERROR((F41-D41)/D41*100,"")&gt;500,"-",IFERROR((F41-D41)/D41*100,""))</f>
        <v>54.46099631309891</v>
      </c>
      <c r="M41" s="270"/>
      <c r="N41" s="270"/>
      <c r="O41" s="270"/>
      <c r="P41" s="277"/>
      <c r="Q41" s="277"/>
      <c r="R41" s="277"/>
      <c r="S41" s="277"/>
      <c r="T41" s="277"/>
      <c r="U41" s="277"/>
      <c r="V41" s="278"/>
      <c r="W41" s="278"/>
      <c r="X41" s="278"/>
      <c r="Y41" s="278"/>
    </row>
    <row r="42" spans="3:25" s="46" customFormat="1" ht="15" customHeight="1">
      <c r="C42" s="902" t="str">
        <f>IF(Indice_index!$Z$1=1,"Investimento","Investments")</f>
        <v>Investments</v>
      </c>
      <c r="D42" s="116">
        <v>3288.6872056019206</v>
      </c>
      <c r="E42" s="116">
        <v>2926.5562423399992</v>
      </c>
      <c r="F42" s="116">
        <v>5132.9476649999997</v>
      </c>
      <c r="G42" s="116">
        <v>2926.5562423399997</v>
      </c>
      <c r="H42" s="116">
        <v>3421.9415826399959</v>
      </c>
      <c r="I42" s="900">
        <f t="shared" si="25"/>
        <v>66.666208307035134</v>
      </c>
      <c r="J42" s="900">
        <f t="shared" si="26"/>
        <v>16.927244832441652</v>
      </c>
      <c r="K42" s="901">
        <f t="shared" si="31"/>
        <v>0.68187828671694384</v>
      </c>
      <c r="L42" s="900">
        <f t="shared" si="36"/>
        <v>56.07892584787578</v>
      </c>
      <c r="M42" s="27"/>
      <c r="N42" s="27"/>
      <c r="O42" s="27"/>
      <c r="P42" s="47"/>
      <c r="Q42" s="47"/>
      <c r="R42" s="47"/>
      <c r="S42" s="47"/>
      <c r="T42" s="47"/>
      <c r="U42" s="47"/>
      <c r="V42" s="48"/>
      <c r="W42" s="48"/>
      <c r="X42" s="48"/>
      <c r="Y42" s="48"/>
    </row>
    <row r="43" spans="3:25" s="46" customFormat="1" ht="15" customHeight="1">
      <c r="C43" s="902" t="str">
        <f>IF(Indice_index!$Z$1=1,"Transferências de capital","Capital transfers")</f>
        <v>Capital transfers</v>
      </c>
      <c r="D43" s="116">
        <f>+D44+D45</f>
        <v>1385.0119626653325</v>
      </c>
      <c r="E43" s="116">
        <f>+E44+E45</f>
        <v>2588.3077852299998</v>
      </c>
      <c r="F43" s="116">
        <f>+F44+F45</f>
        <v>1899.2964880000004</v>
      </c>
      <c r="G43" s="116">
        <f t="shared" ref="G43:H43" si="37">+G44+G45</f>
        <v>2588.3077852299998</v>
      </c>
      <c r="H43" s="116">
        <f t="shared" si="37"/>
        <v>1899.4390094600003</v>
      </c>
      <c r="I43" s="900">
        <f t="shared" si="25"/>
        <v>100.00750390794173</v>
      </c>
      <c r="J43" s="900">
        <f t="shared" si="26"/>
        <v>-26.614639097443575</v>
      </c>
      <c r="K43" s="901">
        <f t="shared" si="31"/>
        <v>-0.94820056707852785</v>
      </c>
      <c r="L43" s="900">
        <f t="shared" si="36"/>
        <v>37.13213598133644</v>
      </c>
      <c r="M43" s="27"/>
      <c r="N43" s="27"/>
      <c r="O43" s="27"/>
      <c r="P43" s="47"/>
      <c r="Q43" s="47"/>
      <c r="R43" s="47"/>
      <c r="S43" s="47"/>
      <c r="T43" s="47"/>
      <c r="U43" s="47"/>
      <c r="V43" s="48"/>
      <c r="W43" s="48"/>
      <c r="X43" s="48"/>
      <c r="Y43" s="48"/>
    </row>
    <row r="44" spans="3:25" s="46" customFormat="1" ht="15" customHeight="1">
      <c r="C44" s="903" t="str">
        <f>IF(Indice_index!$Z$1=1,"Administrações Públicas","General Government subsectors")</f>
        <v>General Government subsectors</v>
      </c>
      <c r="D44" s="116">
        <v>641.69015519599043</v>
      </c>
      <c r="E44" s="116">
        <v>554.28500483999994</v>
      </c>
      <c r="F44" s="116">
        <v>823.25308600000005</v>
      </c>
      <c r="G44" s="116">
        <v>554.28500483999994</v>
      </c>
      <c r="H44" s="116">
        <v>607.69923998000013</v>
      </c>
      <c r="I44" s="900">
        <f t="shared" si="25"/>
        <v>73.8168189484321</v>
      </c>
      <c r="J44" s="900">
        <f t="shared" si="26"/>
        <v>9.6366011480716054</v>
      </c>
      <c r="K44" s="901">
        <f t="shared" si="31"/>
        <v>7.3522577639263231E-2</v>
      </c>
      <c r="L44" s="900">
        <f t="shared" si="36"/>
        <v>28.294485949929392</v>
      </c>
      <c r="M44" s="27"/>
      <c r="N44" s="27"/>
      <c r="O44" s="27"/>
      <c r="P44" s="47"/>
      <c r="Q44" s="47"/>
      <c r="R44" s="47"/>
      <c r="S44" s="47"/>
      <c r="T44" s="47"/>
      <c r="U44" s="47"/>
      <c r="V44" s="48"/>
      <c r="W44" s="48"/>
      <c r="X44" s="48"/>
      <c r="Y44" s="48"/>
    </row>
    <row r="45" spans="3:25" s="46" customFormat="1" ht="15" customHeight="1">
      <c r="C45" s="903" t="str">
        <f>IF(Indice_index!$Z$1=1,"Outras","Others")</f>
        <v>Others</v>
      </c>
      <c r="D45" s="116">
        <v>743.32180746934205</v>
      </c>
      <c r="E45" s="116">
        <v>2034.02278039</v>
      </c>
      <c r="F45" s="116">
        <v>1076.0434020000002</v>
      </c>
      <c r="G45" s="116">
        <v>2034.02278039</v>
      </c>
      <c r="H45" s="116">
        <v>1291.7397694800002</v>
      </c>
      <c r="I45" s="900">
        <f t="shared" si="25"/>
        <v>120.04532224992907</v>
      </c>
      <c r="J45" s="900">
        <f t="shared" si="26"/>
        <v>-36.493347963766446</v>
      </c>
      <c r="K45" s="901">
        <f t="shared" si="31"/>
        <v>-1.021723144717791</v>
      </c>
      <c r="L45" s="900">
        <f t="shared" si="36"/>
        <v>44.761446682617496</v>
      </c>
      <c r="M45" s="27"/>
      <c r="N45" s="27"/>
      <c r="O45" s="27"/>
      <c r="P45" s="47"/>
      <c r="Q45" s="47"/>
      <c r="R45" s="47"/>
      <c r="S45" s="47"/>
      <c r="T45" s="47"/>
      <c r="U45" s="47"/>
      <c r="V45" s="48"/>
      <c r="W45" s="48"/>
      <c r="X45" s="48"/>
      <c r="Y45" s="48"/>
    </row>
    <row r="46" spans="3:25" s="46" customFormat="1" ht="15" customHeight="1">
      <c r="C46" s="902" t="str">
        <f>IF(Indice_index!$Z$1=1,"Outras despesas de capital","Other capital expenditure")</f>
        <v>Other capital expenditure</v>
      </c>
      <c r="D46" s="116">
        <v>45.86885667483908</v>
      </c>
      <c r="E46" s="116">
        <v>80.274620909999996</v>
      </c>
      <c r="F46" s="116">
        <v>162.836544</v>
      </c>
      <c r="G46" s="116">
        <v>80.274620909999996</v>
      </c>
      <c r="H46" s="116">
        <v>149.77563847000002</v>
      </c>
      <c r="I46" s="900">
        <f t="shared" si="25"/>
        <v>91.979131213936853</v>
      </c>
      <c r="J46" s="900">
        <f t="shared" si="26"/>
        <v>86.579066674037847</v>
      </c>
      <c r="K46" s="901">
        <f t="shared" si="31"/>
        <v>9.5665396053500079E-2</v>
      </c>
      <c r="L46" s="900">
        <f t="shared" si="36"/>
        <v>255.00458438355284</v>
      </c>
      <c r="M46" s="27"/>
      <c r="N46" s="27"/>
      <c r="O46" s="27"/>
      <c r="P46" s="47"/>
      <c r="Q46" s="47"/>
      <c r="R46" s="47"/>
      <c r="S46" s="47"/>
      <c r="T46" s="47"/>
      <c r="U46" s="47"/>
      <c r="V46" s="48"/>
      <c r="W46" s="48"/>
      <c r="X46" s="48"/>
      <c r="Y46" s="48"/>
    </row>
    <row r="47" spans="3:25" s="46" customFormat="1" ht="15" customHeight="1">
      <c r="C47" s="902" t="str">
        <f>IF(Indice_index!$Z$1=1,"Diferenças de consolidação","Consolidation differences")</f>
        <v>Consolidation differences</v>
      </c>
      <c r="D47" s="116">
        <v>0</v>
      </c>
      <c r="E47" s="116">
        <v>23.789054920000222</v>
      </c>
      <c r="F47" s="116">
        <v>94.811096000000319</v>
      </c>
      <c r="G47" s="116">
        <v>23.789054920000222</v>
      </c>
      <c r="H47" s="116">
        <v>59.365100379999774</v>
      </c>
      <c r="I47" s="900"/>
      <c r="J47" s="900"/>
      <c r="K47" s="901"/>
      <c r="L47" s="900"/>
      <c r="M47" s="27"/>
      <c r="N47" s="27"/>
      <c r="O47" s="27"/>
      <c r="P47" s="47"/>
      <c r="Q47" s="47"/>
      <c r="R47" s="47"/>
      <c r="S47" s="47"/>
      <c r="T47" s="47"/>
      <c r="U47" s="47"/>
      <c r="V47" s="48"/>
      <c r="W47" s="48"/>
      <c r="X47" s="48"/>
      <c r="Y47" s="48"/>
    </row>
    <row r="48" spans="3:25" s="46" customFormat="1" ht="4.5" customHeight="1">
      <c r="G48" s="116"/>
      <c r="H48" s="116"/>
      <c r="I48" s="901"/>
      <c r="J48" s="901"/>
      <c r="K48" s="901"/>
      <c r="L48" s="901"/>
      <c r="M48" s="27"/>
      <c r="N48" s="27"/>
      <c r="O48" s="27"/>
      <c r="P48" s="47"/>
      <c r="Q48" s="47"/>
      <c r="R48" s="47"/>
      <c r="S48" s="47"/>
      <c r="T48" s="47"/>
      <c r="U48" s="47"/>
      <c r="V48" s="48"/>
      <c r="W48" s="48"/>
      <c r="X48" s="48"/>
      <c r="Y48" s="48"/>
    </row>
    <row r="49" spans="3:25" s="276" customFormat="1" ht="15" customHeight="1">
      <c r="C49" s="905" t="str">
        <f>IF(Indice_index!$Z$1=1,"Despesa efetiva","Effective Expenditure")</f>
        <v>Effective Expenditure</v>
      </c>
      <c r="D49" s="906">
        <f t="shared" ref="D49:E49" si="38">+D28+D41</f>
        <v>72784.13323992143</v>
      </c>
      <c r="E49" s="906">
        <f t="shared" si="38"/>
        <v>72650.112190130021</v>
      </c>
      <c r="F49" s="906">
        <f t="shared" ref="F49" si="39">+F28+F41</f>
        <v>76449.290139000004</v>
      </c>
      <c r="G49" s="906">
        <f t="shared" ref="G49:H49" si="40">+G28+G41</f>
        <v>72650.112190130021</v>
      </c>
      <c r="H49" s="906">
        <f t="shared" si="40"/>
        <v>74505.852963420009</v>
      </c>
      <c r="I49" s="908">
        <f>IFERROR(IF(H49/F49*100&lt;-500,"-",IF(H49/F49*100&gt;500,"-",H49/F49*100)),"-")</f>
        <v>97.457874138469521</v>
      </c>
      <c r="J49" s="908">
        <f>IFERROR((H49-G49)/G49*100,"")</f>
        <v>2.5543536236164304</v>
      </c>
      <c r="K49" s="908"/>
      <c r="L49" s="907">
        <f>IF(IFERROR((F49-D49)/D49*100,"")&gt;500,"-",IFERROR((F49-D49)/D49*100,""))</f>
        <v>5.0356537007825075</v>
      </c>
      <c r="M49" s="270"/>
      <c r="N49" s="270"/>
      <c r="O49" s="270"/>
      <c r="P49" s="277"/>
      <c r="Q49" s="277"/>
      <c r="R49" s="277"/>
      <c r="S49" s="277"/>
      <c r="T49" s="277"/>
      <c r="U49" s="277"/>
      <c r="V49" s="278"/>
      <c r="W49" s="278"/>
      <c r="X49" s="278"/>
      <c r="Y49" s="278"/>
    </row>
    <row r="50" spans="3:25" ht="4.5" customHeight="1">
      <c r="G50" s="23"/>
      <c r="H50" s="23"/>
      <c r="I50" s="910"/>
      <c r="J50" s="910"/>
      <c r="K50" s="910"/>
      <c r="L50" s="910"/>
      <c r="M50" s="27"/>
      <c r="N50" s="27"/>
      <c r="O50" s="27"/>
      <c r="P50" s="47"/>
      <c r="Q50" s="47"/>
      <c r="R50" s="47"/>
      <c r="S50" s="47"/>
      <c r="T50" s="47"/>
      <c r="U50" s="47"/>
      <c r="V50" s="48"/>
      <c r="W50" s="48"/>
      <c r="X50" s="48"/>
      <c r="Y50" s="48"/>
    </row>
    <row r="51" spans="3:25" s="274" customFormat="1" ht="15" customHeight="1">
      <c r="C51" s="905" t="str">
        <f>IF(Indice_index!$Z$1=1,"Saldo global","Overall balance")</f>
        <v>Overall balance</v>
      </c>
      <c r="D51" s="906">
        <f t="shared" ref="D51:E51" si="41">+D26-D49</f>
        <v>-15154.446820613157</v>
      </c>
      <c r="E51" s="906">
        <f t="shared" si="41"/>
        <v>-13614.042774729998</v>
      </c>
      <c r="F51" s="906">
        <f t="shared" ref="F51" si="42">+F26-F49</f>
        <v>-11762.22490400001</v>
      </c>
      <c r="G51" s="906">
        <f t="shared" ref="G51:H51" si="43">+G26-G49</f>
        <v>-13614.042774729998</v>
      </c>
      <c r="H51" s="906">
        <f t="shared" si="43"/>
        <v>-10710.044320070003</v>
      </c>
      <c r="I51" s="908"/>
      <c r="J51" s="908"/>
      <c r="K51" s="908"/>
      <c r="L51" s="908"/>
      <c r="M51" s="270"/>
      <c r="N51" s="270"/>
      <c r="O51" s="270"/>
      <c r="P51" s="277"/>
      <c r="Q51" s="277"/>
      <c r="R51" s="277"/>
      <c r="S51" s="277"/>
      <c r="T51" s="277"/>
      <c r="U51" s="277"/>
      <c r="V51" s="278"/>
      <c r="W51" s="278"/>
      <c r="X51" s="278"/>
      <c r="Y51" s="278"/>
    </row>
    <row r="52" spans="3:25" ht="15" customHeight="1">
      <c r="C52" s="911" t="str">
        <f>IF(Indice_index!$Z$1=1,"   Por memória:","   Memo item:")</f>
        <v xml:space="preserve">   Memo item:</v>
      </c>
      <c r="D52" s="911"/>
      <c r="E52" s="911"/>
      <c r="F52" s="911"/>
      <c r="G52" s="23"/>
      <c r="H52" s="23"/>
      <c r="I52" s="910"/>
      <c r="J52" s="910"/>
      <c r="K52" s="910"/>
      <c r="L52" s="910"/>
      <c r="M52" s="27"/>
      <c r="N52" s="27"/>
      <c r="O52" s="27"/>
      <c r="P52" s="47"/>
      <c r="Q52" s="47"/>
      <c r="R52" s="47"/>
      <c r="S52" s="47"/>
      <c r="T52" s="47"/>
      <c r="U52" s="47"/>
      <c r="V52" s="48"/>
      <c r="W52" s="48"/>
      <c r="X52" s="48"/>
      <c r="Y52" s="48"/>
    </row>
    <row r="53" spans="3:25" ht="15" customHeight="1">
      <c r="C53" s="902" t="str">
        <f>IF(Indice_index!$Z$1=1,"Despesa primária","Primary expenditure")</f>
        <v>Primary expenditure</v>
      </c>
      <c r="D53" s="116">
        <f t="shared" ref="D53:E53" si="44">+D49-D34</f>
        <v>65189.108365015811</v>
      </c>
      <c r="E53" s="116">
        <f t="shared" si="44"/>
        <v>65230.770938610025</v>
      </c>
      <c r="F53" s="116">
        <f t="shared" ref="F53" si="45">+F49-F34</f>
        <v>69366.584693000012</v>
      </c>
      <c r="G53" s="116">
        <f t="shared" ref="G53:H53" si="46">+G49-G34</f>
        <v>65230.770938610025</v>
      </c>
      <c r="H53" s="116">
        <f t="shared" si="46"/>
        <v>67709.664723770009</v>
      </c>
      <c r="I53" s="901">
        <f>IFERROR(IF(H53/F53*100&lt;-500,"-",IF(H53/F53*100&gt;500,"-",H53/F53*100)),"-")</f>
        <v>97.611357144707156</v>
      </c>
      <c r="J53" s="901">
        <f t="shared" ref="J53" si="47">IFERROR((H53-G53)/G53*100,"")</f>
        <v>3.8001908447363286</v>
      </c>
      <c r="K53" s="901">
        <f t="shared" ref="K53" si="48">IFERROR((H53-G53)/$G$49*100,"")</f>
        <v>3.4120990462789087</v>
      </c>
      <c r="L53" s="900">
        <f>IF(IFERROR((F53-D53)/D53*100,"")&gt;500,"-",IFERROR((F53-D53)/D53*100,""))</f>
        <v>6.4082427766815</v>
      </c>
      <c r="M53" s="27"/>
      <c r="N53" s="27"/>
      <c r="O53" s="27"/>
      <c r="P53" s="47"/>
      <c r="Q53" s="47"/>
      <c r="R53" s="47"/>
      <c r="S53" s="47"/>
      <c r="T53" s="47"/>
      <c r="U53" s="47"/>
      <c r="V53" s="48"/>
      <c r="W53" s="48"/>
      <c r="X53" s="48"/>
      <c r="Y53" s="48"/>
    </row>
    <row r="54" spans="3:25" s="46" customFormat="1" ht="15" customHeight="1">
      <c r="C54" s="902" t="str">
        <f>IF(Indice_index!$Z$1=1,"Saldo corrente","Current balance")</f>
        <v>Current balance</v>
      </c>
      <c r="D54" s="116">
        <f t="shared" ref="D54:H54" si="49">+D8-D28</f>
        <v>-11794.790583304319</v>
      </c>
      <c r="E54" s="116">
        <f t="shared" ref="E54" si="50">+E8-E28</f>
        <v>-9067.1649409500023</v>
      </c>
      <c r="F54" s="116">
        <f t="shared" si="49"/>
        <v>-7480.0589300000065</v>
      </c>
      <c r="G54" s="116">
        <f t="shared" si="49"/>
        <v>-9067.1649409500023</v>
      </c>
      <c r="H54" s="116">
        <f t="shared" si="49"/>
        <v>-6344.879058700004</v>
      </c>
      <c r="I54" s="116"/>
      <c r="J54" s="116"/>
      <c r="K54" s="116"/>
      <c r="L54" s="116"/>
      <c r="M54" s="27"/>
      <c r="N54" s="27"/>
      <c r="O54" s="27"/>
      <c r="P54" s="47"/>
      <c r="Q54" s="47"/>
      <c r="R54" s="47"/>
      <c r="S54" s="47"/>
      <c r="T54" s="47"/>
      <c r="U54" s="47"/>
      <c r="V54" s="48"/>
      <c r="W54" s="48"/>
      <c r="X54" s="48"/>
      <c r="Y54" s="48"/>
    </row>
    <row r="55" spans="3:25" s="46" customFormat="1" ht="15" customHeight="1">
      <c r="C55" s="902" t="str">
        <f>IF(Indice_index!$Z$1=1,"Saldo de capital","Capital balance")</f>
        <v>Capital balance</v>
      </c>
      <c r="D55" s="116">
        <f t="shared" ref="D55:H55" si="51">+D18-D41</f>
        <v>-3359.6562373088318</v>
      </c>
      <c r="E55" s="116">
        <f t="shared" ref="E55" si="52">+E18-E41</f>
        <v>-4546.8778337799995</v>
      </c>
      <c r="F55" s="116">
        <f t="shared" si="51"/>
        <v>-4282.1659739999996</v>
      </c>
      <c r="G55" s="116">
        <f t="shared" si="51"/>
        <v>-4546.8778337799995</v>
      </c>
      <c r="H55" s="116">
        <f t="shared" si="51"/>
        <v>-4365.1652613699953</v>
      </c>
      <c r="I55" s="116"/>
      <c r="J55" s="116"/>
      <c r="K55" s="116"/>
      <c r="L55" s="116"/>
      <c r="M55" s="27"/>
      <c r="N55" s="27"/>
      <c r="O55" s="27"/>
      <c r="P55" s="47"/>
      <c r="Q55" s="47"/>
      <c r="R55" s="47"/>
      <c r="S55" s="47"/>
      <c r="T55" s="47"/>
      <c r="U55" s="47"/>
      <c r="V55" s="48"/>
      <c r="W55" s="48"/>
      <c r="X55" s="48"/>
      <c r="Y55" s="48"/>
    </row>
    <row r="56" spans="3:25" ht="15" customHeight="1">
      <c r="C56" s="912" t="str">
        <f>IF(Indice_index!$Z$1=1,"Saldo primário","Primary balance")</f>
        <v>Primary balance</v>
      </c>
      <c r="D56" s="913">
        <f t="shared" ref="D56:E56" si="53">+D51+D34</f>
        <v>-7559.421945707536</v>
      </c>
      <c r="E56" s="913">
        <f t="shared" si="53"/>
        <v>-6194.7015232100002</v>
      </c>
      <c r="F56" s="913">
        <f t="shared" ref="F56" si="54">+F51+F34</f>
        <v>-4679.5194580000098</v>
      </c>
      <c r="G56" s="913">
        <f t="shared" ref="G56:H56" si="55">+G51+G34</f>
        <v>-6194.7015232100002</v>
      </c>
      <c r="H56" s="913">
        <f t="shared" si="55"/>
        <v>-3913.8560804200033</v>
      </c>
      <c r="I56" s="913"/>
      <c r="J56" s="913"/>
      <c r="K56" s="913"/>
      <c r="L56" s="913"/>
      <c r="M56" s="27"/>
      <c r="N56" s="27"/>
      <c r="O56" s="27"/>
      <c r="P56" s="47"/>
      <c r="Q56" s="47"/>
      <c r="R56" s="47"/>
      <c r="S56" s="47"/>
      <c r="T56" s="47"/>
      <c r="U56" s="47"/>
      <c r="V56" s="48"/>
      <c r="W56" s="48"/>
      <c r="X56" s="48"/>
      <c r="Y56" s="48"/>
    </row>
    <row r="57" spans="3:25" ht="4.5" customHeight="1">
      <c r="G57" s="44"/>
      <c r="H57" s="44"/>
      <c r="M57" s="25"/>
      <c r="N57" s="45"/>
      <c r="O57" s="47"/>
      <c r="P57" s="47"/>
      <c r="R57" s="47"/>
      <c r="S57" s="47"/>
      <c r="T57" s="47"/>
      <c r="U57" s="47"/>
    </row>
    <row r="58" spans="3:25" ht="15" customHeight="1">
      <c r="C58" s="885" t="str">
        <f>IF(Indice_index!$Z$1=1,"Nota:","Note:")</f>
        <v>Note:</v>
      </c>
      <c r="D58" s="65"/>
      <c r="E58" s="65"/>
      <c r="F58" s="65"/>
      <c r="G58" s="55"/>
      <c r="H58" s="55"/>
      <c r="I58" s="55"/>
      <c r="J58" s="55"/>
      <c r="K58" s="55"/>
      <c r="L58" s="55"/>
      <c r="M58" s="25"/>
      <c r="N58" s="45"/>
      <c r="O58" s="47"/>
      <c r="P58" s="47"/>
      <c r="R58" s="47"/>
      <c r="S58" s="47"/>
      <c r="T58" s="47"/>
      <c r="U58" s="47"/>
    </row>
    <row r="59" spans="3:25" ht="12.75" customHeight="1">
      <c r="C59" s="1582" t="str">
        <f>IF(Indice_index!$Z$1=1,"A variação implícita ao OE-2021 resulta da comparação com a estimativa de execução de 2020.","The change rate implicit to 2021 budget is calculated by comparing the initial budget with 2020 implementation estimate.")</f>
        <v>The change rate implicit to 2021 budget is calculated by comparing the initial budget with 2020 implementation estimate.</v>
      </c>
      <c r="D59" s="1582"/>
      <c r="E59" s="1582"/>
      <c r="F59" s="1582"/>
      <c r="G59" s="1582"/>
      <c r="H59" s="1582"/>
      <c r="I59" s="1582"/>
      <c r="J59" s="1582"/>
      <c r="K59" s="1582"/>
      <c r="L59" s="914"/>
      <c r="M59" s="25"/>
      <c r="N59" s="45"/>
      <c r="O59" s="47"/>
      <c r="P59" s="47"/>
      <c r="R59" s="47"/>
      <c r="S59" s="47"/>
      <c r="T59" s="47"/>
      <c r="U59" s="47"/>
    </row>
    <row r="60" spans="3:25" s="23" customFormat="1" ht="12.75" customHeight="1">
      <c r="C60" s="1582" t="str">
        <f>+'4 - Conta AC + SS'!$C$65</f>
        <v>2020 accumulated execution was updated with the final execution.</v>
      </c>
      <c r="D60" s="1582"/>
      <c r="E60" s="1582"/>
      <c r="F60" s="1582"/>
      <c r="G60" s="1582"/>
      <c r="H60" s="1582"/>
      <c r="I60" s="1582"/>
      <c r="J60" s="1582"/>
      <c r="K60" s="1582"/>
      <c r="R60" s="25"/>
      <c r="S60" s="25"/>
    </row>
    <row r="61" spans="3:25" ht="4.5" customHeight="1">
      <c r="G61" s="44"/>
      <c r="H61" s="44"/>
      <c r="M61" s="25"/>
      <c r="N61" s="45"/>
      <c r="O61" s="47"/>
      <c r="P61" s="47"/>
      <c r="R61" s="47"/>
      <c r="S61" s="47"/>
      <c r="T61" s="47"/>
      <c r="U61" s="47"/>
    </row>
    <row r="62" spans="3:25" s="50" customFormat="1" ht="15" customHeight="1">
      <c r="C62" s="116" t="str">
        <f>IF(Indice_index!$Z$1=1,"Fonte: Direção-Geral do Orçamento","Source: Budget General Directorate")</f>
        <v>Source: Budget General Directorate</v>
      </c>
      <c r="D62" s="116"/>
      <c r="E62" s="116"/>
      <c r="F62" s="116"/>
      <c r="G62" s="915"/>
      <c r="H62" s="915"/>
      <c r="I62" s="916"/>
      <c r="J62" s="916"/>
      <c r="L62" s="916"/>
      <c r="N62" s="45"/>
      <c r="O62" s="47"/>
      <c r="P62" s="47"/>
    </row>
    <row r="63" spans="3:25" s="50" customFormat="1" ht="11.25" customHeight="1">
      <c r="G63" s="32"/>
      <c r="H63" s="32"/>
      <c r="N63" s="45"/>
      <c r="O63" s="47"/>
      <c r="P63" s="47"/>
    </row>
    <row r="64" spans="3:25" s="50" customFormat="1" ht="11.25" customHeight="1">
      <c r="C64" s="1589"/>
      <c r="D64" s="1589"/>
      <c r="E64" s="1589"/>
      <c r="F64" s="1589"/>
      <c r="G64" s="1589"/>
      <c r="H64" s="1589"/>
      <c r="I64" s="1589"/>
      <c r="J64" s="1589"/>
      <c r="K64" s="1589"/>
      <c r="L64" s="472"/>
      <c r="N64" s="45"/>
      <c r="O64" s="47"/>
      <c r="P64" s="47"/>
    </row>
    <row r="65" spans="7:16" s="50" customFormat="1" ht="11.25" customHeight="1">
      <c r="G65" s="32"/>
      <c r="H65" s="32"/>
      <c r="I65" s="32"/>
      <c r="J65" s="32"/>
      <c r="K65" s="32"/>
      <c r="L65" s="32"/>
      <c r="N65" s="45"/>
      <c r="O65" s="47"/>
      <c r="P65" s="47"/>
    </row>
    <row r="66" spans="7:16" s="50" customFormat="1" ht="11.25" customHeight="1">
      <c r="G66" s="32"/>
      <c r="H66" s="32"/>
      <c r="I66" s="32"/>
      <c r="J66" s="32"/>
      <c r="K66" s="32"/>
      <c r="L66" s="32"/>
      <c r="O66" s="47"/>
      <c r="P66" s="47"/>
    </row>
    <row r="67" spans="7:16" s="50" customFormat="1" ht="11.25" customHeight="1">
      <c r="G67" s="32"/>
      <c r="H67" s="32"/>
      <c r="I67" s="32"/>
      <c r="J67" s="32"/>
      <c r="L67" s="32"/>
    </row>
    <row r="68" spans="7:16" s="50" customFormat="1" ht="11.25" customHeight="1">
      <c r="G68" s="32"/>
      <c r="H68" s="32"/>
      <c r="I68" s="32"/>
      <c r="J68" s="32"/>
      <c r="L68" s="32"/>
    </row>
    <row r="69" spans="7:16" s="50" customFormat="1" ht="11.25" customHeight="1">
      <c r="G69" s="32"/>
      <c r="H69" s="32"/>
      <c r="I69" s="32"/>
      <c r="J69" s="32"/>
      <c r="L69" s="32"/>
    </row>
    <row r="70" spans="7:16" s="50" customFormat="1" ht="11.25" customHeight="1">
      <c r="G70" s="32"/>
      <c r="H70" s="32"/>
      <c r="I70" s="32"/>
      <c r="J70" s="32"/>
      <c r="L70" s="32"/>
    </row>
    <row r="71" spans="7:16" s="50" customFormat="1" ht="11.25" customHeight="1">
      <c r="G71" s="32"/>
      <c r="H71" s="32"/>
      <c r="I71" s="32"/>
      <c r="J71" s="32"/>
      <c r="L71" s="32"/>
    </row>
    <row r="72" spans="7:16" s="50" customFormat="1" ht="11.25" customHeight="1">
      <c r="G72" s="32"/>
      <c r="H72" s="32"/>
      <c r="I72" s="32"/>
      <c r="J72" s="32"/>
      <c r="L72" s="32"/>
    </row>
    <row r="73" spans="7:16" s="50" customFormat="1" ht="11.25" customHeight="1">
      <c r="G73" s="32"/>
      <c r="H73" s="32"/>
      <c r="I73" s="32"/>
      <c r="J73" s="32"/>
      <c r="L73" s="32"/>
    </row>
    <row r="74" spans="7:16" s="50" customFormat="1" ht="11.25" customHeight="1">
      <c r="G74" s="32"/>
      <c r="H74" s="32"/>
      <c r="I74" s="32"/>
      <c r="J74" s="32"/>
      <c r="L74" s="32"/>
    </row>
    <row r="75" spans="7:16" s="50" customFormat="1" ht="11.25" customHeight="1"/>
    <row r="76" spans="7:16" s="50" customFormat="1" ht="11.25" customHeight="1"/>
    <row r="77" spans="7:16" s="50" customFormat="1" ht="11.25" customHeight="1"/>
    <row r="78" spans="7:16" s="50" customFormat="1" ht="11.25" customHeight="1"/>
    <row r="79" spans="7:16" s="50" customFormat="1" ht="11.25" customHeight="1"/>
    <row r="80" spans="7:16" s="50" customFormat="1" ht="11.25" customHeight="1"/>
    <row r="81" s="50" customFormat="1" ht="11.25" customHeight="1"/>
    <row r="82" s="50" customFormat="1" ht="11.25" customHeight="1"/>
    <row r="83" s="50" customFormat="1" ht="11.25" customHeight="1"/>
    <row r="84" s="50" customFormat="1" ht="11.25" customHeight="1"/>
    <row r="85" s="50" customFormat="1" ht="11.25" customHeight="1"/>
    <row r="86" s="50" customFormat="1" ht="11.25" customHeight="1"/>
    <row r="87" s="50" customFormat="1" ht="11.25" customHeight="1"/>
    <row r="88" s="50" customFormat="1" ht="11.25" customHeight="1"/>
    <row r="89" s="50" customFormat="1" ht="11.25" customHeight="1"/>
    <row r="90" s="50" customFormat="1" ht="11.25" customHeight="1"/>
    <row r="91" s="50" customFormat="1" ht="11.25" customHeight="1"/>
    <row r="92" s="50" customFormat="1" ht="11.25" customHeight="1"/>
    <row r="93" s="50" customFormat="1" ht="11.25" customHeight="1"/>
    <row r="94" s="50" customFormat="1" ht="11.25" customHeight="1"/>
    <row r="95" s="50" customFormat="1" ht="11.25" customHeight="1"/>
    <row r="96" s="50" customFormat="1" ht="11.25" customHeight="1"/>
    <row r="97" spans="3:3" s="50" customFormat="1" ht="11.25" customHeight="1"/>
    <row r="98" spans="3:3" s="50" customFormat="1" ht="11.25" customHeight="1"/>
    <row r="99" spans="3:3" s="50" customFormat="1" ht="11.25" customHeight="1">
      <c r="C99" s="215" t="s">
        <v>9</v>
      </c>
    </row>
    <row r="100" spans="3:3" s="50" customFormat="1" ht="11.25" customHeight="1"/>
    <row r="101" spans="3:3" s="50" customFormat="1" ht="11.25" customHeight="1"/>
    <row r="102" spans="3:3" s="50" customFormat="1" ht="11.25" customHeight="1"/>
    <row r="103" spans="3:3" s="50" customFormat="1" ht="11.25" customHeight="1"/>
    <row r="104" spans="3:3" s="50" customFormat="1" ht="11.25" customHeight="1"/>
    <row r="105" spans="3:3" s="50" customFormat="1" ht="11.25" customHeight="1"/>
    <row r="106" spans="3:3" s="50" customFormat="1" ht="11.25" customHeight="1"/>
    <row r="107" spans="3:3" s="50" customFormat="1" ht="11.25" customHeight="1"/>
    <row r="108" spans="3:3" s="50" customFormat="1" ht="11.25" customHeight="1"/>
    <row r="109" spans="3:3" s="50" customFormat="1" ht="11.25" customHeight="1"/>
    <row r="110" spans="3:3" s="50" customFormat="1"/>
    <row r="111" spans="3:3" s="50" customFormat="1"/>
    <row r="112" spans="3:3" s="50" customFormat="1"/>
    <row r="113" spans="1:21" s="50" customFormat="1"/>
    <row r="114" spans="1:21" s="50" customFormat="1"/>
    <row r="115" spans="1:21" s="50" customFormat="1"/>
    <row r="116" spans="1:21" s="50" customFormat="1" ht="11.25" customHeight="1"/>
    <row r="117" spans="1:21" s="50" customFormat="1"/>
    <row r="118" spans="1:21" s="50" customFormat="1"/>
    <row r="119" spans="1:21" s="50" customFormat="1"/>
    <row r="120" spans="1:21" s="50" customFormat="1">
      <c r="A120" s="44"/>
      <c r="B120" s="44"/>
      <c r="C120" s="44"/>
      <c r="D120" s="44"/>
      <c r="E120" s="44"/>
      <c r="F120" s="44"/>
      <c r="G120" s="44"/>
      <c r="H120" s="44"/>
      <c r="I120" s="44"/>
      <c r="J120" s="44"/>
      <c r="K120" s="44"/>
      <c r="L120" s="44"/>
      <c r="M120" s="44"/>
      <c r="O120" s="44"/>
      <c r="P120" s="44"/>
      <c r="Q120" s="44"/>
      <c r="R120" s="44"/>
      <c r="S120" s="44"/>
      <c r="T120" s="44"/>
      <c r="U120" s="44"/>
    </row>
    <row r="121" spans="1:21" s="50" customFormat="1">
      <c r="A121" s="44"/>
      <c r="B121" s="44"/>
      <c r="C121" s="44"/>
      <c r="D121" s="44"/>
      <c r="E121" s="44"/>
      <c r="F121" s="44"/>
      <c r="G121" s="44"/>
      <c r="H121" s="44"/>
      <c r="I121" s="44"/>
      <c r="J121" s="44"/>
      <c r="K121" s="44"/>
      <c r="L121" s="44"/>
      <c r="M121" s="44"/>
      <c r="N121" s="44"/>
      <c r="O121" s="44"/>
      <c r="P121" s="44"/>
      <c r="Q121" s="44"/>
      <c r="R121" s="44"/>
      <c r="S121" s="44"/>
      <c r="T121" s="44"/>
      <c r="U121" s="44"/>
    </row>
  </sheetData>
  <mergeCells count="6">
    <mergeCell ref="L5:L6"/>
    <mergeCell ref="G5:H5"/>
    <mergeCell ref="J5:K5"/>
    <mergeCell ref="C64:K64"/>
    <mergeCell ref="C59:K59"/>
    <mergeCell ref="C60:K6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1:XFD4 A7:XFD8 A5:C6 M5:XFD6 A18:XFD18 A17:D17 J17:XFD17 A41:XFD41 A40:D40 J40:XFD40 A13:XFD13 A10:D12 I10:XFD12 A16:D16 I14:XFD16 A20:XFD20 A19:D19 I19:XFD19 A25:XFD29 A21:D24 I21:XFD24 A35:XFD35 A30:D34 I30:XFD34 A36:D39 I36:XFD39 A43:XFD43 A42:D42 I42:XFD42 A48:XFD59 A44:D47 I44:XFD47 G5:K5 J6:K6 A9:K9 M9:XFD9 F10:F12 A14:D15 F14:F15 F16 F17 F19 F21:F24 F30:F34 F40 F36:F39 F42 F44:F47 E5 A61:XFD1048576 A60:B60 D60:XFD60" unlockedFormula="1"/>
    <ignoredError sqref="D6:F6 L5:L6 G6:I6 D5 F5" numberStoredAsText="1" unlockedFormula="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4</Ordem>
    <Mes xmlns="23bc334f-0e17-402a-872b-0123af4c73a8">1</Mes>
    <_dlc_DocId xmlns="23bc334f-0e17-402a-872b-0123af4c73a8">X4XX2SRTQWXX-37-1670</_dlc_DocId>
    <_dlc_DocIdUrl xmlns="23bc334f-0e17-402a-872b-0123af4c73a8">
      <Url>https://www.dgo.gov.pt/execucaoorcamental/_layouts/15/DocIdRedir.aspx?ID=X4XX2SRTQWXX-37-1670</Url>
      <Description>X4XX2SRTQWXX-37-1670</Description>
    </_dlc_DocIdUrl>
  </documentManagement>
</p:properties>
</file>

<file path=customXml/itemProps1.xml><?xml version="1.0" encoding="utf-8"?>
<ds:datastoreItem xmlns:ds="http://schemas.openxmlformats.org/officeDocument/2006/customXml" ds:itemID="{74DD4042-F493-4A00-A4D8-0B3782AB5A65}"/>
</file>

<file path=customXml/itemProps2.xml><?xml version="1.0" encoding="utf-8"?>
<ds:datastoreItem xmlns:ds="http://schemas.openxmlformats.org/officeDocument/2006/customXml" ds:itemID="{26AEDCD2-EA34-4613-90E7-5D0197599C25}"/>
</file>

<file path=customXml/itemProps3.xml><?xml version="1.0" encoding="utf-8"?>
<ds:datastoreItem xmlns:ds="http://schemas.openxmlformats.org/officeDocument/2006/customXml" ds:itemID="{20D6CF1B-1E4C-477E-AC2F-A608CCF4B02C}"/>
</file>

<file path=customXml/itemProps4.xml><?xml version="1.0" encoding="utf-8"?>
<ds:datastoreItem xmlns:ds="http://schemas.openxmlformats.org/officeDocument/2006/customXml" ds:itemID="{862477D2-162B-4911-A425-F6CA54F1F2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25</vt:i4>
      </vt:variant>
      <vt:variant>
        <vt:lpstr>Intervalos com Nome</vt:lpstr>
      </vt:variant>
      <vt:variant>
        <vt:i4>33</vt:i4>
      </vt:variant>
    </vt:vector>
  </HeadingPairs>
  <TitlesOfParts>
    <vt:vector size="58" baseType="lpstr">
      <vt:lpstr>Capa EN</vt:lpstr>
      <vt:lpstr>Indice_index</vt:lpstr>
      <vt:lpstr>1 - Saldo Global Rec Desp</vt:lpstr>
      <vt:lpstr>2 - Conta Consol AP</vt:lpstr>
      <vt:lpstr>2.A Conta Consol AP - texto</vt:lpstr>
      <vt:lpstr>Síntese Global</vt:lpstr>
      <vt:lpstr>3 - Medidas Covid-19</vt:lpstr>
      <vt:lpstr>4 - Conta AC + SS</vt:lpstr>
      <vt:lpstr>5 - Conta AC</vt:lpstr>
      <vt:lpstr>6 - Estado</vt:lpstr>
      <vt:lpstr>7 - R_Est</vt:lpstr>
      <vt:lpstr>8 - SFA</vt:lpstr>
      <vt:lpstr>9 - EPR</vt:lpstr>
      <vt:lpstr>10 - CGA</vt:lpstr>
      <vt:lpstr>11 - SS</vt:lpstr>
      <vt:lpstr>12 - SS Eco</vt:lpstr>
      <vt:lpstr>13 - Adm R</vt:lpstr>
      <vt:lpstr>14 - Adm Loc</vt:lpstr>
      <vt:lpstr>15 - Despesa Ativos </vt:lpstr>
      <vt:lpstr>16 - SNS exec fin</vt:lpstr>
      <vt:lpstr>17 - Dív não Fin</vt:lpstr>
      <vt:lpstr>18 - CGA Ind</vt:lpstr>
      <vt:lpstr>19 - Ef Temp AC+SS</vt:lpstr>
      <vt:lpstr>20 - Estimativas</vt:lpstr>
      <vt:lpstr>21 - Util. Cond. Dot. Orç</vt:lpstr>
      <vt:lpstr>'1 - Saldo Global Rec Desp'!Área_de_Impressão</vt:lpstr>
      <vt:lpstr>'10 - CGA'!Área_de_Impressão</vt:lpstr>
      <vt:lpstr>'11 - SS'!Área_de_Impressão</vt:lpstr>
      <vt:lpstr>'12 - SS Eco'!Área_de_Impressão</vt:lpstr>
      <vt:lpstr>'13 - Adm R'!Área_de_Impressão</vt:lpstr>
      <vt:lpstr>'14 - Adm Loc'!Área_de_Impressão</vt:lpstr>
      <vt:lpstr>'15 - Despesa Ativos '!Área_de_Impressão</vt:lpstr>
      <vt:lpstr>'16 - SNS exec fin'!Área_de_Impressão</vt:lpstr>
      <vt:lpstr>'17 - Dív não Fin'!Área_de_Impressão</vt:lpstr>
      <vt:lpstr>'18 - CGA Ind'!Área_de_Impressão</vt:lpstr>
      <vt:lpstr>'19 - Ef Temp AC+SS'!Área_de_Impressão</vt:lpstr>
      <vt:lpstr>'2 - Conta Consol AP'!Área_de_Impressão</vt:lpstr>
      <vt:lpstr>'2.A Conta Consol AP - texto'!Área_de_Impressão</vt:lpstr>
      <vt:lpstr>'20 - Estimativas'!Área_de_Impressão</vt:lpstr>
      <vt:lpstr>'21 - Util. Cond. Dot. Orç'!Área_de_Impressão</vt:lpstr>
      <vt:lpstr>'3 - Medidas Covid-19'!Área_de_Impressão</vt:lpstr>
      <vt:lpstr>'4 - Conta AC + SS'!Área_de_Impressão</vt:lpstr>
      <vt:lpstr>'5 - Conta AC'!Área_de_Impressão</vt:lpstr>
      <vt:lpstr>'6 - Estado'!Área_de_Impressão</vt:lpstr>
      <vt:lpstr>'7 - R_Est'!Área_de_Impressão</vt:lpstr>
      <vt:lpstr>'8 - SFA'!Área_de_Impressão</vt:lpstr>
      <vt:lpstr>'9 - EPR'!Área_de_Impressão</vt:lpstr>
      <vt:lpstr>'Capa EN'!Área_de_Impressão</vt:lpstr>
      <vt:lpstr>Indice_index!Área_de_Impressão</vt:lpstr>
      <vt:lpstr>'Síntese Global'!Área_de_Impressão</vt:lpstr>
      <vt:lpstr>'19 - Ef Temp AC+SS'!Lista_eco</vt:lpstr>
      <vt:lpstr>'10 - CGA'!Títulos_de_Impressão</vt:lpstr>
      <vt:lpstr>'18 - CGA Ind'!Títulos_de_Impressão</vt:lpstr>
      <vt:lpstr>'19 - Ef Temp AC+SS'!Títulos_de_Impressão</vt:lpstr>
      <vt:lpstr>'2 - Conta Consol AP'!Títulos_de_Impressão</vt:lpstr>
      <vt:lpstr>'20 - Estimativas'!Títulos_de_Impressão</vt:lpstr>
      <vt:lpstr>'21 - Util. Cond. Dot. Orç'!Títulos_de_Impressão</vt:lpstr>
      <vt:lpstr>'5 - Conta AC'!Títulos_de_Impressão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Catarina Caçador</cp:lastModifiedBy>
  <cp:lastPrinted>2022-01-27T15:14:54Z</cp:lastPrinted>
  <dcterms:created xsi:type="dcterms:W3CDTF">2018-09-13T17:26:24Z</dcterms:created>
  <dcterms:modified xsi:type="dcterms:W3CDTF">2022-01-27T21:14:34Z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b94fb4e9-db59-4e92-b710-5f288066da06</vt:lpwstr>
  </property>
</Properties>
</file>