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worksheets/sheet1.xml" ContentType="application/vnd.openxmlformats-officedocument.spreadsheetml.worksheet+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drawings/drawing21.xml" ContentType="application/vnd.openxmlformats-officedocument.drawing+xml"/>
  <Override PartName="/xl/drawings/drawing1.xml" ContentType="application/vnd.openxmlformats-officedocument.drawing+xml"/>
  <Override PartName="/xl/drawings/drawing6.xml" ContentType="application/vnd.openxmlformats-officedocument.drawing+xml"/>
  <Override PartName="/xl/worksheets/sheet27.xml" ContentType="application/vnd.openxmlformats-officedocument.spreadsheetml.worksheet+xml"/>
  <Override PartName="/xl/drawings/drawing5.xml" ContentType="application/vnd.openxmlformats-officedocument.drawing+xml"/>
  <Override PartName="/xl/drawings/drawing19.xml" ContentType="application/vnd.openxmlformats-officedocument.drawing+xml"/>
  <Override PartName="/xl/worksheets/sheet26.xml" ContentType="application/vnd.openxmlformats-officedocument.spreadsheetml.worksheet+xml"/>
  <Override PartName="/xl/drawings/drawing7.xml" ContentType="application/vnd.openxmlformats-officedocument.drawing+xml"/>
  <Override PartName="/xl/drawings/drawing9.xml" ContentType="application/vnd.openxmlformats-officedocument.drawing+xml"/>
  <Override PartName="/xl/worksheets/sheet24.xml" ContentType="application/vnd.openxmlformats-officedocument.spreadsheetml.worksheet+xml"/>
  <Override PartName="/xl/drawings/drawing8.xml" ContentType="application/vnd.openxmlformats-officedocument.drawing+xml"/>
  <Override PartName="/xl/worksheets/sheet25.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tyles.xml" ContentType="application/vnd.openxmlformats-officedocument.spreadsheetml.styles+xml"/>
  <Override PartName="/xl/worksheets/sheet23.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drawings/drawing16.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9.xml" ContentType="application/vnd.openxmlformats-officedocument.spreadsheetml.worksheet+xml"/>
  <Override PartName="/xl/drawings/drawing17.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drawings/drawing18.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drawings/drawing10.xml" ContentType="application/vnd.openxmlformats-officedocument.drawing+xml"/>
  <Override PartName="/xl/drawings/drawing15.xml" ContentType="application/vnd.openxmlformats-officedocument.drawing+xml"/>
  <Override PartName="/xl/worksheets/sheet15.xml" ContentType="application/vnd.openxmlformats-officedocument.spreadsheetml.worksheet+xml"/>
  <Override PartName="/xl/worksheets/sheet20.xml" ContentType="application/vnd.openxmlformats-officedocument.spreadsheetml.worksheet+xml"/>
  <Override PartName="/xl/drawings/drawing12.xml" ContentType="application/vnd.openxmlformats-officedocument.drawing+xml"/>
  <Override PartName="/xl/worksheets/sheet21.xml" ContentType="application/vnd.openxmlformats-officedocument.spreadsheetml.worksheet+xml"/>
  <Override PartName="/xl/drawings/drawing11.xml" ContentType="application/vnd.openxmlformats-officedocument.drawing+xml"/>
  <Override PartName="/xl/worksheets/sheet22.xml" ContentType="application/vnd.openxmlformats-officedocument.spreadsheetml.worksheet+xml"/>
  <Override PartName="/xl/worksheets/sheet14.xml" ContentType="application/vnd.openxmlformats-officedocument.spreadsheetml.worksheet+xml"/>
  <Override PartName="/xl/drawings/drawing13.xml" ContentType="application/vnd.openxmlformats-officedocument.drawing+xml"/>
  <Override PartName="/xl/worksheets/sheet19.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drawings/drawing14.xml" ContentType="application/vnd.openxmlformats-officedocument.drawing+xml"/>
  <Override PartName="/xl/worksheets/sheet18.xml" ContentType="application/vnd.openxmlformats-officedocument.spreadsheetml.worksheet+xml"/>
  <Override PartName="/xl/externalLinks/externalLink1.xml" ContentType="application/vnd.openxmlformats-officedocument.spreadsheetml.externalLink+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9"/>
  <workbookPr codeName="EsteLivro"/>
  <mc:AlternateContent xmlns:mc="http://schemas.openxmlformats.org/markup-compatibility/2006">
    <mc:Choice Requires="x15">
      <x15ac:absPath xmlns:x15ac="http://schemas.microsoft.com/office/spreadsheetml/2010/11/ac" url="C:\Users\jose.pereira\Desktop\SEO\"/>
    </mc:Choice>
  </mc:AlternateContent>
  <xr:revisionPtr revIDLastSave="0" documentId="8_{A4243147-D652-4544-8A80-56E205A3174D}" xr6:coauthVersionLast="36" xr6:coauthVersionMax="36" xr10:uidLastSave="{00000000-0000-0000-0000-000000000000}"/>
  <bookViews>
    <workbookView xWindow="0" yWindow="0" windowWidth="20490" windowHeight="755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Fin'!$D$40:$R$53</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SS'!$A$1:$J$83</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Fin'!$A$1:$S$62</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Estimativas'!$A$1:$H$51</definedName>
    <definedName name="_xlnm.Print_Area" localSheetId="25">'22 - Util. Cond. Dot. Orç'!$A$1:$H$174</definedName>
    <definedName name="_xlnm.Print_Area" localSheetId="26">'24 - Lista Entidades AC 2022'!$A$1:$D$509</definedName>
    <definedName name="_xlnm.Print_Area" localSheetId="6">'3 - Medidas COVID-19 AP'!$A$1:$F$74</definedName>
    <definedName name="_xlnm.Print_Area" localSheetId="7">'4 - Medidas COVID-19 Subsetores'!$A$1:$J$95</definedName>
    <definedName name="_xlnm.Print_Area" localSheetId="8">'5 - Conta AC + SS'!$A$1:$K$65</definedName>
    <definedName name="_xlnm.Print_Area" localSheetId="9">'6 - Conta AC'!$A$1:$K$63</definedName>
    <definedName name="_xlnm.Print_Area" localSheetId="10">'7 - Estado'!$A$1:$K$77</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SS'!$B$2:$I$82</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Fin'!$B$2:$R$58</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Estimativas'!$B$2:$H$51</definedName>
    <definedName name="Print_Area" localSheetId="26">'24 - Lista Entidades AC 2022'!$A$1:$D$508</definedName>
    <definedName name="Print_Area" localSheetId="6">'3 - Medidas COVID-19 AP'!$A$2:$E$74</definedName>
    <definedName name="Print_Area" localSheetId="7">'4 - Medidas COVID-19 Subsetores'!$B$2:$I$94</definedName>
    <definedName name="Print_Area" localSheetId="8">'5 - Conta AC + SS'!$B$2:$J$65</definedName>
    <definedName name="Print_Area" localSheetId="9">'6 - Conta AC'!$B$2:$J$61</definedName>
    <definedName name="Print_Area" localSheetId="10">'7 - Estado'!$B$2:$J$77</definedName>
    <definedName name="Print_Area" localSheetId="11">'8 - R_Est'!$B$2:$J$74</definedName>
    <definedName name="Print_Area" localSheetId="12">'9 - SFA'!$B$2:$K$88</definedName>
    <definedName name="Print_Area" localSheetId="0">'Capa PT'!$A$1:$L$55,'Capa PT'!$A$57:$L$111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SS'!$B$2:$G$75</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SS'!$B$2:$G$75</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Fin'!$B$2:$R$57</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SS'!$B$2:$G$75</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SS'!$B$2:$G$75</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SS'!$B$2:$G$75</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Fin'!$B$2:$R$57</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SS'!$B$2:$G$76</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Fin'!$B$2:$R$57</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SS'!$B$2:$G$75</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Fin'!$B$2:$R$57</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SS'!$B$2:$G$75</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Fin'!$B$2:$R$57</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SS'!$B$2:$G$75</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SS'!$B$2:$G$75</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SS'!$B$2:$G$75</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Fin'!$B$2:$R$57</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SS'!$B$2:$G$75</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SS'!$B$2:$G$75</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SS'!$B$2:$G$75</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SS'!$B$2:$G$75</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Fin'!$B$2:$R$57</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SS'!$B$2:$G$75</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SS'!$B$2:$G$75</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Fin'!$B$2:$R$57</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SS'!$B$2:$G$75</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1" i="18" l="1"/>
  <c r="K29" i="18"/>
  <c r="K28" i="18"/>
  <c r="K27" i="18"/>
  <c r="K26" i="18"/>
  <c r="K25" i="18"/>
  <c r="K24" i="18"/>
  <c r="K23" i="18"/>
  <c r="K22" i="18"/>
  <c r="K21" i="18"/>
  <c r="K20" i="18"/>
  <c r="K19" i="18"/>
  <c r="K18" i="18"/>
  <c r="K17" i="18"/>
  <c r="K16" i="18"/>
  <c r="K15" i="18"/>
  <c r="K14" i="18"/>
  <c r="K13" i="18"/>
  <c r="K12" i="18"/>
  <c r="K11" i="18"/>
  <c r="K10" i="18"/>
  <c r="K9" i="18"/>
  <c r="D17" i="35" l="1"/>
  <c r="D34" i="20" l="1"/>
  <c r="R28" i="20" l="1"/>
  <c r="H7" i="18" l="1"/>
  <c r="G7" i="18"/>
  <c r="C87" i="17" l="1"/>
  <c r="C84" i="17"/>
  <c r="I8" i="25" l="1"/>
  <c r="G8" i="25"/>
  <c r="H8" i="25" l="1"/>
  <c r="F8" i="25"/>
  <c r="G15" i="13" l="1"/>
  <c r="G14" i="13" s="1"/>
  <c r="F15" i="13"/>
  <c r="F14" i="13" s="1"/>
  <c r="G9" i="13"/>
  <c r="F9" i="13"/>
  <c r="C48" i="30" l="1"/>
  <c r="E42" i="30" l="1"/>
  <c r="D42" i="30"/>
  <c r="G42" i="30"/>
  <c r="E8" i="33" l="1"/>
  <c r="C76" i="9" l="1"/>
  <c r="G68" i="9" l="1"/>
  <c r="F68" i="9"/>
  <c r="F70" i="9" l="1"/>
  <c r="G70" i="9"/>
  <c r="G72" i="9"/>
  <c r="F72" i="9"/>
  <c r="F71" i="9" l="1"/>
  <c r="G71" i="9"/>
  <c r="F9" i="15" l="1"/>
  <c r="G9" i="15"/>
  <c r="H43" i="20" l="1"/>
  <c r="H9" i="20"/>
  <c r="C172" i="37" l="1"/>
  <c r="G163" i="37"/>
  <c r="G130" i="37"/>
  <c r="G120" i="37"/>
  <c r="G107" i="37"/>
  <c r="E106" i="37"/>
  <c r="F107" i="37" l="1"/>
  <c r="G104" i="37"/>
  <c r="G94" i="37"/>
  <c r="G88" i="37"/>
  <c r="G82" i="37"/>
  <c r="G81" i="37"/>
  <c r="G78" i="37"/>
  <c r="G69" i="37"/>
  <c r="G65" i="37"/>
  <c r="G56" i="37"/>
  <c r="G43" i="37"/>
  <c r="G31" i="37"/>
  <c r="G27" i="37"/>
  <c r="G26" i="37"/>
  <c r="G20" i="37"/>
  <c r="G11" i="37"/>
  <c r="C4" i="37"/>
  <c r="G6" i="4" l="1"/>
  <c r="F6" i="4"/>
  <c r="E6" i="4"/>
  <c r="AH56" i="28" l="1"/>
  <c r="S56" i="28"/>
  <c r="S57" i="28"/>
  <c r="S61" i="28"/>
  <c r="S86" i="28"/>
  <c r="S85" i="28"/>
  <c r="S84" i="28"/>
  <c r="S83" i="28"/>
  <c r="S82" i="28"/>
  <c r="S81" i="28"/>
  <c r="S80" i="28"/>
  <c r="S79" i="28"/>
  <c r="S78" i="28"/>
  <c r="S77" i="28"/>
  <c r="S76" i="28"/>
  <c r="S75" i="28"/>
  <c r="S74" i="28"/>
  <c r="S73" i="28"/>
  <c r="S72" i="28"/>
  <c r="S71" i="28"/>
  <c r="S70" i="28"/>
  <c r="S69" i="28"/>
  <c r="S68" i="28"/>
  <c r="S67" i="28"/>
  <c r="S66" i="28"/>
  <c r="S65" i="28"/>
  <c r="S64" i="28"/>
  <c r="S63" i="28"/>
  <c r="S62" i="28"/>
  <c r="S60" i="28"/>
  <c r="S59" i="28"/>
  <c r="S58" i="28"/>
  <c r="T56" i="28"/>
  <c r="C5" i="7"/>
  <c r="C506" i="36" l="1"/>
  <c r="C503" i="36"/>
  <c r="C14" i="18" l="1"/>
  <c r="D25" i="35" l="1"/>
  <c r="C83" i="28" l="1"/>
  <c r="AH83" i="28" l="1"/>
  <c r="T83" i="28"/>
  <c r="D83" i="28"/>
  <c r="S9" i="28" l="1"/>
  <c r="D120" i="27" l="1"/>
  <c r="G5" i="30" l="1"/>
  <c r="I80" i="33" l="1"/>
  <c r="I79" i="33"/>
  <c r="I78" i="33"/>
  <c r="I77" i="33"/>
  <c r="I76" i="33"/>
  <c r="I75" i="33"/>
  <c r="I74" i="33"/>
  <c r="I70" i="33"/>
  <c r="I69" i="33"/>
  <c r="I64" i="33"/>
  <c r="I63" i="33"/>
  <c r="I62" i="33"/>
  <c r="I61" i="33"/>
  <c r="I60" i="33"/>
  <c r="I59" i="33"/>
  <c r="I58" i="33"/>
  <c r="I57" i="33"/>
  <c r="I56" i="33"/>
  <c r="I55" i="33"/>
  <c r="I54" i="33"/>
  <c r="I53"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G142" i="37" l="1"/>
  <c r="G4" i="37"/>
  <c r="C27" i="4" l="1"/>
  <c r="C2" i="37"/>
  <c r="G137" i="37" l="1"/>
  <c r="G138" i="37"/>
  <c r="G165" i="37" s="1"/>
  <c r="G144" i="37"/>
  <c r="F144" i="37"/>
  <c r="G6" i="37"/>
  <c r="F6" i="37"/>
  <c r="S37" i="28" l="1"/>
  <c r="S27" i="28"/>
  <c r="S15" i="28"/>
  <c r="S10" i="28"/>
  <c r="C2" i="36"/>
  <c r="C28" i="4"/>
  <c r="C170" i="37"/>
  <c r="C17" i="19"/>
  <c r="C38" i="19"/>
  <c r="E6" i="19"/>
  <c r="E6" i="18"/>
  <c r="C8" i="4"/>
  <c r="C9" i="4"/>
  <c r="C10" i="4"/>
  <c r="C12" i="4"/>
  <c r="C14" i="4"/>
  <c r="C69" i="35"/>
  <c r="C90" i="33"/>
  <c r="C131" i="37"/>
  <c r="C162" i="37" s="1"/>
  <c r="C71" i="37"/>
  <c r="C154" i="37" s="1"/>
  <c r="F137" i="37"/>
  <c r="F130" i="37"/>
  <c r="F120" i="37"/>
  <c r="F104" i="37"/>
  <c r="F94" i="37"/>
  <c r="F88" i="37"/>
  <c r="F81" i="37"/>
  <c r="F82" i="37" s="1"/>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D160" i="37" s="1"/>
  <c r="D105" i="37"/>
  <c r="D159" i="37" s="1"/>
  <c r="D96" i="37"/>
  <c r="D158" i="37" s="1"/>
  <c r="D90" i="37"/>
  <c r="E94" i="37" s="1"/>
  <c r="D83" i="37"/>
  <c r="D156" i="37" s="1"/>
  <c r="E82" i="37"/>
  <c r="E79" i="37"/>
  <c r="E80" i="37"/>
  <c r="D79" i="37"/>
  <c r="D155" i="37" s="1"/>
  <c r="E71" i="37"/>
  <c r="E72" i="37"/>
  <c r="E73" i="37"/>
  <c r="E74" i="37"/>
  <c r="E75" i="37"/>
  <c r="E76" i="37"/>
  <c r="E77" i="37"/>
  <c r="D71" i="37"/>
  <c r="D154" i="37" s="1"/>
  <c r="D70" i="37"/>
  <c r="D66" i="37"/>
  <c r="D153" i="37" s="1"/>
  <c r="D57" i="37"/>
  <c r="E65" i="37" s="1"/>
  <c r="E64" i="37"/>
  <c r="E63" i="37"/>
  <c r="E62" i="37"/>
  <c r="E61" i="37"/>
  <c r="E60" i="37"/>
  <c r="E59" i="37"/>
  <c r="E58" i="37"/>
  <c r="E57" i="37"/>
  <c r="C57" i="37"/>
  <c r="C152" i="37" s="1"/>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s="1"/>
  <c r="E119" i="37"/>
  <c r="E117" i="37"/>
  <c r="E116" i="37"/>
  <c r="E115" i="37"/>
  <c r="E114" i="37"/>
  <c r="E113" i="37"/>
  <c r="E112" i="37"/>
  <c r="E111" i="37"/>
  <c r="C109" i="37"/>
  <c r="C160" i="37" s="1"/>
  <c r="E108" i="37"/>
  <c r="E105" i="37"/>
  <c r="C105" i="37"/>
  <c r="C159" i="37" s="1"/>
  <c r="E103" i="37"/>
  <c r="E102" i="37"/>
  <c r="E101" i="37"/>
  <c r="E100" i="37"/>
  <c r="E99" i="37"/>
  <c r="E98" i="37"/>
  <c r="E97" i="37"/>
  <c r="E96" i="37"/>
  <c r="C96" i="37"/>
  <c r="C158" i="37" s="1"/>
  <c r="E95" i="37"/>
  <c r="E93" i="37"/>
  <c r="E92" i="37"/>
  <c r="E91" i="37"/>
  <c r="E90" i="37"/>
  <c r="C90" i="37"/>
  <c r="C157" i="37" s="1"/>
  <c r="E89" i="37"/>
  <c r="E87" i="37"/>
  <c r="E86" i="37"/>
  <c r="E85" i="37"/>
  <c r="E84" i="37"/>
  <c r="E83" i="37"/>
  <c r="C83" i="37"/>
  <c r="C156" i="37" s="1"/>
  <c r="C79" i="37"/>
  <c r="C155" i="37" s="1"/>
  <c r="E53" i="37"/>
  <c r="E52" i="37"/>
  <c r="E51" i="37"/>
  <c r="E50" i="37"/>
  <c r="E49" i="37"/>
  <c r="E48" i="37"/>
  <c r="E47" i="37"/>
  <c r="E46" i="37"/>
  <c r="E45" i="37"/>
  <c r="E44" i="37"/>
  <c r="C44" i="37"/>
  <c r="C151" i="37" s="1"/>
  <c r="E42" i="37"/>
  <c r="E41" i="37"/>
  <c r="E40" i="37"/>
  <c r="E39" i="37"/>
  <c r="E38" i="37"/>
  <c r="E37" i="37"/>
  <c r="E36" i="37"/>
  <c r="E35" i="37"/>
  <c r="E34" i="37"/>
  <c r="E33" i="37"/>
  <c r="E32" i="37"/>
  <c r="C32" i="37"/>
  <c r="C150" i="37" s="1"/>
  <c r="E70" i="37"/>
  <c r="E68" i="37"/>
  <c r="E67" i="37"/>
  <c r="E66" i="37"/>
  <c r="C66" i="37"/>
  <c r="C153" i="37" s="1"/>
  <c r="E30" i="37"/>
  <c r="E29" i="37"/>
  <c r="E28" i="37"/>
  <c r="C28" i="37"/>
  <c r="C149" i="37" s="1"/>
  <c r="E22" i="37"/>
  <c r="E21" i="37"/>
  <c r="D21" i="37"/>
  <c r="E27" i="37" s="1"/>
  <c r="C21" i="37"/>
  <c r="C148" i="37" s="1"/>
  <c r="E15" i="37"/>
  <c r="E13" i="37"/>
  <c r="E12" i="37"/>
  <c r="D12" i="37"/>
  <c r="D147" i="37" s="1"/>
  <c r="C12" i="37"/>
  <c r="C147" i="37" s="1"/>
  <c r="E10" i="37"/>
  <c r="E9" i="37"/>
  <c r="E8" i="37"/>
  <c r="D8" i="37"/>
  <c r="D146" i="37" s="1"/>
  <c r="C8" i="37"/>
  <c r="C146" i="37" s="1"/>
  <c r="E5" i="37"/>
  <c r="D5" i="37"/>
  <c r="C5" i="37"/>
  <c r="C142" i="37"/>
  <c r="E104" i="37"/>
  <c r="C53" i="35"/>
  <c r="C44" i="33"/>
  <c r="R45" i="20"/>
  <c r="R46" i="20"/>
  <c r="R47" i="20"/>
  <c r="R48" i="20"/>
  <c r="R49" i="20"/>
  <c r="R50" i="20"/>
  <c r="D44" i="33"/>
  <c r="N19" i="6"/>
  <c r="O19" i="6"/>
  <c r="P19" i="6"/>
  <c r="Q19" i="6"/>
  <c r="M19" i="6"/>
  <c r="H19" i="6"/>
  <c r="I19" i="6"/>
  <c r="J19" i="6"/>
  <c r="K19" i="6"/>
  <c r="G19" i="6"/>
  <c r="H49" i="14"/>
  <c r="H50" i="14"/>
  <c r="G47" i="15"/>
  <c r="G45" i="15" s="1"/>
  <c r="F47" i="15"/>
  <c r="F45" i="15" s="1"/>
  <c r="E47" i="15"/>
  <c r="E45" i="15" s="1"/>
  <c r="G10" i="10"/>
  <c r="F10" i="10"/>
  <c r="D33" i="30"/>
  <c r="E33" i="30"/>
  <c r="E22" i="30"/>
  <c r="E15" i="30"/>
  <c r="E7" i="30"/>
  <c r="G33"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9" i="28" s="1"/>
  <c r="AB28" i="28"/>
  <c r="AB27" i="28"/>
  <c r="AB26" i="28"/>
  <c r="AB21" i="28"/>
  <c r="AB20" i="28"/>
  <c r="AB19" i="28"/>
  <c r="AB18" i="28" s="1"/>
  <c r="AB16" i="28" s="1"/>
  <c r="AB17" i="28"/>
  <c r="AB15" i="28"/>
  <c r="AB14" i="28"/>
  <c r="AB13" i="28"/>
  <c r="AB12" i="28" s="1"/>
  <c r="AB11" i="28"/>
  <c r="AB10" i="28"/>
  <c r="AB9" i="28"/>
  <c r="AB8" i="28" s="1"/>
  <c r="E6" i="15"/>
  <c r="E6" i="14"/>
  <c r="E38" i="15"/>
  <c r="E32" i="15"/>
  <c r="E22" i="15"/>
  <c r="E20" i="15"/>
  <c r="E14" i="15"/>
  <c r="E9" i="15"/>
  <c r="E28" i="14"/>
  <c r="D14" i="14"/>
  <c r="E14" i="14"/>
  <c r="E6" i="13"/>
  <c r="E63" i="14"/>
  <c r="E36" i="14"/>
  <c r="E35" i="14"/>
  <c r="E34" i="14" s="1"/>
  <c r="E67" i="14" s="1"/>
  <c r="E69" i="14" s="1"/>
  <c r="E9" i="14"/>
  <c r="E31" i="15"/>
  <c r="AB36" i="28"/>
  <c r="AB34" i="28" s="1"/>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s="1"/>
  <c r="E14" i="7"/>
  <c r="E9" i="7"/>
  <c r="E55" i="7" s="1"/>
  <c r="E10" i="7"/>
  <c r="E6" i="12"/>
  <c r="E6" i="11"/>
  <c r="E51" i="12"/>
  <c r="E49" i="12" s="1"/>
  <c r="E41" i="12"/>
  <c r="E35" i="12"/>
  <c r="E34" i="12"/>
  <c r="E59" i="12" s="1"/>
  <c r="E63" i="12" s="1"/>
  <c r="E24" i="12"/>
  <c r="E22" i="12" s="1"/>
  <c r="E15" i="12"/>
  <c r="E10" i="12"/>
  <c r="E9" i="12"/>
  <c r="E36" i="13"/>
  <c r="E30" i="13"/>
  <c r="E29" i="13"/>
  <c r="E45" i="13"/>
  <c r="E24" i="13"/>
  <c r="E17" i="13"/>
  <c r="E15" i="13" s="1"/>
  <c r="E11" i="13"/>
  <c r="E9" i="13"/>
  <c r="E29" i="7"/>
  <c r="E50" i="7" s="1"/>
  <c r="E54" i="7" s="1"/>
  <c r="S6" i="6"/>
  <c r="E6" i="9"/>
  <c r="E51" i="11"/>
  <c r="E49" i="11" s="1"/>
  <c r="E41" i="11"/>
  <c r="E34" i="11"/>
  <c r="E35" i="11"/>
  <c r="E24" i="11"/>
  <c r="E22" i="11" s="1"/>
  <c r="E15" i="11"/>
  <c r="E10" i="11"/>
  <c r="E72" i="9"/>
  <c r="E6" i="10"/>
  <c r="E71" i="9"/>
  <c r="E68" i="9" s="1"/>
  <c r="E70" i="9"/>
  <c r="E51" i="9"/>
  <c r="E49" i="9" s="1"/>
  <c r="E41" i="9"/>
  <c r="E35" i="9"/>
  <c r="E34" i="9" s="1"/>
  <c r="E59" i="9" s="1"/>
  <c r="E63" i="9" s="1"/>
  <c r="E30" i="9"/>
  <c r="E29" i="9"/>
  <c r="E28" i="9"/>
  <c r="E27" i="9"/>
  <c r="E24" i="9" s="1"/>
  <c r="E22" i="9" s="1"/>
  <c r="E65" i="9" s="1"/>
  <c r="E26" i="9"/>
  <c r="E25" i="9"/>
  <c r="E23" i="9"/>
  <c r="E21" i="9"/>
  <c r="E19" i="9"/>
  <c r="E18" i="9"/>
  <c r="E17" i="9"/>
  <c r="E16" i="9"/>
  <c r="E64" i="10"/>
  <c r="E54" i="10"/>
  <c r="E52" i="10"/>
  <c r="E45" i="10"/>
  <c r="E39" i="10"/>
  <c r="G39" i="10"/>
  <c r="E35" i="10"/>
  <c r="E20" i="9" s="1"/>
  <c r="E30" i="10"/>
  <c r="E24" i="10"/>
  <c r="E13" i="9" s="1"/>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s="1"/>
  <c r="S42" i="6"/>
  <c r="S19" i="6"/>
  <c r="S10" i="6"/>
  <c r="S9" i="6" s="1"/>
  <c r="S27" i="6" s="1"/>
  <c r="S8" i="6"/>
  <c r="D47" i="35"/>
  <c r="D41" i="35"/>
  <c r="E14" i="33"/>
  <c r="H14" i="33"/>
  <c r="G14" i="33"/>
  <c r="F14" i="33"/>
  <c r="D15" i="35"/>
  <c r="C35" i="33"/>
  <c r="C41" i="33"/>
  <c r="D41" i="33"/>
  <c r="F38" i="15"/>
  <c r="G38" i="15"/>
  <c r="F64" i="10"/>
  <c r="G64" i="10"/>
  <c r="I64" i="10" s="1"/>
  <c r="C91" i="17"/>
  <c r="C89" i="33"/>
  <c r="H66" i="33"/>
  <c r="G66" i="33"/>
  <c r="G71" i="33" s="1"/>
  <c r="G83" i="33" s="1"/>
  <c r="D59" i="33"/>
  <c r="C59" i="33"/>
  <c r="C21" i="33"/>
  <c r="C32" i="33"/>
  <c r="C47" i="33"/>
  <c r="D21" i="33"/>
  <c r="C24" i="35"/>
  <c r="C25" i="33"/>
  <c r="D25" i="33"/>
  <c r="C35" i="7"/>
  <c r="AH71" i="28"/>
  <c r="D35" i="33"/>
  <c r="C48" i="35"/>
  <c r="C49" i="35"/>
  <c r="C30" i="33"/>
  <c r="C55" i="33"/>
  <c r="D89" i="33"/>
  <c r="E89" i="33"/>
  <c r="F89" i="33"/>
  <c r="G89" i="33"/>
  <c r="H89" i="33"/>
  <c r="I89" i="33"/>
  <c r="C92" i="33"/>
  <c r="H68" i="33"/>
  <c r="G68" i="33"/>
  <c r="F68" i="33"/>
  <c r="C68" i="35"/>
  <c r="C56" i="35"/>
  <c r="C43" i="33"/>
  <c r="D10" i="33"/>
  <c r="C10" i="33"/>
  <c r="C42" i="33"/>
  <c r="D42" i="33"/>
  <c r="C82" i="28"/>
  <c r="T82" i="28"/>
  <c r="AH57" i="28"/>
  <c r="T86" i="28"/>
  <c r="T85" i="28"/>
  <c r="T84" i="28"/>
  <c r="T81" i="28"/>
  <c r="T80" i="28"/>
  <c r="T33" i="28" s="1"/>
  <c r="T79" i="28"/>
  <c r="T78" i="28"/>
  <c r="T77" i="28"/>
  <c r="T76" i="28"/>
  <c r="T75" i="28"/>
  <c r="T74" i="28"/>
  <c r="T73" i="28"/>
  <c r="T72" i="28"/>
  <c r="T71" i="28"/>
  <c r="AH82" i="28"/>
  <c r="D82" i="28"/>
  <c r="C28" i="33"/>
  <c r="C27" i="35"/>
  <c r="D32" i="35"/>
  <c r="C40" i="33"/>
  <c r="C38" i="33"/>
  <c r="C76" i="33"/>
  <c r="D38" i="33"/>
  <c r="D28" i="33"/>
  <c r="D6" i="18"/>
  <c r="D72" i="9"/>
  <c r="D6" i="13"/>
  <c r="D6" i="12"/>
  <c r="D6" i="11"/>
  <c r="D6" i="10"/>
  <c r="D6" i="9"/>
  <c r="D5" i="8"/>
  <c r="D6" i="7"/>
  <c r="D6" i="14"/>
  <c r="D6" i="15"/>
  <c r="F6" i="15"/>
  <c r="C45" i="33"/>
  <c r="D43" i="33"/>
  <c r="E6" i="6"/>
  <c r="G36" i="14"/>
  <c r="G35" i="14" s="1"/>
  <c r="G34" i="14" s="1"/>
  <c r="F36" i="14"/>
  <c r="F35" i="14" s="1"/>
  <c r="AH58" i="28"/>
  <c r="C23" i="35"/>
  <c r="I11" i="33"/>
  <c r="I12" i="33"/>
  <c r="I10" i="33"/>
  <c r="I9" i="33"/>
  <c r="C69" i="28"/>
  <c r="C78" i="28"/>
  <c r="AH69" i="28"/>
  <c r="T69" i="28"/>
  <c r="D69" i="28"/>
  <c r="AH78" i="28"/>
  <c r="D78" i="28"/>
  <c r="D55" i="33"/>
  <c r="D115" i="27"/>
  <c r="C74" i="28"/>
  <c r="C7" i="33"/>
  <c r="C2" i="33"/>
  <c r="C2" i="35"/>
  <c r="C17" i="14"/>
  <c r="G14" i="14"/>
  <c r="F14" i="14"/>
  <c r="F6" i="19"/>
  <c r="H6" i="19"/>
  <c r="N6" i="34"/>
  <c r="V74" i="28"/>
  <c r="G6" i="6"/>
  <c r="D6" i="25"/>
  <c r="F6" i="25"/>
  <c r="C12" i="35"/>
  <c r="C59" i="35"/>
  <c r="C69" i="33"/>
  <c r="D30" i="33"/>
  <c r="C63" i="35"/>
  <c r="C61" i="35"/>
  <c r="C58" i="35"/>
  <c r="F6" i="17"/>
  <c r="D6" i="17"/>
  <c r="D7" i="31"/>
  <c r="G7" i="31"/>
  <c r="J7" i="31"/>
  <c r="AH74" i="28"/>
  <c r="D74" i="28"/>
  <c r="R52" i="20"/>
  <c r="R27" i="20"/>
  <c r="R26" i="20"/>
  <c r="R25" i="20"/>
  <c r="R24" i="20"/>
  <c r="R23" i="20"/>
  <c r="R22" i="20"/>
  <c r="R21" i="20"/>
  <c r="R20" i="20"/>
  <c r="R19" i="20"/>
  <c r="R18" i="20"/>
  <c r="R17" i="20"/>
  <c r="R16" i="20"/>
  <c r="R15" i="20"/>
  <c r="R14" i="20"/>
  <c r="R13" i="20"/>
  <c r="R12" i="20"/>
  <c r="R11" i="20"/>
  <c r="R10" i="20"/>
  <c r="C4" i="36"/>
  <c r="C30" i="36"/>
  <c r="D69" i="33"/>
  <c r="D70" i="33"/>
  <c r="D63" i="33"/>
  <c r="D61" i="33"/>
  <c r="I68" i="33"/>
  <c r="J6" i="18"/>
  <c r="C13" i="35"/>
  <c r="C60" i="35"/>
  <c r="C63" i="33"/>
  <c r="C71" i="33"/>
  <c r="C68" i="33"/>
  <c r="C11" i="35"/>
  <c r="D58" i="35"/>
  <c r="D61" i="35"/>
  <c r="C23" i="33"/>
  <c r="C42" i="35"/>
  <c r="C70" i="33"/>
  <c r="C61" i="33"/>
  <c r="E68" i="33"/>
  <c r="D23" i="33"/>
  <c r="F14" i="15"/>
  <c r="G14" i="15"/>
  <c r="C12" i="33"/>
  <c r="D12" i="33"/>
  <c r="G30" i="10"/>
  <c r="H30" i="10" s="1"/>
  <c r="F30" i="10"/>
  <c r="C72" i="10"/>
  <c r="F54" i="10"/>
  <c r="G54" i="10"/>
  <c r="H54" i="10" s="1"/>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E19" i="6"/>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F68" i="17"/>
  <c r="C72" i="35"/>
  <c r="C67" i="35"/>
  <c r="C66" i="35"/>
  <c r="C65" i="35"/>
  <c r="C54" i="35"/>
  <c r="C51" i="35"/>
  <c r="C52" i="35"/>
  <c r="C50" i="35"/>
  <c r="C47" i="35"/>
  <c r="C46" i="35"/>
  <c r="C43" i="35"/>
  <c r="C45" i="35"/>
  <c r="C44" i="35"/>
  <c r="C41" i="35"/>
  <c r="C40" i="35"/>
  <c r="C36" i="35"/>
  <c r="C39" i="35"/>
  <c r="C37" i="35"/>
  <c r="C38" i="35"/>
  <c r="C35" i="35"/>
  <c r="C33" i="35"/>
  <c r="C34" i="35"/>
  <c r="C32" i="35"/>
  <c r="C31" i="35"/>
  <c r="C30" i="35"/>
  <c r="C28" i="35"/>
  <c r="C29"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G8" i="28" s="1"/>
  <c r="H7" i="15"/>
  <c r="H7" i="14"/>
  <c r="I7" i="13"/>
  <c r="AH72" i="28"/>
  <c r="AH59" i="28"/>
  <c r="AH60" i="28"/>
  <c r="AH61" i="28"/>
  <c r="AH62" i="28"/>
  <c r="AH63" i="28"/>
  <c r="AH64" i="28"/>
  <c r="AH65" i="28"/>
  <c r="AH66" i="28"/>
  <c r="AH67" i="28"/>
  <c r="AH68" i="28"/>
  <c r="AH70" i="28"/>
  <c r="AH73" i="28"/>
  <c r="AH75" i="28"/>
  <c r="AH76" i="28"/>
  <c r="AH77" i="28"/>
  <c r="AH81" i="28"/>
  <c r="AH84" i="28"/>
  <c r="AH37" i="28" s="1"/>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22" i="15"/>
  <c r="D20" i="15"/>
  <c r="D14" i="15"/>
  <c r="D9" i="15"/>
  <c r="D63" i="14"/>
  <c r="D36" i="14"/>
  <c r="D35" i="14"/>
  <c r="D34" i="14" s="1"/>
  <c r="D67" i="14" s="1"/>
  <c r="D69" i="14" s="1"/>
  <c r="D74" i="14" s="1"/>
  <c r="D28" i="14"/>
  <c r="D9" i="14"/>
  <c r="D36" i="13"/>
  <c r="D30" i="13"/>
  <c r="D24" i="13"/>
  <c r="D17" i="13"/>
  <c r="D15" i="13"/>
  <c r="D14" i="13" s="1"/>
  <c r="D8" i="13" s="1"/>
  <c r="D27" i="13" s="1"/>
  <c r="D47" i="13" s="1"/>
  <c r="D51" i="13" s="1"/>
  <c r="D11" i="13"/>
  <c r="D9" i="13"/>
  <c r="D51" i="12"/>
  <c r="D49" i="12" s="1"/>
  <c r="D41" i="12"/>
  <c r="D34" i="12" s="1"/>
  <c r="D35" i="12"/>
  <c r="D24" i="12"/>
  <c r="D22" i="12" s="1"/>
  <c r="D15" i="12"/>
  <c r="D10" i="12"/>
  <c r="D9" i="12"/>
  <c r="D64" i="12" s="1"/>
  <c r="D8" i="15"/>
  <c r="D29" i="13"/>
  <c r="D45" i="13"/>
  <c r="D31" i="15"/>
  <c r="D32" i="14"/>
  <c r="D51" i="11"/>
  <c r="D49" i="11" s="1"/>
  <c r="D41" i="11"/>
  <c r="D35" i="11"/>
  <c r="D24" i="11"/>
  <c r="D22" i="11"/>
  <c r="D15" i="11"/>
  <c r="D9" i="11"/>
  <c r="D10" i="11"/>
  <c r="D71" i="9"/>
  <c r="D70" i="9"/>
  <c r="D51" i="9"/>
  <c r="D49" i="9" s="1"/>
  <c r="D41" i="9"/>
  <c r="D35" i="9"/>
  <c r="D34" i="9" s="1"/>
  <c r="D59" i="9" s="1"/>
  <c r="D63" i="9" s="1"/>
  <c r="D30" i="9"/>
  <c r="D29" i="9"/>
  <c r="D28" i="9"/>
  <c r="D27" i="9"/>
  <c r="D26" i="9"/>
  <c r="D25" i="9"/>
  <c r="D23" i="9"/>
  <c r="D21" i="9"/>
  <c r="D19" i="9"/>
  <c r="D18" i="9"/>
  <c r="D17" i="9"/>
  <c r="D16" i="9"/>
  <c r="D15" i="9" s="1"/>
  <c r="D64" i="10"/>
  <c r="D54" i="10"/>
  <c r="D52" i="10"/>
  <c r="D45" i="10"/>
  <c r="D39" i="10"/>
  <c r="D29" i="10" s="1"/>
  <c r="D28" i="10" s="1"/>
  <c r="D35" i="10"/>
  <c r="D30" i="10"/>
  <c r="D14" i="9"/>
  <c r="D24" i="10"/>
  <c r="D13" i="9"/>
  <c r="D14" i="10"/>
  <c r="D12" i="9"/>
  <c r="D10" i="9"/>
  <c r="D10" i="10"/>
  <c r="D11" i="9"/>
  <c r="D43" i="8"/>
  <c r="D41" i="8"/>
  <c r="D35" i="8"/>
  <c r="D29" i="8"/>
  <c r="D20" i="8"/>
  <c r="D18" i="8"/>
  <c r="D13" i="8"/>
  <c r="D8" i="8"/>
  <c r="D9" i="8"/>
  <c r="C64" i="7"/>
  <c r="C76" i="11" s="1"/>
  <c r="C65" i="7"/>
  <c r="D44" i="7"/>
  <c r="D42" i="7" s="1"/>
  <c r="D36" i="7"/>
  <c r="D30" i="7"/>
  <c r="D21" i="7"/>
  <c r="D19" i="7" s="1"/>
  <c r="D14" i="7"/>
  <c r="D9" i="7"/>
  <c r="D27" i="7" s="1"/>
  <c r="D10" i="7"/>
  <c r="D9" i="10"/>
  <c r="D20" i="9"/>
  <c r="D29" i="7"/>
  <c r="D55" i="7"/>
  <c r="D55" i="8"/>
  <c r="D60" i="15"/>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F17" i="13"/>
  <c r="G17" i="13"/>
  <c r="C63" i="28"/>
  <c r="T63" i="28"/>
  <c r="T62" i="28"/>
  <c r="D62" i="28"/>
  <c r="C62" i="28"/>
  <c r="S35" i="28"/>
  <c r="S31" i="28"/>
  <c r="S17" i="28"/>
  <c r="G45" i="10"/>
  <c r="H45" i="10" s="1"/>
  <c r="F45" i="10"/>
  <c r="R42" i="20"/>
  <c r="I8" i="33"/>
  <c r="D8" i="33"/>
  <c r="D270" i="27"/>
  <c r="F15" i="12"/>
  <c r="G15" i="12"/>
  <c r="D559" i="27"/>
  <c r="D570" i="27"/>
  <c r="D95" i="27"/>
  <c r="D16" i="33"/>
  <c r="D17" i="33"/>
  <c r="C25" i="18"/>
  <c r="C23" i="18"/>
  <c r="C22" i="18"/>
  <c r="K27" i="28"/>
  <c r="L27" i="28"/>
  <c r="N27" i="28"/>
  <c r="O27" i="28"/>
  <c r="P27" i="28"/>
  <c r="D107" i="27"/>
  <c r="S38" i="28"/>
  <c r="G14" i="9"/>
  <c r="H14" i="9" s="1"/>
  <c r="D109" i="27"/>
  <c r="D48" i="33"/>
  <c r="C48" i="33"/>
  <c r="C4" i="4"/>
  <c r="AH28" i="28"/>
  <c r="T28" i="28"/>
  <c r="D75" i="28"/>
  <c r="G25" i="17"/>
  <c r="F25" i="17"/>
  <c r="C46" i="30"/>
  <c r="C33" i="33"/>
  <c r="C88" i="33"/>
  <c r="D85" i="28"/>
  <c r="D40" i="33"/>
  <c r="T65" i="28"/>
  <c r="D65" i="28"/>
  <c r="C65" i="28"/>
  <c r="C75" i="15"/>
  <c r="M14" i="34"/>
  <c r="I14" i="34" s="1"/>
  <c r="L14" i="34"/>
  <c r="H14" i="34" s="1"/>
  <c r="K14" i="34"/>
  <c r="J14" i="34"/>
  <c r="M15" i="34"/>
  <c r="L15" i="34"/>
  <c r="J15" i="34"/>
  <c r="K15" i="34"/>
  <c r="C2" i="34"/>
  <c r="O7" i="34"/>
  <c r="N7" i="34"/>
  <c r="L6" i="34"/>
  <c r="J6" i="34"/>
  <c r="H6" i="34"/>
  <c r="O5" i="34"/>
  <c r="C20" i="34"/>
  <c r="C18" i="34"/>
  <c r="C16" i="34"/>
  <c r="D15" i="34"/>
  <c r="D14" i="34"/>
  <c r="E13" i="34"/>
  <c r="G12" i="34"/>
  <c r="F11" i="34"/>
  <c r="F10" i="34"/>
  <c r="E9" i="34"/>
  <c r="D8" i="34"/>
  <c r="H81" i="33"/>
  <c r="G81" i="33"/>
  <c r="D76" i="33"/>
  <c r="S33" i="28"/>
  <c r="I88" i="33"/>
  <c r="H88" i="33"/>
  <c r="G88" i="33"/>
  <c r="F88" i="33"/>
  <c r="E88" i="33"/>
  <c r="D88" i="33"/>
  <c r="C83" i="33"/>
  <c r="C78" i="33"/>
  <c r="C77" i="33"/>
  <c r="C79" i="33"/>
  <c r="C74" i="33"/>
  <c r="C60" i="33"/>
  <c r="C62" i="33"/>
  <c r="C60" i="28"/>
  <c r="T60" i="28"/>
  <c r="D60" i="28"/>
  <c r="C80" i="33"/>
  <c r="D80" i="33"/>
  <c r="D78" i="33"/>
  <c r="D77" i="33"/>
  <c r="D79" i="33"/>
  <c r="D60" i="33"/>
  <c r="C24" i="33"/>
  <c r="D24" i="33"/>
  <c r="D15" i="30"/>
  <c r="D64" i="33"/>
  <c r="D62" i="33"/>
  <c r="D58" i="33"/>
  <c r="D57" i="33"/>
  <c r="D56" i="33"/>
  <c r="D54" i="33"/>
  <c r="D53" i="33"/>
  <c r="D47" i="33"/>
  <c r="D51" i="33"/>
  <c r="D50" i="33"/>
  <c r="D52" i="33"/>
  <c r="D37" i="33"/>
  <c r="D45" i="33"/>
  <c r="D39" i="33"/>
  <c r="D34" i="33"/>
  <c r="D33" i="33"/>
  <c r="D29" i="33"/>
  <c r="D36" i="33"/>
  <c r="D26" i="33"/>
  <c r="D27" i="33"/>
  <c r="D31" i="33"/>
  <c r="D46" i="33"/>
  <c r="D32" i="33"/>
  <c r="D22" i="33"/>
  <c r="D20" i="33"/>
  <c r="D18" i="33"/>
  <c r="D19" i="33"/>
  <c r="G10" i="28"/>
  <c r="AH35" i="28"/>
  <c r="T35" i="28"/>
  <c r="D81" i="28"/>
  <c r="C64" i="33"/>
  <c r="C58" i="33"/>
  <c r="C57" i="33"/>
  <c r="C56" i="33"/>
  <c r="C54" i="33"/>
  <c r="C53" i="33"/>
  <c r="C51" i="33"/>
  <c r="C50" i="33"/>
  <c r="C52" i="33"/>
  <c r="C37" i="33"/>
  <c r="C39" i="33"/>
  <c r="C34" i="33"/>
  <c r="C29" i="33"/>
  <c r="C26" i="33"/>
  <c r="C27" i="33"/>
  <c r="C31" i="33"/>
  <c r="C46" i="33"/>
  <c r="C22" i="33"/>
  <c r="C20" i="33"/>
  <c r="C18" i="33"/>
  <c r="C19" i="33"/>
  <c r="C16" i="33"/>
  <c r="C17" i="33"/>
  <c r="I87" i="33"/>
  <c r="H87" i="33"/>
  <c r="G87" i="33"/>
  <c r="F87" i="33"/>
  <c r="E87" i="33"/>
  <c r="D87" i="33"/>
  <c r="C87" i="33"/>
  <c r="C85" i="33"/>
  <c r="C86" i="33"/>
  <c r="D75" i="33"/>
  <c r="D74" i="33"/>
  <c r="C73" i="33"/>
  <c r="C81" i="33"/>
  <c r="C75" i="33"/>
  <c r="C11" i="33"/>
  <c r="M8" i="31"/>
  <c r="L8" i="31"/>
  <c r="I8" i="31"/>
  <c r="F8" i="31"/>
  <c r="H11" i="14"/>
  <c r="H10" i="14"/>
  <c r="C21" i="14"/>
  <c r="C20" i="14"/>
  <c r="G63" i="14"/>
  <c r="F63" i="14"/>
  <c r="F9" i="14"/>
  <c r="F32" i="14" s="1"/>
  <c r="G9" i="14"/>
  <c r="G32" i="14" s="1"/>
  <c r="H65" i="14"/>
  <c r="H64" i="14"/>
  <c r="H62" i="14"/>
  <c r="H61" i="14"/>
  <c r="H60" i="14"/>
  <c r="H58" i="14"/>
  <c r="H57" i="14"/>
  <c r="H56" i="14"/>
  <c r="H55" i="14"/>
  <c r="H54" i="14"/>
  <c r="H53" i="14"/>
  <c r="H52" i="14"/>
  <c r="H51" i="14"/>
  <c r="H48" i="14"/>
  <c r="H47" i="14"/>
  <c r="H46" i="14"/>
  <c r="H45" i="14"/>
  <c r="H44" i="14"/>
  <c r="H43" i="14"/>
  <c r="H42"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3"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K10" i="6"/>
  <c r="K30" i="6"/>
  <c r="K42" i="6"/>
  <c r="K55" i="6" s="1"/>
  <c r="D37" i="25"/>
  <c r="E36" i="25"/>
  <c r="G36" i="25" s="1"/>
  <c r="I36" i="25" s="1"/>
  <c r="D36" i="25"/>
  <c r="E35" i="25"/>
  <c r="D35" i="25"/>
  <c r="E34" i="25"/>
  <c r="D34" i="25"/>
  <c r="D32" i="25"/>
  <c r="E31" i="25"/>
  <c r="D31" i="25"/>
  <c r="D30" i="25"/>
  <c r="E29" i="25"/>
  <c r="D29" i="25"/>
  <c r="D27" i="25"/>
  <c r="Q30" i="6"/>
  <c r="D21" i="25"/>
  <c r="E21" i="25"/>
  <c r="E20" i="25"/>
  <c r="D20" i="25"/>
  <c r="E19" i="25"/>
  <c r="G19" i="25" s="1"/>
  <c r="I19" i="25" s="1"/>
  <c r="D19" i="25"/>
  <c r="E18" i="25"/>
  <c r="D18" i="25"/>
  <c r="D16" i="25"/>
  <c r="D15" i="25"/>
  <c r="E14" i="25"/>
  <c r="G14" i="25" s="1"/>
  <c r="D14" i="25"/>
  <c r="E13" i="25"/>
  <c r="D13" i="25"/>
  <c r="E12" i="25"/>
  <c r="G12" i="25"/>
  <c r="I12" i="25" s="1"/>
  <c r="D12" i="25"/>
  <c r="E11" i="25"/>
  <c r="G11" i="25" s="1"/>
  <c r="I11" i="25" s="1"/>
  <c r="D11" i="25"/>
  <c r="Q10" i="6"/>
  <c r="E10" i="25"/>
  <c r="E27" i="25"/>
  <c r="G27" i="25" s="1"/>
  <c r="I27" i="25" s="1"/>
  <c r="E15" i="25"/>
  <c r="G15" i="25" s="1"/>
  <c r="I15" i="25" s="1"/>
  <c r="E30" i="25"/>
  <c r="G30" i="25" s="1"/>
  <c r="E32" i="25"/>
  <c r="G32" i="25" s="1"/>
  <c r="E28" i="25"/>
  <c r="E16" i="25"/>
  <c r="E37" i="25"/>
  <c r="G37" i="25" s="1"/>
  <c r="Q42" i="6"/>
  <c r="E33" i="25" s="1"/>
  <c r="C68" i="28"/>
  <c r="AH17" i="28"/>
  <c r="G11" i="13"/>
  <c r="F11" i="13"/>
  <c r="G30" i="9"/>
  <c r="G29" i="9"/>
  <c r="G28" i="9"/>
  <c r="H28" i="9" s="1"/>
  <c r="G27" i="9"/>
  <c r="G26" i="9"/>
  <c r="G25" i="9"/>
  <c r="H25" i="9" s="1"/>
  <c r="G23" i="9"/>
  <c r="H23" i="9" s="1"/>
  <c r="G21" i="9"/>
  <c r="G19" i="9"/>
  <c r="G18" i="9"/>
  <c r="G17" i="9"/>
  <c r="H17" i="9" s="1"/>
  <c r="G16" i="9"/>
  <c r="G15" i="9" s="1"/>
  <c r="F30" i="9"/>
  <c r="F29" i="9"/>
  <c r="F28" i="9"/>
  <c r="F27" i="9"/>
  <c r="F26" i="9"/>
  <c r="F25" i="9"/>
  <c r="F23" i="9"/>
  <c r="F21" i="9"/>
  <c r="F19" i="9"/>
  <c r="F18" i="9"/>
  <c r="F17" i="9"/>
  <c r="F16"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s="1"/>
  <c r="D7" i="30"/>
  <c r="D20" i="30" s="1"/>
  <c r="T57" i="28"/>
  <c r="T58" i="28"/>
  <c r="T59" i="28"/>
  <c r="T61" i="28"/>
  <c r="T10" i="28" s="1"/>
  <c r="T64" i="28"/>
  <c r="T66" i="28"/>
  <c r="T67" i="28"/>
  <c r="T68" i="28"/>
  <c r="T70" i="28"/>
  <c r="T17" i="28"/>
  <c r="T31" i="28"/>
  <c r="T37" i="28"/>
  <c r="T36" i="28" s="1"/>
  <c r="T38" i="28"/>
  <c r="AA33" i="28"/>
  <c r="Y33" i="28"/>
  <c r="I70" i="9"/>
  <c r="E10" i="6"/>
  <c r="G10" i="6"/>
  <c r="H10" i="6"/>
  <c r="I10" i="6"/>
  <c r="J10" i="6"/>
  <c r="M10" i="6"/>
  <c r="N10" i="6"/>
  <c r="O10" i="6"/>
  <c r="P10" i="6"/>
  <c r="G52" i="10"/>
  <c r="H52" i="10" s="1"/>
  <c r="D33" i="20"/>
  <c r="D32" i="20"/>
  <c r="P42" i="6"/>
  <c r="J42" i="6"/>
  <c r="O42" i="6"/>
  <c r="I42" i="6"/>
  <c r="I55" i="6" s="1"/>
  <c r="N42" i="6"/>
  <c r="M42" i="6"/>
  <c r="H42" i="6"/>
  <c r="G42" i="6"/>
  <c r="E42" i="6"/>
  <c r="N30" i="6"/>
  <c r="N88" i="6" s="1"/>
  <c r="O30" i="6"/>
  <c r="P30" i="6"/>
  <c r="J30" i="6"/>
  <c r="M30" i="6"/>
  <c r="G30" i="6"/>
  <c r="H30" i="6"/>
  <c r="I30" i="6"/>
  <c r="E30" i="6"/>
  <c r="C8" i="20"/>
  <c r="R8" i="20"/>
  <c r="C10" i="20"/>
  <c r="D10" i="20"/>
  <c r="D11" i="20"/>
  <c r="D12" i="20"/>
  <c r="D13" i="20"/>
  <c r="D14" i="20"/>
  <c r="C15" i="20"/>
  <c r="C16" i="20"/>
  <c r="D16" i="20"/>
  <c r="D17" i="20"/>
  <c r="D18" i="20"/>
  <c r="D19" i="20"/>
  <c r="D20" i="20"/>
  <c r="C21" i="20"/>
  <c r="C22" i="20"/>
  <c r="D22" i="20"/>
  <c r="D23" i="20"/>
  <c r="D24" i="20"/>
  <c r="D25" i="20"/>
  <c r="D26" i="20"/>
  <c r="C27" i="20"/>
  <c r="C28" i="20"/>
  <c r="F14" i="7"/>
  <c r="F9" i="7" s="1"/>
  <c r="G14" i="7"/>
  <c r="H14" i="7" s="1"/>
  <c r="D11" i="33"/>
  <c r="D7" i="33"/>
  <c r="H7" i="33"/>
  <c r="G7" i="33"/>
  <c r="F7" i="33"/>
  <c r="E7" i="33"/>
  <c r="C66" i="33"/>
  <c r="C49" i="14"/>
  <c r="Q66" i="6"/>
  <c r="P66" i="6"/>
  <c r="O66" i="6"/>
  <c r="N66" i="6"/>
  <c r="M66" i="6"/>
  <c r="K66" i="6"/>
  <c r="J66" i="6"/>
  <c r="I66" i="6"/>
  <c r="H66" i="6"/>
  <c r="G66" i="6"/>
  <c r="Q8" i="6"/>
  <c r="P8" i="6"/>
  <c r="O8" i="6"/>
  <c r="N8" i="6"/>
  <c r="M8" i="6"/>
  <c r="K8" i="6"/>
  <c r="J8" i="6"/>
  <c r="I8" i="6"/>
  <c r="H8" i="6"/>
  <c r="G8" i="6"/>
  <c r="E8" i="6"/>
  <c r="C16" i="14"/>
  <c r="K106" i="6"/>
  <c r="J106" i="6"/>
  <c r="I106" i="6"/>
  <c r="H106" i="6"/>
  <c r="G106" i="6"/>
  <c r="Q105" i="6"/>
  <c r="P105" i="6"/>
  <c r="O105" i="6"/>
  <c r="N105" i="6"/>
  <c r="M105" i="6"/>
  <c r="K105" i="6"/>
  <c r="J105" i="6"/>
  <c r="I105" i="6"/>
  <c r="H105" i="6"/>
  <c r="G105" i="6"/>
  <c r="Q104" i="6"/>
  <c r="P104" i="6"/>
  <c r="O104" i="6"/>
  <c r="N104" i="6"/>
  <c r="M104" i="6"/>
  <c r="K104" i="6"/>
  <c r="J104" i="6"/>
  <c r="I104" i="6"/>
  <c r="H104" i="6"/>
  <c r="G104" i="6"/>
  <c r="Q103" i="6"/>
  <c r="P103" i="6"/>
  <c r="O103" i="6"/>
  <c r="N103" i="6"/>
  <c r="M103" i="6"/>
  <c r="K103" i="6"/>
  <c r="J103" i="6"/>
  <c r="I103" i="6"/>
  <c r="H103" i="6"/>
  <c r="G103" i="6"/>
  <c r="Q102" i="6"/>
  <c r="P102" i="6"/>
  <c r="O102" i="6"/>
  <c r="N102" i="6"/>
  <c r="M102" i="6"/>
  <c r="K102" i="6"/>
  <c r="J102" i="6"/>
  <c r="I102" i="6"/>
  <c r="H102" i="6"/>
  <c r="G102" i="6"/>
  <c r="Q101" i="6"/>
  <c r="P101" i="6"/>
  <c r="O101" i="6"/>
  <c r="N101" i="6"/>
  <c r="M101" i="6"/>
  <c r="K101" i="6"/>
  <c r="J101" i="6"/>
  <c r="I101" i="6"/>
  <c r="H101" i="6"/>
  <c r="G101" i="6"/>
  <c r="K99" i="6"/>
  <c r="J99" i="6"/>
  <c r="I99" i="6"/>
  <c r="H99" i="6"/>
  <c r="G99" i="6"/>
  <c r="Q98" i="6"/>
  <c r="P98" i="6"/>
  <c r="O98" i="6"/>
  <c r="N98" i="6"/>
  <c r="M98" i="6"/>
  <c r="K98" i="6"/>
  <c r="J98" i="6"/>
  <c r="I98" i="6"/>
  <c r="H98" i="6"/>
  <c r="G98" i="6"/>
  <c r="Q97" i="6"/>
  <c r="P97" i="6"/>
  <c r="O97" i="6"/>
  <c r="N97" i="6"/>
  <c r="M97" i="6"/>
  <c r="K97" i="6"/>
  <c r="J97" i="6"/>
  <c r="I97" i="6"/>
  <c r="H97" i="6"/>
  <c r="G97" i="6"/>
  <c r="Q96" i="6"/>
  <c r="P96" i="6"/>
  <c r="O96" i="6"/>
  <c r="N96" i="6"/>
  <c r="M96" i="6"/>
  <c r="K96" i="6"/>
  <c r="J96" i="6"/>
  <c r="I96" i="6"/>
  <c r="H96" i="6"/>
  <c r="G96" i="6"/>
  <c r="Q95" i="6"/>
  <c r="P95" i="6"/>
  <c r="O95" i="6"/>
  <c r="N95" i="6"/>
  <c r="M95" i="6"/>
  <c r="K95" i="6"/>
  <c r="J95" i="6"/>
  <c r="I95" i="6"/>
  <c r="H95" i="6"/>
  <c r="G95" i="6"/>
  <c r="Q94" i="6"/>
  <c r="P94" i="6"/>
  <c r="O94" i="6"/>
  <c r="N94" i="6"/>
  <c r="M94" i="6"/>
  <c r="K94" i="6"/>
  <c r="J94" i="6"/>
  <c r="I94" i="6"/>
  <c r="H94" i="6"/>
  <c r="G94" i="6"/>
  <c r="Q93" i="6"/>
  <c r="P93" i="6"/>
  <c r="O93" i="6"/>
  <c r="N93" i="6"/>
  <c r="M93" i="6"/>
  <c r="K93" i="6"/>
  <c r="J93" i="6"/>
  <c r="I93" i="6"/>
  <c r="H93" i="6"/>
  <c r="G93" i="6"/>
  <c r="Q92" i="6"/>
  <c r="P92" i="6"/>
  <c r="O92" i="6"/>
  <c r="N92" i="6"/>
  <c r="M92" i="6"/>
  <c r="K92" i="6"/>
  <c r="J92" i="6"/>
  <c r="I92" i="6"/>
  <c r="H92" i="6"/>
  <c r="G92" i="6"/>
  <c r="Q91" i="6"/>
  <c r="P91" i="6"/>
  <c r="O91" i="6"/>
  <c r="N91" i="6"/>
  <c r="M91" i="6"/>
  <c r="K91" i="6"/>
  <c r="J91" i="6"/>
  <c r="I91" i="6"/>
  <c r="H91" i="6"/>
  <c r="G91" i="6"/>
  <c r="Q90" i="6"/>
  <c r="P90" i="6"/>
  <c r="O90" i="6"/>
  <c r="N90" i="6"/>
  <c r="M90" i="6"/>
  <c r="K90" i="6"/>
  <c r="J90" i="6"/>
  <c r="I90" i="6"/>
  <c r="H90" i="6"/>
  <c r="G90" i="6"/>
  <c r="Q89" i="6"/>
  <c r="P89" i="6"/>
  <c r="O89" i="6"/>
  <c r="N89" i="6"/>
  <c r="M89" i="6"/>
  <c r="K89" i="6"/>
  <c r="J89" i="6"/>
  <c r="I89" i="6"/>
  <c r="H89" i="6"/>
  <c r="G89" i="6"/>
  <c r="K83" i="6"/>
  <c r="J83" i="6"/>
  <c r="I83" i="6"/>
  <c r="H83" i="6"/>
  <c r="G83" i="6"/>
  <c r="Q82" i="6"/>
  <c r="P82" i="6"/>
  <c r="O82" i="6"/>
  <c r="N82" i="6"/>
  <c r="M82" i="6"/>
  <c r="K82" i="6"/>
  <c r="J82" i="6"/>
  <c r="I82" i="6"/>
  <c r="H82" i="6"/>
  <c r="G82" i="6"/>
  <c r="Q81" i="6"/>
  <c r="P81" i="6"/>
  <c r="O81" i="6"/>
  <c r="N81" i="6"/>
  <c r="M81" i="6"/>
  <c r="K81" i="6"/>
  <c r="J81" i="6"/>
  <c r="I81" i="6"/>
  <c r="H81" i="6"/>
  <c r="G81" i="6"/>
  <c r="Q80" i="6"/>
  <c r="P80" i="6"/>
  <c r="O80" i="6"/>
  <c r="N80" i="6"/>
  <c r="M80" i="6"/>
  <c r="K80" i="6"/>
  <c r="J80" i="6"/>
  <c r="I80" i="6"/>
  <c r="H80" i="6"/>
  <c r="G80" i="6"/>
  <c r="Q79" i="6"/>
  <c r="P79" i="6"/>
  <c r="O79" i="6"/>
  <c r="N79" i="6"/>
  <c r="M79" i="6"/>
  <c r="K79" i="6"/>
  <c r="J79" i="6"/>
  <c r="I79" i="6"/>
  <c r="H79" i="6"/>
  <c r="G79" i="6"/>
  <c r="Q78" i="6"/>
  <c r="P78" i="6"/>
  <c r="O78" i="6"/>
  <c r="N78" i="6"/>
  <c r="M78" i="6"/>
  <c r="K78" i="6"/>
  <c r="J78" i="6"/>
  <c r="I78" i="6"/>
  <c r="H78" i="6"/>
  <c r="G78" i="6"/>
  <c r="K76" i="6"/>
  <c r="J76" i="6"/>
  <c r="I76" i="6"/>
  <c r="H76" i="6"/>
  <c r="G76" i="6"/>
  <c r="Q75" i="6"/>
  <c r="P75" i="6"/>
  <c r="O75" i="6"/>
  <c r="N75" i="6"/>
  <c r="M75" i="6"/>
  <c r="K75" i="6"/>
  <c r="J75" i="6"/>
  <c r="I75" i="6"/>
  <c r="H75" i="6"/>
  <c r="G75" i="6"/>
  <c r="Q74" i="6"/>
  <c r="P74" i="6"/>
  <c r="O74" i="6"/>
  <c r="N74" i="6"/>
  <c r="M74" i="6"/>
  <c r="K74" i="6"/>
  <c r="J74" i="6"/>
  <c r="I74" i="6"/>
  <c r="H74" i="6"/>
  <c r="G74" i="6"/>
  <c r="Q73" i="6"/>
  <c r="P73" i="6"/>
  <c r="O73" i="6"/>
  <c r="N73" i="6"/>
  <c r="M73" i="6"/>
  <c r="K73" i="6"/>
  <c r="J73" i="6"/>
  <c r="I73" i="6"/>
  <c r="H73" i="6"/>
  <c r="G73" i="6"/>
  <c r="Q72" i="6"/>
  <c r="P72" i="6"/>
  <c r="O72" i="6"/>
  <c r="N72" i="6"/>
  <c r="M72" i="6"/>
  <c r="K72" i="6"/>
  <c r="J72" i="6"/>
  <c r="I72" i="6"/>
  <c r="H72" i="6"/>
  <c r="G72" i="6"/>
  <c r="Q71" i="6"/>
  <c r="P71" i="6"/>
  <c r="O71" i="6"/>
  <c r="N71" i="6"/>
  <c r="M71" i="6"/>
  <c r="K71" i="6"/>
  <c r="J71" i="6"/>
  <c r="I71" i="6"/>
  <c r="H71" i="6"/>
  <c r="G71" i="6"/>
  <c r="Q70" i="6"/>
  <c r="P70" i="6"/>
  <c r="O70" i="6"/>
  <c r="N70" i="6"/>
  <c r="M70" i="6"/>
  <c r="K70" i="6"/>
  <c r="J70" i="6"/>
  <c r="I70" i="6"/>
  <c r="H70" i="6"/>
  <c r="G70" i="6"/>
  <c r="Q69" i="6"/>
  <c r="P69" i="6"/>
  <c r="O69" i="6"/>
  <c r="N69" i="6"/>
  <c r="M69" i="6"/>
  <c r="K69" i="6"/>
  <c r="J69" i="6"/>
  <c r="I69" i="6"/>
  <c r="H69" i="6"/>
  <c r="G69" i="6"/>
  <c r="M65" i="6"/>
  <c r="C84" i="12"/>
  <c r="C84" i="11" s="1"/>
  <c r="F14" i="9"/>
  <c r="I14" i="9" s="1"/>
  <c r="F14" i="10"/>
  <c r="F12" i="9" s="1"/>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4" i="14"/>
  <c r="C48" i="14"/>
  <c r="C25" i="17"/>
  <c r="S11" i="28"/>
  <c r="F35" i="10"/>
  <c r="C77" i="28"/>
  <c r="D77" i="28"/>
  <c r="E4" i="4"/>
  <c r="D57" i="28"/>
  <c r="C57" i="28"/>
  <c r="D59" i="28"/>
  <c r="C59" i="28"/>
  <c r="D72" i="28"/>
  <c r="D57" i="20"/>
  <c r="D67" i="28"/>
  <c r="D68" i="28"/>
  <c r="D35" i="20"/>
  <c r="D58" i="20"/>
  <c r="D76" i="28"/>
  <c r="D84" i="28"/>
  <c r="C70" i="28"/>
  <c r="D70" i="28"/>
  <c r="C50"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0"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s="1"/>
  <c r="J5" i="10"/>
  <c r="D86" i="28"/>
  <c r="G15" i="11"/>
  <c r="F15" i="11"/>
  <c r="I11" i="10"/>
  <c r="S28" i="28"/>
  <c r="C61" i="28"/>
  <c r="I16" i="13"/>
  <c r="I13" i="13"/>
  <c r="I12" i="13"/>
  <c r="I10" i="13"/>
  <c r="S21" i="28"/>
  <c r="D534" i="27"/>
  <c r="D545" i="27"/>
  <c r="D58" i="28"/>
  <c r="C58" i="28"/>
  <c r="C56" i="28"/>
  <c r="D97" i="27"/>
  <c r="C15" i="10"/>
  <c r="E5" i="28"/>
  <c r="AH39" i="28"/>
  <c r="AH32" i="28"/>
  <c r="AH20" i="28"/>
  <c r="AH19" i="28"/>
  <c r="AH18" i="28" s="1"/>
  <c r="AH14" i="28"/>
  <c r="AH13" i="28"/>
  <c r="AH11" i="28"/>
  <c r="T39" i="28"/>
  <c r="S39" i="28"/>
  <c r="T32" i="28"/>
  <c r="S32" i="28"/>
  <c r="S26" i="28"/>
  <c r="T20" i="28"/>
  <c r="S20" i="28"/>
  <c r="T19" i="28"/>
  <c r="S19" i="28"/>
  <c r="T14" i="28"/>
  <c r="S14" i="28"/>
  <c r="T13" i="28"/>
  <c r="S13"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s="1"/>
  <c r="AG34" i="28" s="1"/>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H36" i="28" s="1"/>
  <c r="H34" i="28" s="1"/>
  <c r="H47" i="28" s="1"/>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E25" i="28" s="1"/>
  <c r="AE41" i="28" s="1"/>
  <c r="AD32" i="28"/>
  <c r="AC32" i="28"/>
  <c r="AA32" i="28"/>
  <c r="Z32" i="28"/>
  <c r="Y32" i="28"/>
  <c r="X32" i="28"/>
  <c r="W32" i="28"/>
  <c r="V32" i="28"/>
  <c r="AG31" i="28"/>
  <c r="AG29" i="28" s="1"/>
  <c r="AG25" i="28" s="1"/>
  <c r="AG41" i="28" s="1"/>
  <c r="AF31" i="28"/>
  <c r="AE31" i="28"/>
  <c r="AD31" i="28"/>
  <c r="AC31" i="28"/>
  <c r="AA31" i="28"/>
  <c r="Z31" i="28"/>
  <c r="Y31" i="28"/>
  <c r="X31" i="28"/>
  <c r="W31" i="28"/>
  <c r="V31" i="28"/>
  <c r="AG30" i="28"/>
  <c r="AF30"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I29" i="28" s="1"/>
  <c r="I25" i="28" s="1"/>
  <c r="I41" i="28" s="1"/>
  <c r="G31" i="28"/>
  <c r="R30" i="28"/>
  <c r="Q30" i="28"/>
  <c r="P30" i="28"/>
  <c r="O30" i="28"/>
  <c r="N30" i="28"/>
  <c r="M30" i="28"/>
  <c r="L30" i="28"/>
  <c r="K30" i="28"/>
  <c r="K29" i="28" s="1"/>
  <c r="J30" i="28"/>
  <c r="I30" i="28"/>
  <c r="H30" i="28"/>
  <c r="G30" i="28"/>
  <c r="G29" i="28" s="1"/>
  <c r="G25" i="28" s="1"/>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H25" i="28" s="1"/>
  <c r="H41" i="28" s="1"/>
  <c r="G26" i="28"/>
  <c r="AG21" i="28"/>
  <c r="AF21" i="28"/>
  <c r="AE21" i="28"/>
  <c r="AD21" i="28"/>
  <c r="AC21" i="28"/>
  <c r="AA21" i="28"/>
  <c r="Z21" i="28"/>
  <c r="Y21" i="28"/>
  <c r="X21" i="28"/>
  <c r="W21" i="28"/>
  <c r="V21" i="28"/>
  <c r="AG20" i="28"/>
  <c r="AF20" i="28"/>
  <c r="AE20" i="28"/>
  <c r="AD20" i="28"/>
  <c r="AC20" i="28"/>
  <c r="AA20" i="28"/>
  <c r="Z20" i="28"/>
  <c r="Y20" i="28"/>
  <c r="X20" i="28"/>
  <c r="W20" i="28"/>
  <c r="V20" i="28"/>
  <c r="V18" i="28" s="1"/>
  <c r="V16" i="28" s="1"/>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s="1"/>
  <c r="P20" i="28"/>
  <c r="O20" i="28"/>
  <c r="N20" i="28"/>
  <c r="M20" i="28"/>
  <c r="L20" i="28"/>
  <c r="K20" i="28"/>
  <c r="J20" i="28"/>
  <c r="I20" i="28"/>
  <c r="H20" i="28"/>
  <c r="G20" i="28"/>
  <c r="R19" i="28"/>
  <c r="Q19" i="28"/>
  <c r="P19" i="28"/>
  <c r="P17" i="28"/>
  <c r="O19" i="28"/>
  <c r="N19" i="28"/>
  <c r="M19" i="28"/>
  <c r="L19" i="28"/>
  <c r="K19" i="28"/>
  <c r="J19" i="28"/>
  <c r="I19" i="28"/>
  <c r="H19" i="28"/>
  <c r="G19" i="28"/>
  <c r="G18" i="28" s="1"/>
  <c r="G16" i="28" s="1"/>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s="1"/>
  <c r="P14" i="28"/>
  <c r="O14" i="28"/>
  <c r="N14" i="28"/>
  <c r="M14" i="28"/>
  <c r="L14" i="28"/>
  <c r="K14" i="28"/>
  <c r="J14" i="28"/>
  <c r="J12" i="28" s="1"/>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J10" i="28"/>
  <c r="I10" i="28"/>
  <c r="H10" i="28"/>
  <c r="AG9" i="28"/>
  <c r="AF9" i="28"/>
  <c r="AE9" i="28"/>
  <c r="AD9" i="28"/>
  <c r="AC9" i="28"/>
  <c r="AA9" i="28"/>
  <c r="Z9" i="28"/>
  <c r="Y9" i="28"/>
  <c r="X9" i="28"/>
  <c r="W9" i="28"/>
  <c r="V9" i="28"/>
  <c r="R9" i="28"/>
  <c r="Q9" i="28"/>
  <c r="P9" i="28"/>
  <c r="O9" i="28"/>
  <c r="N9" i="28"/>
  <c r="M9" i="28"/>
  <c r="L9" i="28"/>
  <c r="K9" i="28"/>
  <c r="J9" i="28"/>
  <c r="I9" i="28"/>
  <c r="I8" i="28" s="1"/>
  <c r="H9" i="28"/>
  <c r="C95" i="28"/>
  <c r="C93" i="28"/>
  <c r="C92" i="28"/>
  <c r="C91" i="28"/>
  <c r="C90" i="28"/>
  <c r="R15" i="28"/>
  <c r="Q15" i="28"/>
  <c r="P15" i="28"/>
  <c r="O15" i="28"/>
  <c r="N15" i="28"/>
  <c r="M15" i="28"/>
  <c r="L15" i="28"/>
  <c r="K15" i="28"/>
  <c r="I15" i="28"/>
  <c r="H15" i="28"/>
  <c r="H8" i="28" s="1"/>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40"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E17" i="24"/>
  <c r="F16" i="24"/>
  <c r="E16" i="24"/>
  <c r="F14" i="24"/>
  <c r="E14" i="24"/>
  <c r="F13" i="24"/>
  <c r="K13" i="24" s="1"/>
  <c r="E13" i="24"/>
  <c r="I13" i="24" s="1"/>
  <c r="D56" i="20"/>
  <c r="D55" i="20"/>
  <c r="D53" i="20"/>
  <c r="D52" i="20"/>
  <c r="D51" i="20"/>
  <c r="D50" i="20"/>
  <c r="D49" i="20"/>
  <c r="D48" i="20"/>
  <c r="D47" i="20"/>
  <c r="D46" i="20"/>
  <c r="D45" i="20"/>
  <c r="D44" i="20"/>
  <c r="R41"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3" i="15"/>
  <c r="C22" i="15"/>
  <c r="C21" i="15"/>
  <c r="C20" i="15"/>
  <c r="C19" i="15"/>
  <c r="C18" i="15"/>
  <c r="C17" i="15"/>
  <c r="C16" i="15"/>
  <c r="C15" i="15"/>
  <c r="C14" i="15"/>
  <c r="C13" i="15"/>
  <c r="C12" i="15"/>
  <c r="C11" i="15"/>
  <c r="C10" i="15"/>
  <c r="C9" i="15"/>
  <c r="C8" i="15"/>
  <c r="C82" i="14"/>
  <c r="C78" i="14"/>
  <c r="C77" i="14"/>
  <c r="C76" i="14"/>
  <c r="C74" i="14"/>
  <c r="C73" i="14"/>
  <c r="C72" i="14"/>
  <c r="C71" i="14"/>
  <c r="C69" i="14"/>
  <c r="C67" i="14"/>
  <c r="C65" i="14"/>
  <c r="C64" i="14"/>
  <c r="C63" i="14"/>
  <c r="C62" i="14"/>
  <c r="C61" i="14"/>
  <c r="C60" i="14"/>
  <c r="C59" i="14"/>
  <c r="C58" i="14"/>
  <c r="C57" i="14"/>
  <c r="C56" i="14"/>
  <c r="C55" i="14"/>
  <c r="C53" i="14"/>
  <c r="C52" i="14"/>
  <c r="C51" i="14"/>
  <c r="C47" i="14"/>
  <c r="C46" i="14"/>
  <c r="C45" i="14"/>
  <c r="C44" i="14"/>
  <c r="C43" i="14"/>
  <c r="C42"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s="1"/>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s="1"/>
  <c r="C35" i="12"/>
  <c r="C34" i="12"/>
  <c r="C32" i="12"/>
  <c r="C30" i="12"/>
  <c r="I29" i="12"/>
  <c r="C29" i="12"/>
  <c r="I28" i="12"/>
  <c r="C28" i="12"/>
  <c r="I27" i="12"/>
  <c r="C27" i="12"/>
  <c r="I26" i="12"/>
  <c r="C26" i="12"/>
  <c r="I25" i="12"/>
  <c r="C25" i="12"/>
  <c r="G24" i="12"/>
  <c r="F24" i="12"/>
  <c r="I24" i="12" s="1"/>
  <c r="C24" i="12"/>
  <c r="I23" i="12"/>
  <c r="C23" i="12"/>
  <c r="C22" i="12"/>
  <c r="C21" i="12"/>
  <c r="I20" i="12"/>
  <c r="C20" i="12"/>
  <c r="I19" i="12"/>
  <c r="C19" i="12"/>
  <c r="I18" i="12"/>
  <c r="C18" i="12"/>
  <c r="I17" i="12"/>
  <c r="C17" i="12"/>
  <c r="C16" i="12"/>
  <c r="C15" i="12"/>
  <c r="I14" i="12"/>
  <c r="C14" i="12"/>
  <c r="I13" i="12"/>
  <c r="C13" i="12"/>
  <c r="I12" i="12"/>
  <c r="C12" i="12"/>
  <c r="I11" i="12"/>
  <c r="C11" i="12"/>
  <c r="G10" i="12"/>
  <c r="F10" i="12"/>
  <c r="F9" i="12" s="1"/>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G9" i="11" s="1"/>
  <c r="F10" i="11"/>
  <c r="F9" i="11" s="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s="1"/>
  <c r="C35" i="10"/>
  <c r="I34" i="10"/>
  <c r="C34" i="10"/>
  <c r="I33" i="10"/>
  <c r="C33" i="10"/>
  <c r="I32" i="10"/>
  <c r="C32" i="10"/>
  <c r="I31" i="10"/>
  <c r="C31" i="10"/>
  <c r="C30" i="10"/>
  <c r="C29" i="10"/>
  <c r="C28" i="10"/>
  <c r="I26" i="10"/>
  <c r="C26" i="10"/>
  <c r="I25" i="10"/>
  <c r="C25" i="10"/>
  <c r="G24" i="10"/>
  <c r="F24" i="10"/>
  <c r="F13" i="9" s="1"/>
  <c r="C24" i="10"/>
  <c r="I22" i="10"/>
  <c r="C22" i="10"/>
  <c r="I21" i="10"/>
  <c r="C21" i="10"/>
  <c r="I20" i="10"/>
  <c r="C20" i="10"/>
  <c r="I19" i="10"/>
  <c r="C19" i="10"/>
  <c r="I18" i="10"/>
  <c r="C18" i="10"/>
  <c r="I17" i="10"/>
  <c r="C17" i="10"/>
  <c r="I16" i="10"/>
  <c r="C16" i="10"/>
  <c r="I15" i="10"/>
  <c r="C14" i="10"/>
  <c r="I13" i="10"/>
  <c r="C13" i="10"/>
  <c r="I12" i="10"/>
  <c r="C12" i="10"/>
  <c r="C11" i="10"/>
  <c r="F11" i="9"/>
  <c r="C10" i="10"/>
  <c r="C9" i="10"/>
  <c r="I7" i="10"/>
  <c r="G6" i="10"/>
  <c r="C77" i="9"/>
  <c r="C72" i="9"/>
  <c r="C71" i="9"/>
  <c r="C70" i="9"/>
  <c r="C69" i="9"/>
  <c r="C68" i="9"/>
  <c r="C66" i="9"/>
  <c r="C65" i="9"/>
  <c r="C64" i="9"/>
  <c r="C63" i="9"/>
  <c r="C61" i="9"/>
  <c r="C59" i="9"/>
  <c r="C57" i="9"/>
  <c r="I56" i="9"/>
  <c r="C56" i="9"/>
  <c r="I55" i="9"/>
  <c r="C55" i="9"/>
  <c r="I54" i="9"/>
  <c r="C54" i="9"/>
  <c r="I53" i="9"/>
  <c r="C53" i="9"/>
  <c r="I52" i="9"/>
  <c r="C52" i="9"/>
  <c r="G51" i="9"/>
  <c r="G49" i="9" s="1"/>
  <c r="F51" i="9"/>
  <c r="F49" i="9" s="1"/>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I43" i="8" s="1"/>
  <c r="F43" i="8"/>
  <c r="C43" i="8"/>
  <c r="I42" i="8"/>
  <c r="C42" i="8"/>
  <c r="C41" i="8"/>
  <c r="C40" i="8"/>
  <c r="I39" i="8"/>
  <c r="C39" i="8"/>
  <c r="I38" i="8"/>
  <c r="C38" i="8"/>
  <c r="I37" i="8"/>
  <c r="C37" i="8"/>
  <c r="I36" i="8"/>
  <c r="C36" i="8"/>
  <c r="G35" i="8"/>
  <c r="F35" i="8"/>
  <c r="I35" i="8" s="1"/>
  <c r="C35" i="8"/>
  <c r="I34" i="8"/>
  <c r="C34" i="8"/>
  <c r="I33" i="8"/>
  <c r="C33" i="8"/>
  <c r="I32" i="8"/>
  <c r="C32" i="8"/>
  <c r="I31" i="8"/>
  <c r="C31" i="8"/>
  <c r="I30" i="8"/>
  <c r="C30" i="8"/>
  <c r="G29" i="8"/>
  <c r="G28" i="8" s="1"/>
  <c r="F29" i="8"/>
  <c r="C29" i="8"/>
  <c r="C28" i="8"/>
  <c r="C26" i="8"/>
  <c r="C24" i="8"/>
  <c r="I23" i="8"/>
  <c r="C23" i="8"/>
  <c r="I22" i="8"/>
  <c r="C22" i="8"/>
  <c r="I21" i="8"/>
  <c r="C21" i="8"/>
  <c r="G20" i="8"/>
  <c r="F20" i="8"/>
  <c r="C20" i="8"/>
  <c r="I19" i="8"/>
  <c r="C19" i="8"/>
  <c r="C18" i="8"/>
  <c r="C17" i="8"/>
  <c r="I16" i="8"/>
  <c r="C16" i="8"/>
  <c r="I15" i="8"/>
  <c r="C15" i="8"/>
  <c r="I14" i="8"/>
  <c r="C14" i="8"/>
  <c r="G13" i="8"/>
  <c r="G8" i="8" s="1"/>
  <c r="F13" i="8"/>
  <c r="C13" i="8"/>
  <c r="I12" i="8"/>
  <c r="I11" i="8"/>
  <c r="C11" i="8"/>
  <c r="I10" i="8"/>
  <c r="C10" i="8"/>
  <c r="G9" i="8"/>
  <c r="H9" i="8" s="1"/>
  <c r="F9" i="8"/>
  <c r="C9" i="8"/>
  <c r="C8" i="8"/>
  <c r="C61" i="7"/>
  <c r="C60" i="7"/>
  <c r="C59" i="7"/>
  <c r="C58" i="7"/>
  <c r="C57" i="7"/>
  <c r="C56" i="7"/>
  <c r="C55" i="7"/>
  <c r="C54" i="7"/>
  <c r="C52" i="7"/>
  <c r="C50" i="7"/>
  <c r="C48" i="7"/>
  <c r="C47" i="7"/>
  <c r="I46" i="7"/>
  <c r="C46" i="7"/>
  <c r="C45" i="7"/>
  <c r="G44" i="7"/>
  <c r="H44" i="7" s="1"/>
  <c r="F44" i="7"/>
  <c r="C44" i="7"/>
  <c r="C43" i="7"/>
  <c r="C42" i="7"/>
  <c r="C41" i="7"/>
  <c r="I40" i="7"/>
  <c r="C40" i="7"/>
  <c r="C39" i="7"/>
  <c r="C38" i="7"/>
  <c r="C37" i="7"/>
  <c r="G36" i="7"/>
  <c r="H36" i="7" s="1"/>
  <c r="F36" i="7"/>
  <c r="I36" i="7" s="1"/>
  <c r="C36" i="7"/>
  <c r="I34" i="7"/>
  <c r="C34" i="7"/>
  <c r="C33" i="7"/>
  <c r="C32" i="7"/>
  <c r="C31" i="7"/>
  <c r="G30" i="7"/>
  <c r="H30" i="7" s="1"/>
  <c r="F30" i="7"/>
  <c r="E12" i="24" s="1"/>
  <c r="C30" i="7"/>
  <c r="C29" i="7"/>
  <c r="C27" i="7"/>
  <c r="C25" i="7"/>
  <c r="C24" i="7"/>
  <c r="I23" i="7"/>
  <c r="C23" i="7"/>
  <c r="C22" i="7"/>
  <c r="G21" i="7"/>
  <c r="H21" i="7" s="1"/>
  <c r="F21" i="7"/>
  <c r="C21" i="7"/>
  <c r="C20" i="7"/>
  <c r="C19" i="7"/>
  <c r="C18" i="7"/>
  <c r="I17" i="7"/>
  <c r="C17" i="7"/>
  <c r="C16" i="7"/>
  <c r="C15" i="7"/>
  <c r="C14" i="7"/>
  <c r="C13" i="7"/>
  <c r="I12" i="7"/>
  <c r="C12" i="7"/>
  <c r="C11" i="7"/>
  <c r="G10" i="7"/>
  <c r="H10" i="7" s="1"/>
  <c r="F10" i="7"/>
  <c r="C10" i="7"/>
  <c r="C9" i="7"/>
  <c r="I7" i="7"/>
  <c r="C2" i="6"/>
  <c r="C7" i="4"/>
  <c r="C6" i="4"/>
  <c r="G4" i="4"/>
  <c r="I16" i="12"/>
  <c r="Q10" i="28"/>
  <c r="G15" i="28"/>
  <c r="H31" i="28"/>
  <c r="J15" i="28"/>
  <c r="I23" i="13"/>
  <c r="I45" i="11"/>
  <c r="F41" i="11"/>
  <c r="F51" i="11"/>
  <c r="F49" i="11" s="1"/>
  <c r="G51" i="11"/>
  <c r="I51" i="11" s="1"/>
  <c r="I55" i="11"/>
  <c r="I43" i="11"/>
  <c r="G41" i="11"/>
  <c r="I41" i="11" s="1"/>
  <c r="I53" i="11"/>
  <c r="I52" i="11"/>
  <c r="AE27" i="28"/>
  <c r="F20" i="15"/>
  <c r="S30" i="28"/>
  <c r="H22" i="15"/>
  <c r="G20" i="15"/>
  <c r="AH31" i="28"/>
  <c r="G11" i="9"/>
  <c r="H11" i="9" s="1"/>
  <c r="H10" i="10"/>
  <c r="G12" i="9"/>
  <c r="H14" i="10"/>
  <c r="K14" i="24"/>
  <c r="H71" i="33"/>
  <c r="Y18" i="28"/>
  <c r="I81" i="33"/>
  <c r="I13" i="8"/>
  <c r="W29" i="28"/>
  <c r="I45" i="10"/>
  <c r="G9" i="10"/>
  <c r="H9" i="10" s="1"/>
  <c r="Q88" i="6"/>
  <c r="X36" i="28"/>
  <c r="X34" i="28" s="1"/>
  <c r="G12" i="28"/>
  <c r="R12" i="28"/>
  <c r="R8" i="28"/>
  <c r="AG18" i="28"/>
  <c r="AG16" i="28" s="1"/>
  <c r="AG47" i="28" s="1"/>
  <c r="J36" i="28"/>
  <c r="J34" i="28" s="1"/>
  <c r="AF18" i="28"/>
  <c r="AF16" i="28" s="1"/>
  <c r="L12" i="28"/>
  <c r="L8" i="28"/>
  <c r="G16" i="25"/>
  <c r="N15" i="34"/>
  <c r="G20" i="9"/>
  <c r="I24" i="11"/>
  <c r="G42" i="7"/>
  <c r="H42" i="7" s="1"/>
  <c r="F19" i="7"/>
  <c r="G9" i="7"/>
  <c r="H9" i="7" s="1"/>
  <c r="Z18" i="28"/>
  <c r="Z16" i="28" s="1"/>
  <c r="G36" i="28"/>
  <c r="G34" i="28" s="1"/>
  <c r="AE12" i="28"/>
  <c r="AE8" i="28" s="1"/>
  <c r="AE18" i="28"/>
  <c r="AE16" i="28" s="1"/>
  <c r="AE47" i="28" s="1"/>
  <c r="N12" i="28"/>
  <c r="N8" i="28"/>
  <c r="N36" i="28"/>
  <c r="N34" i="28" s="1"/>
  <c r="Y36" i="28"/>
  <c r="Y34" i="28" s="1"/>
  <c r="O12" i="28"/>
  <c r="O8" i="28" s="1"/>
  <c r="W12" i="28"/>
  <c r="W8" i="28" s="1"/>
  <c r="P36" i="28"/>
  <c r="P34" i="28" s="1"/>
  <c r="AA36" i="28"/>
  <c r="AA34" i="28" s="1"/>
  <c r="F8" i="8"/>
  <c r="I9" i="8"/>
  <c r="I19" i="9"/>
  <c r="K36" i="28"/>
  <c r="L36" i="28"/>
  <c r="W36" i="28"/>
  <c r="W34" i="28"/>
  <c r="H15" i="34"/>
  <c r="N14" i="34"/>
  <c r="V29" i="28"/>
  <c r="AA12" i="28"/>
  <c r="AE36" i="28"/>
  <c r="AE34" i="28"/>
  <c r="Z29" i="28"/>
  <c r="Z25" i="28"/>
  <c r="AF36" i="28"/>
  <c r="AF34" i="28"/>
  <c r="R18" i="28"/>
  <c r="R16" i="28" s="1"/>
  <c r="AC18" i="28"/>
  <c r="AC16" i="28" s="1"/>
  <c r="G18" i="25"/>
  <c r="I18" i="25" s="1"/>
  <c r="AG12" i="28"/>
  <c r="AG8" i="28" s="1"/>
  <c r="T9" i="28"/>
  <c r="O29" i="28"/>
  <c r="O25" i="28" s="1"/>
  <c r="V12" i="28"/>
  <c r="V8" i="28"/>
  <c r="I18" i="28"/>
  <c r="I16" i="28" s="1"/>
  <c r="I47" i="28" s="1"/>
  <c r="I30" i="10"/>
  <c r="I18" i="24"/>
  <c r="I14" i="24"/>
  <c r="K18" i="24"/>
  <c r="F29" i="7"/>
  <c r="I18" i="9"/>
  <c r="H29" i="28"/>
  <c r="L18" i="28"/>
  <c r="L16" i="28" s="1"/>
  <c r="L29" i="28"/>
  <c r="AH9" i="28"/>
  <c r="N29" i="28"/>
  <c r="N25" i="28" s="1"/>
  <c r="AH38" i="28"/>
  <c r="AH33" i="28"/>
  <c r="R36" i="28"/>
  <c r="I29" i="6"/>
  <c r="M29" i="6"/>
  <c r="J29" i="6"/>
  <c r="D17" i="25"/>
  <c r="N9" i="6"/>
  <c r="I9" i="6"/>
  <c r="H32" i="15"/>
  <c r="H9" i="15"/>
  <c r="I30" i="13"/>
  <c r="F29" i="13"/>
  <c r="F22" i="11"/>
  <c r="F41" i="8"/>
  <c r="G18" i="8"/>
  <c r="F42" i="7"/>
  <c r="G29" i="7"/>
  <c r="H29" i="7" s="1"/>
  <c r="F15" i="24"/>
  <c r="I15" i="11"/>
  <c r="G8" i="15"/>
  <c r="G29" i="15" s="1"/>
  <c r="K13" i="34" s="1"/>
  <c r="G9" i="12"/>
  <c r="H9" i="12" s="1"/>
  <c r="I28" i="9"/>
  <c r="H63" i="14"/>
  <c r="T15" i="28"/>
  <c r="G29" i="25"/>
  <c r="I11" i="13"/>
  <c r="I15" i="12"/>
  <c r="J100" i="6"/>
  <c r="T30" i="28"/>
  <c r="T29" i="28" s="1"/>
  <c r="AH27" i="28"/>
  <c r="M18" i="28"/>
  <c r="AH30" i="28"/>
  <c r="N68" i="6"/>
  <c r="I30" i="7"/>
  <c r="H68" i="6"/>
  <c r="J88" i="6"/>
  <c r="AA18" i="28"/>
  <c r="AA16" i="28" s="1"/>
  <c r="H55" i="6"/>
  <c r="I14" i="10"/>
  <c r="I26" i="9"/>
  <c r="I44" i="7"/>
  <c r="F28" i="8"/>
  <c r="F49" i="8" s="1"/>
  <c r="H18" i="28"/>
  <c r="H16" i="28"/>
  <c r="M77" i="6"/>
  <c r="T27" i="28"/>
  <c r="I10" i="10"/>
  <c r="H100" i="6"/>
  <c r="J27" i="28"/>
  <c r="J25" i="28" s="1"/>
  <c r="J41" i="28" s="1"/>
  <c r="AH10" i="28"/>
  <c r="AH15" i="28"/>
  <c r="I71" i="9"/>
  <c r="F20" i="9"/>
  <c r="I20" i="9" s="1"/>
  <c r="F9" i="10"/>
  <c r="N100" i="6"/>
  <c r="G77" i="6"/>
  <c r="M55" i="6"/>
  <c r="G13" i="25"/>
  <c r="I13" i="25" s="1"/>
  <c r="E55" i="6"/>
  <c r="E29" i="6"/>
  <c r="P29" i="6"/>
  <c r="H29" i="6"/>
  <c r="N55" i="6"/>
  <c r="N77" i="6"/>
  <c r="H9" i="6"/>
  <c r="D10" i="25"/>
  <c r="G9" i="6"/>
  <c r="I17" i="24"/>
  <c r="K17" i="24"/>
  <c r="G34" i="9"/>
  <c r="I41" i="9"/>
  <c r="I11" i="9"/>
  <c r="G22" i="11"/>
  <c r="I23" i="9"/>
  <c r="I24" i="13"/>
  <c r="I36" i="13"/>
  <c r="G29" i="13"/>
  <c r="K12" i="28"/>
  <c r="K8" i="28"/>
  <c r="O9" i="6"/>
  <c r="H28" i="14"/>
  <c r="R29" i="28"/>
  <c r="R25" i="28"/>
  <c r="AE29" i="28"/>
  <c r="K88" i="6"/>
  <c r="I88" i="6"/>
  <c r="O15" i="34"/>
  <c r="I15" i="34"/>
  <c r="O18" i="28"/>
  <c r="O16" i="28"/>
  <c r="W18" i="28"/>
  <c r="W16" i="28"/>
  <c r="W47" i="28" s="1"/>
  <c r="M29" i="28"/>
  <c r="Q36" i="28"/>
  <c r="Q34" i="28" s="1"/>
  <c r="Y16" i="28"/>
  <c r="I12" i="28"/>
  <c r="J29" i="28"/>
  <c r="X29" i="28"/>
  <c r="M36" i="28"/>
  <c r="M34" i="28" s="1"/>
  <c r="L34" i="28"/>
  <c r="X12" i="28"/>
  <c r="X8" i="28" s="1"/>
  <c r="AC29" i="28"/>
  <c r="Z12" i="28"/>
  <c r="Z8" i="28" s="1"/>
  <c r="Z46" i="28" s="1"/>
  <c r="Z36" i="28"/>
  <c r="Z34" i="28" s="1"/>
  <c r="Z41" i="28" s="1"/>
  <c r="AC12" i="28"/>
  <c r="W25" i="28"/>
  <c r="AF29" i="28"/>
  <c r="AF25" i="28"/>
  <c r="AF41" i="28" s="1"/>
  <c r="AD36" i="28"/>
  <c r="AD34" i="28" s="1"/>
  <c r="AF12" i="28"/>
  <c r="AF8" i="28"/>
  <c r="AF46" i="28" s="1"/>
  <c r="T12" i="28"/>
  <c r="P18" i="28"/>
  <c r="P16" i="28" s="1"/>
  <c r="P47" i="28" s="1"/>
  <c r="I36" i="28"/>
  <c r="I34" i="28"/>
  <c r="H12" i="28"/>
  <c r="P12" i="28"/>
  <c r="K18" i="28"/>
  <c r="K16" i="28" s="1"/>
  <c r="Q29" i="28"/>
  <c r="Q25" i="28"/>
  <c r="Q41" i="28" s="1"/>
  <c r="F66" i="33"/>
  <c r="I29" i="25"/>
  <c r="E81" i="33"/>
  <c r="J50" i="6"/>
  <c r="W41" i="28"/>
  <c r="W100" i="28" s="1"/>
  <c r="G27" i="6"/>
  <c r="N67" i="6"/>
  <c r="G45" i="13"/>
  <c r="E38" i="30"/>
  <c r="G38" i="30"/>
  <c r="H18" i="9"/>
  <c r="G10" i="9"/>
  <c r="D24" i="9"/>
  <c r="D22" i="9" s="1"/>
  <c r="H26" i="9"/>
  <c r="E8" i="15"/>
  <c r="H14" i="15"/>
  <c r="D29" i="15"/>
  <c r="E60" i="15"/>
  <c r="E29" i="15"/>
  <c r="H47" i="15"/>
  <c r="D61" i="15"/>
  <c r="D54" i="15"/>
  <c r="S55" i="6"/>
  <c r="N27" i="6"/>
  <c r="I77" i="6"/>
  <c r="O27" i="6"/>
  <c r="O77" i="6"/>
  <c r="O68" i="6"/>
  <c r="P9" i="6"/>
  <c r="C5" i="9"/>
  <c r="E107" i="37"/>
  <c r="D152" i="37"/>
  <c r="E31" i="37"/>
  <c r="E11" i="37"/>
  <c r="E120" i="37"/>
  <c r="E43" i="37"/>
  <c r="H29" i="9"/>
  <c r="I29" i="9"/>
  <c r="E64" i="12"/>
  <c r="F49" i="12"/>
  <c r="F138" i="37"/>
  <c r="F165" i="37" s="1"/>
  <c r="G22" i="12"/>
  <c r="H24" i="12"/>
  <c r="D161" i="37"/>
  <c r="E130" i="37"/>
  <c r="C5" i="13"/>
  <c r="H17" i="13"/>
  <c r="I17" i="13"/>
  <c r="I54" i="10"/>
  <c r="F52" i="10"/>
  <c r="I52" i="10" s="1"/>
  <c r="E64" i="11"/>
  <c r="C6" i="33"/>
  <c r="I27" i="9"/>
  <c r="F24" i="9"/>
  <c r="F22" i="9" s="1"/>
  <c r="C6" i="35"/>
  <c r="C5" i="12"/>
  <c r="C64" i="6"/>
  <c r="C5" i="31"/>
  <c r="C5" i="30"/>
  <c r="C5" i="11"/>
  <c r="C5" i="19"/>
  <c r="C5" i="17"/>
  <c r="C5" i="34"/>
  <c r="C5" i="18"/>
  <c r="C5" i="15"/>
  <c r="C5" i="10"/>
  <c r="C5" i="6"/>
  <c r="C4" i="8"/>
  <c r="C8" i="24" s="1"/>
  <c r="C5" i="14"/>
  <c r="H41" i="12"/>
  <c r="I41" i="12"/>
  <c r="D32" i="11"/>
  <c r="D64" i="11"/>
  <c r="C5" i="20"/>
  <c r="I35" i="10"/>
  <c r="G29" i="10"/>
  <c r="G28" i="10" s="1"/>
  <c r="C73" i="15"/>
  <c r="C76" i="12"/>
  <c r="R44" i="20"/>
  <c r="E12" i="9"/>
  <c r="H12" i="9" s="1"/>
  <c r="C54" i="13"/>
  <c r="E29" i="10"/>
  <c r="E28" i="10" s="1"/>
  <c r="H16" i="9"/>
  <c r="C59" i="8"/>
  <c r="C79" i="14"/>
  <c r="D56" i="15"/>
  <c r="D58" i="15"/>
  <c r="I15" i="13"/>
  <c r="D68" i="15"/>
  <c r="D59" i="15"/>
  <c r="E20" i="37" l="1"/>
  <c r="AD29" i="28"/>
  <c r="AD25" i="28" s="1"/>
  <c r="Q100" i="6"/>
  <c r="I100" i="6"/>
  <c r="K100" i="6"/>
  <c r="G34" i="25"/>
  <c r="I34" i="25" s="1"/>
  <c r="H88" i="6"/>
  <c r="N29" i="6"/>
  <c r="G31" i="25"/>
  <c r="I31" i="25" s="1"/>
  <c r="G20" i="25"/>
  <c r="I20" i="25" s="1"/>
  <c r="AD12" i="28"/>
  <c r="AD8" i="28" s="1"/>
  <c r="I29" i="13"/>
  <c r="F45" i="13"/>
  <c r="H24" i="13"/>
  <c r="H11" i="13"/>
  <c r="C47" i="30"/>
  <c r="D157" i="37"/>
  <c r="E88" i="37"/>
  <c r="D148" i="37"/>
  <c r="E26" i="37"/>
  <c r="Y55" i="28"/>
  <c r="E69" i="37"/>
  <c r="E78" i="37"/>
  <c r="F56" i="7"/>
  <c r="E15" i="24"/>
  <c r="F12" i="24"/>
  <c r="G19" i="7"/>
  <c r="I19" i="7" s="1"/>
  <c r="I14" i="7"/>
  <c r="I9" i="7"/>
  <c r="F15" i="9"/>
  <c r="D68" i="9"/>
  <c r="I16" i="9"/>
  <c r="H19" i="9"/>
  <c r="E15" i="9"/>
  <c r="H15" i="9" s="1"/>
  <c r="D65" i="9"/>
  <c r="H10" i="9"/>
  <c r="G24" i="9"/>
  <c r="H34" i="9"/>
  <c r="E9" i="9"/>
  <c r="E64" i="9" s="1"/>
  <c r="D9" i="9"/>
  <c r="D32" i="9" s="1"/>
  <c r="D61" i="9" s="1"/>
  <c r="D66" i="9" s="1"/>
  <c r="H27" i="9"/>
  <c r="E10" i="9"/>
  <c r="G31" i="15"/>
  <c r="H14" i="14"/>
  <c r="G49" i="12"/>
  <c r="I49" i="12" s="1"/>
  <c r="F34" i="12"/>
  <c r="F59" i="12" s="1"/>
  <c r="J56" i="12" s="1"/>
  <c r="I35" i="12"/>
  <c r="F64" i="12"/>
  <c r="F22" i="12"/>
  <c r="I10" i="12"/>
  <c r="H51" i="11"/>
  <c r="F34" i="11"/>
  <c r="G34" i="11"/>
  <c r="I35" i="11"/>
  <c r="G64" i="11"/>
  <c r="I34" i="11"/>
  <c r="F59" i="11"/>
  <c r="J46" i="11" s="1"/>
  <c r="I22" i="11"/>
  <c r="I10" i="11"/>
  <c r="I51" i="9"/>
  <c r="G59" i="9"/>
  <c r="H59" i="9" s="1"/>
  <c r="G41" i="8"/>
  <c r="I41" i="8" s="1"/>
  <c r="G55" i="8"/>
  <c r="I28" i="8"/>
  <c r="G49" i="8"/>
  <c r="M9" i="34" s="1"/>
  <c r="J28" i="8"/>
  <c r="F53" i="8"/>
  <c r="J38" i="8"/>
  <c r="J37" i="8"/>
  <c r="J43" i="8"/>
  <c r="J30" i="8"/>
  <c r="J46" i="8"/>
  <c r="J36" i="8"/>
  <c r="L9" i="34"/>
  <c r="O9" i="34" s="1"/>
  <c r="J32" i="8"/>
  <c r="J39" i="8"/>
  <c r="J42" i="8"/>
  <c r="J35" i="8"/>
  <c r="J31" i="8"/>
  <c r="J44" i="8"/>
  <c r="I29" i="8"/>
  <c r="J29" i="8"/>
  <c r="G26" i="8"/>
  <c r="G54" i="8"/>
  <c r="AH55" i="28"/>
  <c r="AD18" i="28"/>
  <c r="AD16" i="28" s="1"/>
  <c r="AD47" i="28" s="1"/>
  <c r="AD41" i="28"/>
  <c r="AD100" i="28" s="1"/>
  <c r="AH29" i="28"/>
  <c r="H39" i="10"/>
  <c r="H20" i="9"/>
  <c r="F10" i="9"/>
  <c r="F9" i="9" s="1"/>
  <c r="F32" i="9" s="1"/>
  <c r="J26" i="9" s="1"/>
  <c r="I12" i="9"/>
  <c r="I10" i="9"/>
  <c r="I9" i="10"/>
  <c r="E137" i="37"/>
  <c r="E56" i="37"/>
  <c r="E81" i="37"/>
  <c r="S12" i="28"/>
  <c r="T18" i="28"/>
  <c r="T16" i="28" s="1"/>
  <c r="H83" i="33"/>
  <c r="S29" i="28"/>
  <c r="H28" i="10"/>
  <c r="E62" i="10"/>
  <c r="D65" i="11"/>
  <c r="D59" i="12"/>
  <c r="D63" i="12" s="1"/>
  <c r="E61" i="12"/>
  <c r="E32" i="12"/>
  <c r="E65" i="12"/>
  <c r="J10" i="9"/>
  <c r="J25" i="9"/>
  <c r="L11" i="34"/>
  <c r="J51" i="11"/>
  <c r="J40" i="11"/>
  <c r="J34" i="11"/>
  <c r="J41" i="11"/>
  <c r="J56" i="11"/>
  <c r="D59" i="11"/>
  <c r="D63" i="11" s="1"/>
  <c r="D61" i="11"/>
  <c r="E14" i="13"/>
  <c r="E8" i="13" s="1"/>
  <c r="E27" i="13" s="1"/>
  <c r="E47" i="13" s="1"/>
  <c r="E51" i="13" s="1"/>
  <c r="H15" i="13"/>
  <c r="I15" i="9"/>
  <c r="D62" i="10"/>
  <c r="E32" i="11"/>
  <c r="H22" i="11"/>
  <c r="E65" i="11"/>
  <c r="E61" i="11"/>
  <c r="D65" i="12"/>
  <c r="D61" i="12"/>
  <c r="E59" i="11"/>
  <c r="E63" i="11" s="1"/>
  <c r="E61" i="15"/>
  <c r="E54" i="15"/>
  <c r="I24" i="10"/>
  <c r="AG55" i="28"/>
  <c r="H24" i="10"/>
  <c r="L55" i="28"/>
  <c r="G13" i="9"/>
  <c r="G9" i="9" s="1"/>
  <c r="D32" i="12"/>
  <c r="J45" i="8"/>
  <c r="G35" i="25"/>
  <c r="I35" i="25" s="1"/>
  <c r="H29" i="10"/>
  <c r="G21" i="25"/>
  <c r="L12" i="34"/>
  <c r="J33" i="8"/>
  <c r="I17" i="9"/>
  <c r="I25" i="9"/>
  <c r="G62" i="10"/>
  <c r="F29" i="10"/>
  <c r="X55" i="28"/>
  <c r="M16" i="28"/>
  <c r="M47" i="28" s="1"/>
  <c r="M25" i="28"/>
  <c r="M41" i="28" s="1"/>
  <c r="M49" i="28" s="1"/>
  <c r="M12" i="28"/>
  <c r="M8" i="28" s="1"/>
  <c r="AB47" i="28"/>
  <c r="AA47" i="28"/>
  <c r="AA8" i="28"/>
  <c r="AA29" i="28"/>
  <c r="AA25" i="28" s="1"/>
  <c r="AA41" i="28" s="1"/>
  <c r="Y29" i="28"/>
  <c r="Y25" i="28" s="1"/>
  <c r="Y47" i="28"/>
  <c r="Y12" i="28"/>
  <c r="Y8" i="28" s="1"/>
  <c r="X25" i="28"/>
  <c r="X18" i="28"/>
  <c r="X16" i="28" s="1"/>
  <c r="V36" i="28"/>
  <c r="V34" i="28" s="1"/>
  <c r="AH12" i="28"/>
  <c r="V25" i="28"/>
  <c r="R46" i="28"/>
  <c r="R34" i="28"/>
  <c r="Q8" i="28"/>
  <c r="Q16" i="28"/>
  <c r="P29" i="28"/>
  <c r="P25" i="28" s="1"/>
  <c r="P8" i="28"/>
  <c r="O36" i="28"/>
  <c r="O34" i="28" s="1"/>
  <c r="N41" i="28"/>
  <c r="N46" i="28"/>
  <c r="N18" i="28"/>
  <c r="N16" i="28" s="1"/>
  <c r="L25" i="28"/>
  <c r="K34" i="28"/>
  <c r="K25" i="28"/>
  <c r="K41" i="28" s="1"/>
  <c r="J18" i="28"/>
  <c r="J16" i="28" s="1"/>
  <c r="S36" i="28"/>
  <c r="S34" i="28" s="1"/>
  <c r="J8" i="28"/>
  <c r="T34" i="28"/>
  <c r="Q49" i="28"/>
  <c r="Q100" i="28"/>
  <c r="T8" i="28"/>
  <c r="G46" i="28"/>
  <c r="G23" i="28"/>
  <c r="Z47" i="28"/>
  <c r="Z23" i="28"/>
  <c r="AF100" i="28"/>
  <c r="AF49" i="28"/>
  <c r="K47" i="28"/>
  <c r="K23" i="28"/>
  <c r="I49" i="28"/>
  <c r="I100" i="28"/>
  <c r="Y41" i="28"/>
  <c r="AE49" i="28"/>
  <c r="AE100" i="28"/>
  <c r="AB25" i="28"/>
  <c r="AB41" i="28" s="1"/>
  <c r="L47" i="28"/>
  <c r="L23" i="28"/>
  <c r="H23" i="28"/>
  <c r="H46" i="28"/>
  <c r="I46" i="28"/>
  <c r="I23" i="28"/>
  <c r="AA23" i="28"/>
  <c r="AA46" i="28"/>
  <c r="AD23" i="28"/>
  <c r="AD46" i="28"/>
  <c r="G47" i="28"/>
  <c r="J47" i="28"/>
  <c r="V23" i="28"/>
  <c r="V47" i="28"/>
  <c r="X41" i="28"/>
  <c r="W46" i="28"/>
  <c r="W23" i="28"/>
  <c r="O23" i="28"/>
  <c r="O46" i="28"/>
  <c r="G41" i="28"/>
  <c r="AB23" i="28"/>
  <c r="J49" i="28"/>
  <c r="J100" i="28"/>
  <c r="Z49" i="28"/>
  <c r="Z100" i="28"/>
  <c r="AG23" i="28"/>
  <c r="AG46" i="28"/>
  <c r="N49" i="28"/>
  <c r="N100" i="28"/>
  <c r="K100" i="28"/>
  <c r="K49" i="28"/>
  <c r="P41" i="28"/>
  <c r="AA100" i="28"/>
  <c r="AA49" i="28"/>
  <c r="AG100" i="28"/>
  <c r="AG49" i="28"/>
  <c r="R47" i="28"/>
  <c r="R41" i="28"/>
  <c r="O47" i="28"/>
  <c r="O41" i="28"/>
  <c r="P46" i="28"/>
  <c r="P23" i="28"/>
  <c r="J46" i="28"/>
  <c r="J23" i="28"/>
  <c r="Q46" i="28"/>
  <c r="Q23" i="28"/>
  <c r="Y46" i="28"/>
  <c r="Y23" i="28"/>
  <c r="N47" i="28"/>
  <c r="Q47" i="28"/>
  <c r="H100" i="28"/>
  <c r="H49" i="28"/>
  <c r="L46" i="28"/>
  <c r="L41" i="28"/>
  <c r="V41" i="28"/>
  <c r="V46" i="28"/>
  <c r="AE23" i="28"/>
  <c r="AE46" i="28"/>
  <c r="AF47" i="28"/>
  <c r="AF23" i="28"/>
  <c r="AB55" i="28"/>
  <c r="Z55" i="28"/>
  <c r="AF55" i="28"/>
  <c r="S55" i="28"/>
  <c r="AE55" i="28"/>
  <c r="I55" i="28"/>
  <c r="R23" i="28"/>
  <c r="AC25" i="28"/>
  <c r="J55" i="28"/>
  <c r="AC36" i="28"/>
  <c r="AC34" i="28" s="1"/>
  <c r="AH34" i="28" s="1"/>
  <c r="R55" i="28"/>
  <c r="P55" i="28"/>
  <c r="Q55" i="28"/>
  <c r="X46" i="28"/>
  <c r="W49" i="28"/>
  <c r="T55" i="28"/>
  <c r="O55" i="28"/>
  <c r="M55" i="28"/>
  <c r="AC55" i="28"/>
  <c r="W55" i="28"/>
  <c r="V55" i="28"/>
  <c r="AH16" i="28"/>
  <c r="H55" i="28"/>
  <c r="N55" i="28"/>
  <c r="AD55" i="28"/>
  <c r="N23" i="28"/>
  <c r="AC8" i="28"/>
  <c r="AH8" i="28" s="1"/>
  <c r="K55" i="28"/>
  <c r="AA55" i="28"/>
  <c r="G55" i="28"/>
  <c r="S18" i="28"/>
  <c r="S16" i="28" s="1"/>
  <c r="S25" i="28"/>
  <c r="S8" i="28"/>
  <c r="AH36" i="28"/>
  <c r="D40" i="30"/>
  <c r="G20" i="30"/>
  <c r="G40" i="30" s="1"/>
  <c r="E20" i="30"/>
  <c r="E40" i="30" s="1"/>
  <c r="O100" i="6"/>
  <c r="G55" i="6"/>
  <c r="G113" i="6" s="1"/>
  <c r="M100" i="6"/>
  <c r="P100" i="6"/>
  <c r="D33" i="25"/>
  <c r="D44" i="25" s="1"/>
  <c r="N87" i="6"/>
  <c r="K29" i="6"/>
  <c r="J53" i="6"/>
  <c r="H50" i="6"/>
  <c r="H52" i="6" s="1"/>
  <c r="O29" i="6"/>
  <c r="P87" i="6"/>
  <c r="G29" i="6"/>
  <c r="G50" i="6" s="1"/>
  <c r="E26" i="25"/>
  <c r="G28" i="25"/>
  <c r="I28" i="25" s="1"/>
  <c r="I50" i="6"/>
  <c r="M88" i="6"/>
  <c r="P88" i="6"/>
  <c r="H77" i="6"/>
  <c r="K77" i="6"/>
  <c r="J55" i="6"/>
  <c r="P77" i="6"/>
  <c r="J68" i="6"/>
  <c r="I68" i="6"/>
  <c r="K9" i="6"/>
  <c r="K54" i="6" s="1"/>
  <c r="P54" i="6"/>
  <c r="E9" i="6"/>
  <c r="G68" i="6"/>
  <c r="G10" i="25"/>
  <c r="H27" i="6"/>
  <c r="I67" i="6"/>
  <c r="P68" i="6"/>
  <c r="Q68" i="6"/>
  <c r="H67" i="6"/>
  <c r="F71" i="33"/>
  <c r="F83" i="33" s="1"/>
  <c r="I14" i="33"/>
  <c r="G100" i="6"/>
  <c r="E50" i="6"/>
  <c r="O55" i="6"/>
  <c r="M50" i="6"/>
  <c r="H113" i="6"/>
  <c r="I87" i="6"/>
  <c r="O54" i="6"/>
  <c r="O87" i="6"/>
  <c r="O50" i="6"/>
  <c r="O52" i="6" s="1"/>
  <c r="D25" i="25"/>
  <c r="K50" i="6"/>
  <c r="G54" i="6"/>
  <c r="I30" i="25"/>
  <c r="S50" i="6"/>
  <c r="S54" i="6"/>
  <c r="M53" i="6"/>
  <c r="G88" i="6"/>
  <c r="G87" i="6"/>
  <c r="Q29" i="6"/>
  <c r="D26" i="25"/>
  <c r="M87" i="6"/>
  <c r="P50" i="6"/>
  <c r="J87" i="6"/>
  <c r="O88" i="6"/>
  <c r="E17" i="25"/>
  <c r="Q77" i="6"/>
  <c r="Q55" i="6"/>
  <c r="P55" i="6"/>
  <c r="J77" i="6"/>
  <c r="I10" i="25"/>
  <c r="I14" i="25"/>
  <c r="K27" i="6"/>
  <c r="D9" i="25"/>
  <c r="P27" i="6"/>
  <c r="H54" i="6"/>
  <c r="O67" i="6"/>
  <c r="M68" i="6"/>
  <c r="Q9" i="6"/>
  <c r="I54" i="6"/>
  <c r="I27" i="6"/>
  <c r="J9" i="6"/>
  <c r="K68" i="6"/>
  <c r="M9" i="6"/>
  <c r="R53" i="20"/>
  <c r="O14" i="34"/>
  <c r="R51" i="20"/>
  <c r="F31" i="15"/>
  <c r="H31" i="15" s="1"/>
  <c r="H20" i="15"/>
  <c r="F8" i="15"/>
  <c r="H8" i="15" s="1"/>
  <c r="G61" i="15"/>
  <c r="H45" i="15"/>
  <c r="G54" i="15"/>
  <c r="G58" i="15" s="1"/>
  <c r="G60" i="15"/>
  <c r="H38" i="15"/>
  <c r="F61" i="15"/>
  <c r="F34" i="14"/>
  <c r="F67" i="14" s="1"/>
  <c r="I35" i="14" s="1"/>
  <c r="H35" i="14"/>
  <c r="H36" i="14"/>
  <c r="G67" i="14"/>
  <c r="H9" i="14"/>
  <c r="I15" i="14"/>
  <c r="I25" i="14"/>
  <c r="I30" i="14"/>
  <c r="I9" i="14"/>
  <c r="I11" i="14"/>
  <c r="I28" i="14"/>
  <c r="I17" i="14"/>
  <c r="H32" i="14"/>
  <c r="I23" i="14"/>
  <c r="I22" i="14"/>
  <c r="I12" i="14"/>
  <c r="I10" i="14"/>
  <c r="I20" i="14"/>
  <c r="I26" i="14"/>
  <c r="I24" i="14"/>
  <c r="I16" i="14"/>
  <c r="I14" i="14"/>
  <c r="I21" i="14"/>
  <c r="I19" i="14"/>
  <c r="I27" i="14"/>
  <c r="I18" i="14"/>
  <c r="I29" i="14"/>
  <c r="D50" i="7"/>
  <c r="D54" i="7" s="1"/>
  <c r="D52" i="7"/>
  <c r="D57" i="7" s="1"/>
  <c r="D56" i="7"/>
  <c r="E56" i="7"/>
  <c r="E27" i="7"/>
  <c r="F22" i="24"/>
  <c r="F21" i="24" s="1"/>
  <c r="C75" i="9"/>
  <c r="E22" i="24"/>
  <c r="L14" i="24" s="1"/>
  <c r="H19" i="7"/>
  <c r="I19" i="24"/>
  <c r="I42" i="7"/>
  <c r="K16" i="24"/>
  <c r="I29" i="7"/>
  <c r="G50" i="7"/>
  <c r="H50" i="7" s="1"/>
  <c r="G55" i="7"/>
  <c r="I16" i="24"/>
  <c r="F50" i="7"/>
  <c r="I21" i="7"/>
  <c r="F55" i="7"/>
  <c r="I10" i="7"/>
  <c r="F27" i="7"/>
  <c r="J9" i="7" s="1"/>
  <c r="H36" i="13"/>
  <c r="H45" i="13"/>
  <c r="H29" i="13"/>
  <c r="H30" i="13"/>
  <c r="I14" i="13"/>
  <c r="H14" i="13"/>
  <c r="J45" i="12"/>
  <c r="J42" i="12"/>
  <c r="J37" i="12"/>
  <c r="H51" i="12"/>
  <c r="J46" i="12"/>
  <c r="H49" i="12"/>
  <c r="G34" i="12"/>
  <c r="F65" i="12"/>
  <c r="F61" i="12"/>
  <c r="G65" i="12"/>
  <c r="G32" i="12"/>
  <c r="H32" i="12" s="1"/>
  <c r="I22" i="12"/>
  <c r="H22" i="12"/>
  <c r="H15" i="12"/>
  <c r="F32" i="12"/>
  <c r="H10" i="12"/>
  <c r="I9" i="12"/>
  <c r="K12" i="34"/>
  <c r="G49" i="11"/>
  <c r="G61" i="11" s="1"/>
  <c r="H41" i="11"/>
  <c r="H34" i="11"/>
  <c r="H35" i="11"/>
  <c r="H24" i="11"/>
  <c r="F65" i="11"/>
  <c r="H15" i="11"/>
  <c r="F64" i="11"/>
  <c r="F61" i="11"/>
  <c r="G32" i="11"/>
  <c r="H9" i="11"/>
  <c r="I9" i="11"/>
  <c r="F32" i="11"/>
  <c r="H10" i="11"/>
  <c r="H51" i="9"/>
  <c r="F65" i="9"/>
  <c r="H49" i="9"/>
  <c r="I49" i="9"/>
  <c r="M10" i="34"/>
  <c r="H41" i="9"/>
  <c r="I35" i="9"/>
  <c r="H35" i="9"/>
  <c r="F34" i="9"/>
  <c r="G53" i="8"/>
  <c r="H43" i="8"/>
  <c r="I49" i="8"/>
  <c r="H41" i="8"/>
  <c r="J34" i="8"/>
  <c r="H35" i="8"/>
  <c r="H49" i="8"/>
  <c r="H28" i="8"/>
  <c r="H29" i="8"/>
  <c r="H20" i="8"/>
  <c r="I20" i="8"/>
  <c r="F18" i="8"/>
  <c r="F26" i="8" s="1"/>
  <c r="J8" i="8" s="1"/>
  <c r="G51" i="8"/>
  <c r="H18" i="8"/>
  <c r="H13" i="8"/>
  <c r="H8" i="8"/>
  <c r="I8" i="8"/>
  <c r="H26" i="8"/>
  <c r="F54" i="8"/>
  <c r="K9" i="34"/>
  <c r="D56" i="35" l="1"/>
  <c r="H53" i="6"/>
  <c r="H56" i="6" s="1"/>
  <c r="N50" i="6"/>
  <c r="H87" i="6"/>
  <c r="N54" i="6"/>
  <c r="AD49" i="28"/>
  <c r="J41" i="13"/>
  <c r="J35" i="13"/>
  <c r="J38" i="13"/>
  <c r="J39" i="13"/>
  <c r="J40" i="13"/>
  <c r="J31" i="13"/>
  <c r="J43" i="13"/>
  <c r="J34" i="13"/>
  <c r="J36" i="13"/>
  <c r="J32" i="13"/>
  <c r="I45" i="13"/>
  <c r="J42" i="13"/>
  <c r="J33" i="13"/>
  <c r="J30" i="13"/>
  <c r="J37" i="13"/>
  <c r="J29" i="13"/>
  <c r="L15" i="24"/>
  <c r="L13" i="24"/>
  <c r="E21" i="24"/>
  <c r="L21" i="24" s="1"/>
  <c r="L17" i="24"/>
  <c r="K15" i="24"/>
  <c r="I15" i="24"/>
  <c r="L18" i="24"/>
  <c r="L12" i="24"/>
  <c r="K22" i="24"/>
  <c r="L16" i="24"/>
  <c r="K12" i="24"/>
  <c r="I12" i="24"/>
  <c r="G27" i="7"/>
  <c r="K8" i="34" s="1"/>
  <c r="G56" i="7"/>
  <c r="G22" i="9"/>
  <c r="H24" i="9"/>
  <c r="E32" i="9"/>
  <c r="E61" i="9" s="1"/>
  <c r="E66" i="9" s="1"/>
  <c r="D64" i="9"/>
  <c r="I24" i="9"/>
  <c r="F54" i="15"/>
  <c r="F29" i="15"/>
  <c r="I8" i="15" s="1"/>
  <c r="F60" i="15"/>
  <c r="J49" i="12"/>
  <c r="J53" i="12"/>
  <c r="J44" i="12"/>
  <c r="J50" i="12"/>
  <c r="F63" i="12"/>
  <c r="J51" i="12"/>
  <c r="J39" i="12"/>
  <c r="J38" i="12"/>
  <c r="J35" i="12"/>
  <c r="J55" i="12"/>
  <c r="J36" i="12"/>
  <c r="J41" i="12"/>
  <c r="J40" i="12"/>
  <c r="J52" i="12"/>
  <c r="J43" i="12"/>
  <c r="J54" i="12"/>
  <c r="J47" i="12"/>
  <c r="J53" i="11"/>
  <c r="J38" i="11"/>
  <c r="J35" i="11"/>
  <c r="J37" i="11"/>
  <c r="J39" i="11"/>
  <c r="J44" i="11"/>
  <c r="J47" i="11"/>
  <c r="J42" i="11"/>
  <c r="J54" i="11"/>
  <c r="J43" i="11"/>
  <c r="F63" i="11"/>
  <c r="J55" i="11"/>
  <c r="J36" i="11"/>
  <c r="J50" i="11"/>
  <c r="J52" i="11"/>
  <c r="J45" i="11"/>
  <c r="G63" i="9"/>
  <c r="H63" i="9" s="1"/>
  <c r="J41" i="8"/>
  <c r="J19" i="9"/>
  <c r="J24" i="9"/>
  <c r="J14" i="9"/>
  <c r="J28" i="9"/>
  <c r="J12" i="9"/>
  <c r="J22" i="9"/>
  <c r="J27" i="9"/>
  <c r="J29" i="9"/>
  <c r="J18" i="9"/>
  <c r="J10" i="34"/>
  <c r="J23" i="9"/>
  <c r="J15" i="9"/>
  <c r="J16" i="9"/>
  <c r="J11" i="9"/>
  <c r="J17" i="9"/>
  <c r="J20" i="9"/>
  <c r="AH47" i="28"/>
  <c r="T47" i="28"/>
  <c r="D63" i="35"/>
  <c r="T25" i="28"/>
  <c r="M100" i="28"/>
  <c r="M46" i="28"/>
  <c r="M23" i="28"/>
  <c r="M99" i="28" s="1"/>
  <c r="I9" i="9"/>
  <c r="J9" i="9"/>
  <c r="H9" i="9"/>
  <c r="G32" i="9"/>
  <c r="G64" i="9"/>
  <c r="D73" i="11"/>
  <c r="D66" i="11"/>
  <c r="H62" i="10"/>
  <c r="F28" i="10"/>
  <c r="J13" i="9"/>
  <c r="I13" i="9"/>
  <c r="H13" i="9"/>
  <c r="G26" i="25"/>
  <c r="I26" i="25" s="1"/>
  <c r="E73" i="11"/>
  <c r="E66" i="11"/>
  <c r="D43" i="25"/>
  <c r="I29" i="10"/>
  <c r="E56" i="15"/>
  <c r="E58" i="15"/>
  <c r="E73" i="12"/>
  <c r="E66" i="12"/>
  <c r="D73" i="12"/>
  <c r="D66" i="12"/>
  <c r="AC46" i="28"/>
  <c r="AC41" i="28"/>
  <c r="AC47" i="28"/>
  <c r="AB46" i="28"/>
  <c r="AH25" i="28"/>
  <c r="AH46" i="28" s="1"/>
  <c r="X23" i="28"/>
  <c r="X47" i="28"/>
  <c r="AH41" i="28"/>
  <c r="AH49" i="28" s="1"/>
  <c r="S47" i="28"/>
  <c r="K46" i="28"/>
  <c r="T41" i="28"/>
  <c r="T100" i="28" s="1"/>
  <c r="K99" i="28"/>
  <c r="K43" i="28"/>
  <c r="Y99" i="28"/>
  <c r="Y43" i="28"/>
  <c r="AD43" i="28"/>
  <c r="AD99" i="28"/>
  <c r="AB99" i="28"/>
  <c r="AB43" i="28"/>
  <c r="Q99" i="28"/>
  <c r="Q43" i="28"/>
  <c r="P49" i="28"/>
  <c r="P100" i="28"/>
  <c r="AA99" i="28"/>
  <c r="AA43" i="28"/>
  <c r="AF43" i="28"/>
  <c r="AF99" i="28"/>
  <c r="G49" i="28"/>
  <c r="G100" i="28"/>
  <c r="I43" i="28"/>
  <c r="I99" i="28"/>
  <c r="Z43" i="28"/>
  <c r="Z99" i="28"/>
  <c r="M43" i="28"/>
  <c r="O99" i="28"/>
  <c r="O43" i="28"/>
  <c r="G43" i="28"/>
  <c r="G99" i="28"/>
  <c r="AC23" i="28"/>
  <c r="AC43" i="28" s="1"/>
  <c r="N99" i="28"/>
  <c r="N43" i="28"/>
  <c r="AE43" i="28"/>
  <c r="AE99" i="28"/>
  <c r="J43" i="28"/>
  <c r="J99" i="28"/>
  <c r="W43" i="28"/>
  <c r="W99" i="28"/>
  <c r="H43" i="28"/>
  <c r="H99" i="28"/>
  <c r="L43" i="28"/>
  <c r="L99" i="28"/>
  <c r="T46" i="28"/>
  <c r="T23" i="28"/>
  <c r="V49" i="28"/>
  <c r="V100" i="28"/>
  <c r="P99" i="28"/>
  <c r="P43" i="28"/>
  <c r="X100" i="28"/>
  <c r="X49" i="28"/>
  <c r="R99" i="28"/>
  <c r="R43" i="28"/>
  <c r="L49" i="28"/>
  <c r="L100" i="28"/>
  <c r="AB49" i="28"/>
  <c r="AB100" i="28"/>
  <c r="O49" i="28"/>
  <c r="O100" i="28"/>
  <c r="AG99" i="28"/>
  <c r="AG43" i="28"/>
  <c r="R49" i="28"/>
  <c r="R100" i="28"/>
  <c r="V43" i="28"/>
  <c r="V99" i="28"/>
  <c r="Y49" i="28"/>
  <c r="Y100" i="28"/>
  <c r="S46" i="28"/>
  <c r="S23" i="28"/>
  <c r="S41" i="28"/>
  <c r="G33" i="25"/>
  <c r="I33" i="25" s="1"/>
  <c r="G53" i="6"/>
  <c r="M111" i="6" s="1"/>
  <c r="I53" i="6"/>
  <c r="G108" i="6"/>
  <c r="E53" i="6"/>
  <c r="J113" i="6"/>
  <c r="I113" i="6"/>
  <c r="K113" i="6"/>
  <c r="H112" i="6"/>
  <c r="H85" i="6"/>
  <c r="N85" i="6"/>
  <c r="E27" i="6"/>
  <c r="E56" i="6" s="1"/>
  <c r="E54" i="6"/>
  <c r="M108" i="6"/>
  <c r="J108" i="6"/>
  <c r="P53" i="6"/>
  <c r="P108" i="6"/>
  <c r="I112" i="6"/>
  <c r="K87" i="6"/>
  <c r="Q50" i="6"/>
  <c r="Q87" i="6"/>
  <c r="E25" i="25"/>
  <c r="G25" i="25" s="1"/>
  <c r="K53" i="6"/>
  <c r="K56" i="6" s="1"/>
  <c r="D39" i="25"/>
  <c r="L16" i="34"/>
  <c r="G52" i="6"/>
  <c r="S53" i="6"/>
  <c r="S56" i="6" s="1"/>
  <c r="S52" i="6"/>
  <c r="O108" i="6"/>
  <c r="I108" i="6"/>
  <c r="O53" i="6"/>
  <c r="E44" i="25"/>
  <c r="G44" i="25" s="1"/>
  <c r="G17" i="25"/>
  <c r="I17" i="25" s="1"/>
  <c r="J54" i="6"/>
  <c r="J27" i="6"/>
  <c r="P67" i="6"/>
  <c r="J67" i="6"/>
  <c r="O85" i="6"/>
  <c r="I52" i="6"/>
  <c r="I85" i="6"/>
  <c r="Q27" i="6"/>
  <c r="E9" i="25"/>
  <c r="K67" i="6"/>
  <c r="Q67" i="6"/>
  <c r="Q54" i="6"/>
  <c r="P52" i="6"/>
  <c r="P85" i="6"/>
  <c r="P56" i="6"/>
  <c r="M54" i="6"/>
  <c r="M67" i="6"/>
  <c r="M27" i="6"/>
  <c r="G67" i="6"/>
  <c r="D23" i="25"/>
  <c r="J16" i="34"/>
  <c r="K52" i="6"/>
  <c r="I36" i="15"/>
  <c r="I32" i="15"/>
  <c r="I48" i="15"/>
  <c r="I51" i="15"/>
  <c r="I38" i="15"/>
  <c r="I45" i="15"/>
  <c r="I39" i="15"/>
  <c r="I49" i="15"/>
  <c r="I43" i="15"/>
  <c r="I33" i="15"/>
  <c r="I41" i="15"/>
  <c r="I44" i="15"/>
  <c r="I31" i="15"/>
  <c r="I34" i="15"/>
  <c r="I46" i="15"/>
  <c r="F58" i="15"/>
  <c r="H58" i="15" s="1"/>
  <c r="I37" i="15"/>
  <c r="I52" i="15"/>
  <c r="I47" i="15"/>
  <c r="I50" i="15"/>
  <c r="H54" i="15"/>
  <c r="M13" i="34"/>
  <c r="G56" i="15"/>
  <c r="F56" i="15"/>
  <c r="I27" i="15"/>
  <c r="F69" i="14"/>
  <c r="F74" i="14" s="1"/>
  <c r="I34" i="14"/>
  <c r="I36" i="14"/>
  <c r="H34" i="14"/>
  <c r="I63" i="14"/>
  <c r="I39" i="14"/>
  <c r="I46" i="14"/>
  <c r="I47" i="14"/>
  <c r="I62" i="14"/>
  <c r="I40" i="14"/>
  <c r="I51" i="14"/>
  <c r="I37" i="14"/>
  <c r="I57" i="14"/>
  <c r="I49" i="14"/>
  <c r="I48" i="14"/>
  <c r="I52" i="14"/>
  <c r="I58" i="14"/>
  <c r="I56" i="14"/>
  <c r="I38" i="14"/>
  <c r="I54" i="14"/>
  <c r="I55" i="14"/>
  <c r="I41" i="14"/>
  <c r="I50" i="14"/>
  <c r="I61" i="14"/>
  <c r="I44" i="14"/>
  <c r="I45" i="14"/>
  <c r="I65" i="14"/>
  <c r="I42" i="14"/>
  <c r="I53" i="14"/>
  <c r="I60" i="14"/>
  <c r="I64" i="14"/>
  <c r="I43" i="14"/>
  <c r="G69" i="14"/>
  <c r="G74" i="14" s="1"/>
  <c r="H67" i="14"/>
  <c r="I22" i="24"/>
  <c r="H27" i="7"/>
  <c r="E52" i="7"/>
  <c r="E57" i="7" s="1"/>
  <c r="K21" i="24"/>
  <c r="I21" i="24"/>
  <c r="M8" i="34"/>
  <c r="I8" i="34" s="1"/>
  <c r="G54" i="7"/>
  <c r="L8" i="34"/>
  <c r="J44" i="7"/>
  <c r="J30" i="7"/>
  <c r="J36" i="7"/>
  <c r="J38" i="7"/>
  <c r="J42" i="7"/>
  <c r="J39" i="7"/>
  <c r="J31" i="7"/>
  <c r="J29" i="7"/>
  <c r="J43" i="7"/>
  <c r="J45" i="7"/>
  <c r="J47" i="7"/>
  <c r="J46" i="7"/>
  <c r="J34" i="7"/>
  <c r="J32" i="7"/>
  <c r="J40" i="7"/>
  <c r="J37" i="7"/>
  <c r="J35" i="7"/>
  <c r="F54" i="7"/>
  <c r="J33" i="7"/>
  <c r="I50" i="7"/>
  <c r="J16" i="7"/>
  <c r="J23" i="7"/>
  <c r="J10" i="7"/>
  <c r="J11" i="7"/>
  <c r="J22" i="7"/>
  <c r="J8" i="34"/>
  <c r="F52" i="7"/>
  <c r="F57" i="7" s="1"/>
  <c r="J20" i="7"/>
  <c r="J21" i="7"/>
  <c r="J12" i="7"/>
  <c r="J24" i="7"/>
  <c r="J15" i="7"/>
  <c r="J19" i="7"/>
  <c r="J14" i="7"/>
  <c r="J13" i="7"/>
  <c r="J17" i="7"/>
  <c r="AC99" i="28"/>
  <c r="AC49" i="28"/>
  <c r="AC100" i="28"/>
  <c r="AH23" i="28"/>
  <c r="I9" i="13"/>
  <c r="H9" i="13"/>
  <c r="G8" i="13"/>
  <c r="F8" i="13"/>
  <c r="G61" i="12"/>
  <c r="J34" i="12"/>
  <c r="I34" i="12"/>
  <c r="G59" i="12"/>
  <c r="H34" i="12"/>
  <c r="G64" i="12"/>
  <c r="F66" i="12"/>
  <c r="J12" i="34"/>
  <c r="H12" i="34" s="1"/>
  <c r="J26" i="12"/>
  <c r="J11" i="12"/>
  <c r="J25" i="12"/>
  <c r="J20" i="12"/>
  <c r="J15" i="12"/>
  <c r="I32" i="12"/>
  <c r="J29" i="12"/>
  <c r="J14" i="12"/>
  <c r="J10" i="12"/>
  <c r="J19" i="12"/>
  <c r="J24" i="12"/>
  <c r="J23" i="12"/>
  <c r="J9" i="12"/>
  <c r="J17" i="12"/>
  <c r="J18" i="12"/>
  <c r="J28" i="12"/>
  <c r="J27" i="12"/>
  <c r="J13" i="12"/>
  <c r="J16" i="12"/>
  <c r="J22" i="12"/>
  <c r="J12" i="12"/>
  <c r="H49" i="11"/>
  <c r="G59" i="11"/>
  <c r="G65" i="11"/>
  <c r="I49" i="11"/>
  <c r="J49" i="11"/>
  <c r="J11" i="34"/>
  <c r="H11" i="34" s="1"/>
  <c r="J16" i="11"/>
  <c r="J13" i="11"/>
  <c r="J28" i="11"/>
  <c r="J12" i="11"/>
  <c r="J29" i="11"/>
  <c r="J22" i="11"/>
  <c r="I32" i="11"/>
  <c r="J25" i="11"/>
  <c r="J17" i="11"/>
  <c r="J15" i="11"/>
  <c r="J27" i="11"/>
  <c r="J24" i="11"/>
  <c r="J19" i="11"/>
  <c r="J23" i="11"/>
  <c r="J18" i="11"/>
  <c r="J26" i="11"/>
  <c r="J14" i="11"/>
  <c r="J11" i="11"/>
  <c r="J20" i="11"/>
  <c r="J10" i="11"/>
  <c r="J9" i="11"/>
  <c r="H32" i="11"/>
  <c r="K11" i="34"/>
  <c r="G66" i="11"/>
  <c r="F66" i="11"/>
  <c r="F64" i="9"/>
  <c r="F59" i="9"/>
  <c r="J34" i="9" s="1"/>
  <c r="I34" i="9"/>
  <c r="J53" i="8"/>
  <c r="I53" i="8"/>
  <c r="H53" i="8"/>
  <c r="I18" i="8"/>
  <c r="F55" i="8"/>
  <c r="G56" i="8"/>
  <c r="I9" i="34"/>
  <c r="J13" i="8"/>
  <c r="J15" i="8"/>
  <c r="F51" i="8"/>
  <c r="J19" i="8"/>
  <c r="J10" i="8"/>
  <c r="J16" i="8"/>
  <c r="J14" i="8"/>
  <c r="J9" i="34"/>
  <c r="H9" i="34" s="1"/>
  <c r="J12" i="8"/>
  <c r="J22" i="8"/>
  <c r="J11" i="8"/>
  <c r="I26" i="8"/>
  <c r="J9" i="8"/>
  <c r="J18" i="8"/>
  <c r="J23" i="8"/>
  <c r="J21" i="8"/>
  <c r="J20" i="8"/>
  <c r="N108" i="6" l="1"/>
  <c r="H108" i="6"/>
  <c r="N52" i="6"/>
  <c r="H110" i="6" s="1"/>
  <c r="N53" i="6"/>
  <c r="O8" i="34"/>
  <c r="I54" i="7"/>
  <c r="I27" i="7"/>
  <c r="G52" i="7"/>
  <c r="G57" i="7" s="1"/>
  <c r="H22" i="9"/>
  <c r="G65" i="9"/>
  <c r="I22" i="9"/>
  <c r="I42" i="15"/>
  <c r="I35" i="15"/>
  <c r="L13" i="34"/>
  <c r="O13" i="34" s="1"/>
  <c r="I40" i="15"/>
  <c r="I9" i="15"/>
  <c r="I15" i="15"/>
  <c r="I23" i="15"/>
  <c r="I22" i="15"/>
  <c r="I20" i="15"/>
  <c r="I26" i="15"/>
  <c r="I10" i="15"/>
  <c r="I16" i="15"/>
  <c r="I11" i="15"/>
  <c r="I18" i="15"/>
  <c r="I24" i="15"/>
  <c r="I13" i="15"/>
  <c r="I21" i="15"/>
  <c r="H29" i="15"/>
  <c r="I25" i="15"/>
  <c r="I19" i="15"/>
  <c r="I14" i="15"/>
  <c r="I12" i="15"/>
  <c r="I17" i="15"/>
  <c r="J13" i="34"/>
  <c r="N13" i="34" s="1"/>
  <c r="AH100" i="28"/>
  <c r="I28" i="10"/>
  <c r="F62" i="10"/>
  <c r="J28" i="10" s="1"/>
  <c r="G111" i="6"/>
  <c r="E59" i="15"/>
  <c r="E68" i="15"/>
  <c r="I32" i="9"/>
  <c r="K10" i="34"/>
  <c r="H32" i="9"/>
  <c r="G61" i="9"/>
  <c r="G66" i="9" s="1"/>
  <c r="E52" i="6"/>
  <c r="T49" i="28"/>
  <c r="X99" i="28"/>
  <c r="X43" i="28"/>
  <c r="L97" i="28"/>
  <c r="L98" i="28"/>
  <c r="L48" i="28"/>
  <c r="G48" i="28"/>
  <c r="G97" i="28"/>
  <c r="G98" i="28"/>
  <c r="T99" i="28"/>
  <c r="T43" i="28"/>
  <c r="O48" i="28"/>
  <c r="O97" i="28"/>
  <c r="O98" i="28"/>
  <c r="H48" i="28"/>
  <c r="H97" i="28"/>
  <c r="H98" i="28"/>
  <c r="M97" i="28"/>
  <c r="M48" i="28"/>
  <c r="M98" i="28"/>
  <c r="Q98" i="28"/>
  <c r="Q48" i="28"/>
  <c r="Q97" i="28"/>
  <c r="AA97" i="28"/>
  <c r="AA98" i="28"/>
  <c r="AA48" i="28"/>
  <c r="W97" i="28"/>
  <c r="W48" i="28"/>
  <c r="W98" i="28"/>
  <c r="R98" i="28"/>
  <c r="R97" i="28"/>
  <c r="R48" i="28"/>
  <c r="AB98" i="28"/>
  <c r="AB48" i="28"/>
  <c r="AB97" i="28"/>
  <c r="Z48" i="28"/>
  <c r="Z98" i="28"/>
  <c r="Z97" i="28"/>
  <c r="I98" i="28"/>
  <c r="I97" i="28"/>
  <c r="I48" i="28"/>
  <c r="AD98" i="28"/>
  <c r="AD97" i="28"/>
  <c r="AD48" i="28"/>
  <c r="AG48" i="28"/>
  <c r="AG97" i="28"/>
  <c r="AG98" i="28"/>
  <c r="P48" i="28"/>
  <c r="P98" i="28"/>
  <c r="P97" i="28"/>
  <c r="J48" i="28"/>
  <c r="J97" i="28"/>
  <c r="J98" i="28"/>
  <c r="Y97" i="28"/>
  <c r="Y98" i="28"/>
  <c r="Y48" i="28"/>
  <c r="V48" i="28"/>
  <c r="V97" i="28"/>
  <c r="V98" i="28"/>
  <c r="AE48" i="28"/>
  <c r="AE98" i="28"/>
  <c r="AE97" i="28"/>
  <c r="K97" i="28"/>
  <c r="K48" i="28"/>
  <c r="K98" i="28"/>
  <c r="N98" i="28"/>
  <c r="N97" i="28"/>
  <c r="N48" i="28"/>
  <c r="AF48" i="28"/>
  <c r="AF98" i="28"/>
  <c r="AF97" i="28"/>
  <c r="S49" i="28"/>
  <c r="S100" i="28"/>
  <c r="S43" i="28"/>
  <c r="S99" i="28"/>
  <c r="I56" i="6"/>
  <c r="G56" i="6"/>
  <c r="G112" i="6"/>
  <c r="I110" i="6"/>
  <c r="J85" i="6"/>
  <c r="K112" i="6"/>
  <c r="J112" i="6"/>
  <c r="I111" i="6"/>
  <c r="O111" i="6"/>
  <c r="O56" i="6"/>
  <c r="P111" i="6"/>
  <c r="J111" i="6"/>
  <c r="H16" i="34"/>
  <c r="J34" i="25"/>
  <c r="J29" i="25"/>
  <c r="J31" i="25"/>
  <c r="D42" i="25"/>
  <c r="J33" i="25"/>
  <c r="J35" i="25"/>
  <c r="J36" i="25"/>
  <c r="J37" i="25"/>
  <c r="J32" i="25"/>
  <c r="J27" i="25"/>
  <c r="J28" i="25"/>
  <c r="J30" i="25"/>
  <c r="K108" i="6"/>
  <c r="M16" i="34"/>
  <c r="O16" i="34" s="1"/>
  <c r="E39" i="25"/>
  <c r="Q108" i="6"/>
  <c r="Q53" i="6"/>
  <c r="J26" i="25"/>
  <c r="I25" i="25"/>
  <c r="J25" i="25"/>
  <c r="G85" i="6"/>
  <c r="M85" i="6"/>
  <c r="M56" i="6"/>
  <c r="M52" i="6"/>
  <c r="E43" i="25"/>
  <c r="G43" i="25" s="1"/>
  <c r="G9" i="25"/>
  <c r="E23" i="25"/>
  <c r="K85" i="6"/>
  <c r="Q85" i="6"/>
  <c r="Q52" i="6"/>
  <c r="K16" i="34"/>
  <c r="J52" i="6"/>
  <c r="J56" i="6"/>
  <c r="J11" i="25"/>
  <c r="J21" i="25"/>
  <c r="J17" i="25"/>
  <c r="J19" i="25"/>
  <c r="J20" i="25"/>
  <c r="J16" i="25"/>
  <c r="D41" i="25"/>
  <c r="D45" i="25" s="1"/>
  <c r="J18" i="25"/>
  <c r="J12" i="25"/>
  <c r="J14" i="25"/>
  <c r="J13" i="25"/>
  <c r="J15" i="25"/>
  <c r="J10" i="25"/>
  <c r="G59" i="15"/>
  <c r="G68" i="15"/>
  <c r="I13" i="34"/>
  <c r="F68" i="15"/>
  <c r="F59" i="15"/>
  <c r="H54" i="7"/>
  <c r="J54" i="7"/>
  <c r="N8" i="34"/>
  <c r="H8" i="34"/>
  <c r="AH99" i="28"/>
  <c r="AH43" i="28"/>
  <c r="AC98" i="28"/>
  <c r="AC48" i="28"/>
  <c r="AC97" i="28"/>
  <c r="F27" i="13"/>
  <c r="G27" i="13"/>
  <c r="H8" i="13"/>
  <c r="I8" i="13"/>
  <c r="G63" i="12"/>
  <c r="M12" i="34"/>
  <c r="H59" i="12"/>
  <c r="I59" i="12"/>
  <c r="G66" i="12"/>
  <c r="N12" i="34"/>
  <c r="M11" i="34"/>
  <c r="O11" i="34" s="1"/>
  <c r="G63" i="11"/>
  <c r="I59" i="11"/>
  <c r="H59" i="11"/>
  <c r="N11" i="34"/>
  <c r="L10" i="34"/>
  <c r="J37" i="9"/>
  <c r="J38" i="9"/>
  <c r="J39" i="9"/>
  <c r="I59" i="9"/>
  <c r="J55" i="9"/>
  <c r="J52" i="9"/>
  <c r="J49" i="9"/>
  <c r="J50" i="9"/>
  <c r="J51" i="9"/>
  <c r="J56" i="9"/>
  <c r="J35" i="9"/>
  <c r="J44" i="9"/>
  <c r="J43" i="9"/>
  <c r="J42" i="9"/>
  <c r="J54" i="9"/>
  <c r="J47" i="9"/>
  <c r="F61" i="9"/>
  <c r="J53" i="9"/>
  <c r="J45" i="9"/>
  <c r="J41" i="9"/>
  <c r="J40" i="9"/>
  <c r="F63" i="9"/>
  <c r="J36" i="9"/>
  <c r="J46" i="9"/>
  <c r="N9" i="34"/>
  <c r="F56" i="8"/>
  <c r="N56" i="6" l="1"/>
  <c r="H114" i="6" s="1"/>
  <c r="N111" i="6"/>
  <c r="H111" i="6"/>
  <c r="H13" i="34"/>
  <c r="N10" i="34"/>
  <c r="I10" i="34"/>
  <c r="I11" i="34"/>
  <c r="J25" i="10"/>
  <c r="J59" i="10"/>
  <c r="J9" i="10"/>
  <c r="J21" i="10"/>
  <c r="J54" i="10"/>
  <c r="J14" i="10"/>
  <c r="J30" i="10"/>
  <c r="J20" i="10"/>
  <c r="J33" i="10"/>
  <c r="J10" i="10"/>
  <c r="J41" i="10"/>
  <c r="J57" i="10"/>
  <c r="J55" i="10"/>
  <c r="J26" i="10"/>
  <c r="J34" i="10"/>
  <c r="J45" i="10"/>
  <c r="J17" i="10"/>
  <c r="J58" i="10"/>
  <c r="J49" i="10"/>
  <c r="J47" i="10"/>
  <c r="J44" i="10"/>
  <c r="J22" i="10"/>
  <c r="J32" i="10"/>
  <c r="J13" i="10"/>
  <c r="J31" i="10"/>
  <c r="J38" i="10"/>
  <c r="J56" i="10"/>
  <c r="J15" i="10"/>
  <c r="J16" i="10"/>
  <c r="J18" i="10"/>
  <c r="J19" i="10"/>
  <c r="J42" i="10"/>
  <c r="J36" i="10"/>
  <c r="J46" i="10"/>
  <c r="J53" i="10"/>
  <c r="J50" i="10"/>
  <c r="J37" i="10"/>
  <c r="J48" i="10"/>
  <c r="J11" i="10"/>
  <c r="J40" i="10"/>
  <c r="J52" i="10"/>
  <c r="J43" i="10"/>
  <c r="J35" i="10"/>
  <c r="J12" i="10"/>
  <c r="J39" i="10"/>
  <c r="J24" i="10"/>
  <c r="I62" i="10"/>
  <c r="J29" i="10"/>
  <c r="X97" i="28"/>
  <c r="X48" i="28"/>
  <c r="X98" i="28"/>
  <c r="T48" i="28"/>
  <c r="T97" i="28"/>
  <c r="T98" i="28"/>
  <c r="S98" i="28"/>
  <c r="S48" i="28"/>
  <c r="S97" i="28"/>
  <c r="Q56" i="6"/>
  <c r="K114" i="6" s="1"/>
  <c r="I114" i="6"/>
  <c r="J114" i="6"/>
  <c r="J110" i="6"/>
  <c r="K110" i="6"/>
  <c r="G110" i="6"/>
  <c r="G114" i="6"/>
  <c r="G39" i="25"/>
  <c r="I39" i="25" s="1"/>
  <c r="E42" i="25"/>
  <c r="G42" i="25" s="1"/>
  <c r="I42" i="25" s="1"/>
  <c r="Q111" i="6"/>
  <c r="K111" i="6"/>
  <c r="E41" i="25"/>
  <c r="G23" i="25"/>
  <c r="I23" i="25" s="1"/>
  <c r="I16" i="34"/>
  <c r="N16" i="34"/>
  <c r="I9" i="25"/>
  <c r="J9" i="25"/>
  <c r="AH98" i="28"/>
  <c r="AH48" i="28"/>
  <c r="AH97" i="28"/>
  <c r="H27" i="13"/>
  <c r="G47" i="13"/>
  <c r="J8" i="13"/>
  <c r="J9" i="13"/>
  <c r="J14" i="13"/>
  <c r="J19" i="13"/>
  <c r="J12" i="13"/>
  <c r="I27" i="13"/>
  <c r="J17" i="13"/>
  <c r="J23" i="13"/>
  <c r="J20" i="13"/>
  <c r="J18" i="13"/>
  <c r="J15" i="13"/>
  <c r="F47" i="13"/>
  <c r="J11" i="13"/>
  <c r="J21" i="13"/>
  <c r="J24" i="13"/>
  <c r="J13" i="13"/>
  <c r="J22" i="13"/>
  <c r="J25" i="13"/>
  <c r="J10" i="13"/>
  <c r="J16" i="13"/>
  <c r="O12" i="34"/>
  <c r="I12" i="34"/>
  <c r="H63" i="12"/>
  <c r="I63" i="12"/>
  <c r="I63" i="11"/>
  <c r="H63" i="11"/>
  <c r="I63" i="9"/>
  <c r="F66" i="9"/>
  <c r="H10" i="34"/>
  <c r="O10" i="34"/>
  <c r="E45" i="25" l="1"/>
  <c r="G45" i="25" s="1"/>
  <c r="G41" i="25"/>
  <c r="F51" i="13"/>
  <c r="G51" i="13"/>
  <c r="E66" i="33" l="1"/>
  <c r="I66" i="33" l="1"/>
  <c r="I71" i="33" s="1"/>
  <c r="I83" i="33" s="1"/>
  <c r="E71" i="33"/>
  <c r="E83" i="33" s="1"/>
</calcChain>
</file>

<file path=xl/sharedStrings.xml><?xml version="1.0" encoding="utf-8"?>
<sst xmlns="http://schemas.openxmlformats.org/spreadsheetml/2006/main" count="838" uniqueCount="602">
  <si>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</si>
  <si>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</si>
  <si>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</si>
  <si>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</si>
  <si>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</si>
  <si>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</si>
  <si>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</si>
  <si>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</si>
  <si>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</si>
  <si>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</si>
  <si>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</si>
  <si>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</si>
  <si>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</si>
  <si>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</si>
  <si>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</si>
  <si>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</si>
  <si>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</si>
  <si>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</si>
  <si>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</si>
  <si>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</si>
  <si>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</si>
  <si>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</si>
  <si>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</si>
  <si>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</si>
  <si>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</si>
  <si>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</si>
  <si>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</si>
  <si>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</si>
  <si>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</si>
  <si>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</si>
  <si>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</si>
  <si>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</si>
  <si>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</si>
  <si>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</si>
  <si>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</si>
  <si>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</si>
  <si>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</si>
  <si>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</si>
  <si>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</si>
  <si>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</si>
  <si>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</si>
  <si>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</si>
  <si>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</si>
  <si>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</si>
  <si>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</si>
  <si>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</si>
  <si>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</si>
  <si>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</si>
  <si>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</si>
  <si>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</si>
  <si>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</si>
  <si>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</si>
  <si>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</si>
  <si>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</si>
  <si>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</si>
  <si>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</si>
  <si>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</si>
  <si>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</si>
  <si>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</si>
  <si>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</si>
  <si>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</si>
  <si>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</si>
  <si>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</si>
  <si>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</si>
  <si>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</si>
  <si>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</si>
  <si>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</si>
  <si>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</si>
  <si>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</si>
  <si>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</si>
  <si>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</si>
  <si>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</si>
  <si>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</si>
  <si>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</si>
  <si>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</si>
  <si>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</si>
  <si>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</si>
  <si>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</si>
  <si>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</si>
  <si>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</si>
  <si>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</si>
  <si>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</si>
  <si>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</si>
  <si>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</si>
  <si>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</si>
  <si>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</si>
  <si>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</si>
  <si>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</si>
  <si>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</si>
  <si>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</si>
  <si>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</si>
  <si>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</si>
  <si>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</si>
  <si>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</si>
  <si>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</si>
  <si>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</si>
  <si>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</si>
  <si>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</si>
  <si>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</si>
  <si>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</si>
  <si>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</si>
  <si>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</si>
  <si>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</si>
  <si>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</si>
  <si>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</si>
  <si>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</si>
  <si>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</si>
  <si>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</si>
  <si>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</si>
  <si>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</si>
  <si>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</si>
  <si>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</si>
  <si>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</si>
  <si>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</si>
  <si>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</si>
  <si>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</si>
  <si>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</si>
  <si>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</si>
  <si>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</si>
  <si>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</si>
  <si>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</si>
  <si>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</si>
  <si>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</si>
  <si>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</si>
  <si>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</si>
  <si>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</si>
  <si>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</si>
  <si>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</si>
  <si>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</si>
  <si>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</si>
  <si>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</si>
  <si>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</si>
  <si>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</si>
  <si>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</si>
  <si>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</si>
  <si>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</si>
  <si>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</si>
  <si>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</si>
  <si>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</si>
  <si>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</si>
  <si>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</si>
  <si>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</si>
  <si>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</si>
  <si>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</si>
  <si>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</si>
  <si>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</si>
  <si>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</si>
  <si>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para a Sustentabilidade Sistémica do Setor Energético (5941)</t>
  </si>
  <si>
    <t>Fundo Florestal Permanente (5883)</t>
  </si>
  <si>
    <t>Fundo de Eficiência Energética (5028)</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</si>
  <si>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</si>
  <si>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</si>
  <si>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</si>
  <si>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</si>
  <si>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</si>
  <si>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</si>
  <si>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</si>
  <si>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</si>
  <si>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</si>
  <si>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</si>
  <si>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</si>
  <si>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</si>
  <si>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</si>
  <si>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</si>
  <si>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</si>
  <si>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</si>
  <si>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</si>
  <si>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</si>
  <si>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</si>
  <si>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</si>
  <si>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</si>
  <si>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</si>
  <si>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</si>
  <si>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</si>
  <si>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</si>
  <si>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</si>
  <si>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</si>
  <si>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</si>
  <si>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</si>
  <si>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</si>
  <si>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</si>
  <si>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</si>
  <si>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</si>
  <si>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</si>
  <si>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</si>
  <si>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</si>
  <si>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</si>
  <si>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</si>
  <si>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</si>
  <si>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</si>
  <si>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</si>
  <si>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</si>
  <si>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</si>
  <si>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</si>
  <si>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</si>
  <si>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</si>
  <si>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</si>
  <si>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</si>
  <si>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</si>
  <si>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</si>
  <si>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</si>
  <si>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</si>
  <si>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</si>
  <si>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</si>
  <si>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</si>
  <si>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</si>
  <si>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</si>
  <si>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</si>
  <si>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</si>
  <si>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</si>
  <si>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</si>
  <si>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</si>
  <si>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</si>
  <si>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</si>
  <si>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</si>
  <si>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</si>
  <si>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</si>
  <si>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</si>
  <si>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</si>
  <si>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</si>
  <si>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</si>
  <si>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</si>
  <si>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</si>
  <si>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</si>
  <si>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</si>
  <si>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</si>
  <si>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</si>
  <si>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</si>
  <si>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</si>
  <si>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</si>
  <si>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</si>
  <si>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</si>
  <si>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</si>
  <si>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</si>
  <si>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</si>
  <si>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</si>
  <si>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</si>
  <si>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</si>
  <si>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</si>
  <si>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</si>
  <si>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</si>
  <si>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</si>
  <si>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</si>
  <si>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</si>
  <si>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</si>
  <si>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</si>
  <si>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</si>
  <si>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</si>
  <si>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</si>
  <si>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</si>
  <si>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</si>
  <si>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</si>
  <si>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</si>
  <si>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</si>
  <si>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</si>
  <si>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</si>
  <si>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</si>
  <si>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</si>
  <si>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</si>
  <si>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</si>
  <si>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</si>
  <si>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</si>
  <si>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</si>
  <si>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</si>
  <si>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</si>
  <si>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</si>
  <si>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</si>
  <si>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</si>
  <si>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</si>
  <si>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</si>
  <si>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</si>
  <si>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</si>
  <si>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</si>
  <si>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</si>
  <si>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</si>
  <si>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</si>
  <si>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</si>
  <si>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</si>
  <si>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</si>
  <si>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</si>
  <si>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</si>
  <si>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</si>
  <si>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</si>
  <si>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</si>
  <si>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</si>
  <si>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</si>
  <si>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</si>
  <si>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</si>
  <si>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</si>
  <si>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</si>
  <si>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</si>
  <si>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</si>
  <si>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</si>
  <si>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</si>
  <si>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</si>
  <si>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</si>
  <si>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</si>
  <si>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</si>
  <si>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</si>
  <si>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</si>
  <si>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</si>
  <si>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</si>
  <si>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</si>
  <si>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</si>
  <si>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</si>
  <si>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</si>
  <si>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</si>
  <si>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</si>
  <si>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</si>
  <si>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</si>
  <si>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</si>
  <si>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</si>
  <si>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</si>
  <si>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</si>
  <si>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</si>
  <si>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</si>
  <si>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</si>
  <si>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</si>
  <si>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</si>
  <si>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</si>
  <si>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</si>
  <si>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</si>
  <si>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</si>
  <si>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</si>
  <si>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</si>
  <si>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</si>
  <si>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</si>
  <si>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</si>
  <si>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</si>
  <si>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</si>
  <si>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</si>
  <si>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</si>
  <si>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</si>
  <si>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</si>
  <si>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</si>
  <si>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</si>
  <si>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</si>
  <si>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</si>
  <si>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</si>
  <si>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</si>
  <si>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</si>
  <si>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</si>
  <si>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</si>
  <si>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</si>
  <si>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</si>
  <si>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</si>
  <si>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</si>
  <si>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</si>
  <si>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</si>
  <si>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</si>
  <si>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</si>
  <si>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</si>
  <si>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</si>
  <si>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</si>
  <si>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</si>
  <si>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</si>
  <si>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</si>
  <si>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</si>
  <si>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</si>
  <si>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</si>
  <si>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</si>
  <si>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</si>
  <si>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</si>
  <si>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</si>
  <si>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</si>
  <si>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</si>
  <si>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</si>
  <si>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</si>
  <si>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</si>
  <si>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</si>
  <si>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</si>
  <si>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</si>
  <si>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</si>
  <si>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</si>
  <si>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</si>
  <si>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</si>
  <si>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</si>
  <si>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</si>
  <si>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</si>
  <si>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</si>
  <si>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</si>
  <si>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</si>
  <si>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</si>
  <si>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</si>
  <si>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</si>
  <si>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</si>
  <si>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</si>
  <si>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</si>
  <si>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</si>
  <si>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</si>
  <si>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</si>
  <si>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</si>
  <si>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</si>
  <si>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</si>
  <si>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</si>
  <si>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</si>
  <si>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</si>
  <si>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</si>
  <si>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</si>
  <si>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</si>
  <si>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</si>
  <si>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</si>
  <si>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</si>
  <si>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</si>
  <si>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</si>
  <si>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</si>
  <si>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</si>
  <si>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</si>
  <si>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</si>
  <si>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</si>
  <si>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</si>
  <si>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</si>
  <si>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</si>
  <si>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</si>
  <si>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</si>
  <si>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</si>
  <si>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</si>
  <si>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</si>
  <si>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</si>
  <si>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</si>
  <si>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</si>
  <si>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</si>
  <si>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</si>
  <si>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</si>
  <si>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</si>
  <si>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</si>
  <si>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</si>
  <si>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Parups, S.A. (5781)</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</si>
  <si>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</si>
  <si>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</si>
  <si>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</si>
  <si>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</si>
  <si>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</si>
  <si>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</si>
  <si>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</si>
  <si>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</si>
  <si>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</si>
  <si>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</si>
  <si>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</si>
  <si>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</si>
  <si>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</si>
  <si>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</si>
  <si>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</si>
  <si>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</si>
  <si>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</si>
  <si>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</si>
  <si>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</si>
  <si>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</si>
  <si>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</si>
  <si>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</si>
  <si>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</si>
  <si>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</si>
  <si>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</si>
  <si>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</si>
  <si>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</si>
  <si>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</si>
  <si>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</si>
  <si>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</si>
  <si>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</si>
  <si>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</si>
  <si>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</si>
  <si>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</si>
  <si>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</si>
  <si>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</si>
  <si>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</si>
  <si>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</si>
  <si>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</si>
  <si>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</si>
  <si>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</si>
  <si>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</si>
  <si>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</si>
  <si>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</si>
  <si>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</si>
  <si>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</si>
  <si>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</si>
  <si>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</si>
  <si>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</si>
  <si>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</si>
  <si>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</si>
  <si>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</si>
  <si>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</si>
  <si>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</si>
  <si>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</si>
  <si>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</si>
  <si>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</si>
  <si>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</si>
  <si>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</si>
  <si>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</si>
  <si>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</si>
  <si>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</si>
  <si>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</si>
  <si>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</si>
  <si>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</si>
  <si>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</si>
  <si>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</si>
  <si>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</si>
  <si>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</si>
  <si>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</si>
  <si>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</si>
  <si>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</si>
  <si>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</si>
  <si>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</si>
  <si>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</si>
  <si>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</si>
  <si>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</si>
  <si>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</si>
  <si>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</si>
  <si>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</si>
  <si>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</si>
  <si>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</si>
  <si>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</si>
  <si>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</si>
  <si>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</si>
  <si>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</si>
  <si>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</si>
  <si>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</si>
  <si>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</si>
  <si>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</si>
  <si>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</si>
  <si>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</si>
  <si>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</si>
  <si>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</si>
  <si>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</si>
  <si>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</si>
  <si>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</si>
  <si>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</si>
  <si>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</si>
  <si>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</si>
  <si>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</si>
  <si>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</si>
  <si>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</si>
  <si>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</si>
  <si>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</si>
  <si>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</si>
  <si>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</si>
  <si>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</si>
  <si>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</si>
  <si>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</si>
  <si>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</si>
  <si>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</si>
  <si>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</si>
  <si>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</si>
  <si>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</si>
  <si>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</si>
  <si>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</si>
  <si>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</si>
  <si>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</si>
  <si>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</si>
  <si>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</si>
  <si>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</si>
  <si>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</si>
  <si>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</si>
  <si>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</si>
  <si>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</si>
  <si>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</si>
  <si>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</si>
  <si>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</si>
  <si>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</si>
  <si>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</si>
  <si>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</si>
  <si>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</si>
  <si>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</si>
  <si>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</si>
  <si>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</si>
  <si>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</si>
  <si>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</si>
  <si>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</si>
  <si>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</si>
  <si>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</si>
  <si>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</si>
  <si>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</si>
  <si>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</si>
  <si>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</si>
  <si>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</si>
  <si>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</si>
  <si>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</si>
  <si>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</si>
  <si>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</si>
  <si>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</si>
  <si>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</si>
  <si>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</si>
  <si>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</si>
  <si>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</si>
  <si>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</si>
  <si>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</si>
  <si>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</si>
  <si>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ago</t>
  </si>
  <si>
    <t>set*</t>
  </si>
  <si>
    <t>out*</t>
  </si>
  <si>
    <t>nov*</t>
  </si>
  <si>
    <t>jan*</t>
  </si>
  <si>
    <t>fev*</t>
  </si>
  <si>
    <t>mar*</t>
  </si>
  <si>
    <t>abr*</t>
  </si>
  <si>
    <t>mai*</t>
  </si>
  <si>
    <t>jun*</t>
  </si>
  <si>
    <t>jul*</t>
  </si>
  <si>
    <t>ago*</t>
  </si>
  <si>
    <t>Banif, S.A.; Fundação para o Desenvolvimento Ciências Económicas Financeiras e Empresariais.</t>
  </si>
  <si>
    <t>Por motivos de ordem técnica, a execução orçamental da Força Aérea, relativa a setembro de 2022, não foi apropriada integralmente pelos sistemas orçamentais centrais, tendo a entidade enviado, posteriormente, a devida informação.</t>
  </si>
  <si>
    <t>Due to technical reasons, the budget implementation data regarding the Air Force for september 2022, was not fully transposed from the local to the central budget information systems. The required information was later sent by the aforementioned entity.</t>
  </si>
  <si>
    <t>FORÇA AÉREA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</si>
</sst>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style="dashed">
        <color indexed="12"/>
      </left>
      <right/>
      <top style="thin">
        <color indexed="12"/>
      </top>
      <bottom/>
      <diagonal/>
    </border>
    <border>
      <left/>
      <right style="dashed">
        <color indexed="12"/>
      </right>
      <top style="thin">
        <color indexed="12"/>
      </top>
      <bottom/>
      <diagonal/>
    </border>
    <border>
      <left style="dashed">
        <color indexed="12"/>
      </left>
      <right/>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indexed="12"/>
      </left>
      <right/>
      <top/>
      <bottom style="thin">
        <color indexed="12"/>
      </bottom>
      <diagonal/>
    </border>
  </borders>
  <cellStyleXfs count="2786">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791">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69" fontId="193" fillId="3" borderId="0" xfId="18" applyNumberFormat="1"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43" fontId="0" fillId="0" borderId="0" xfId="0" applyNumberFormat="1"/>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4" xfId="1" applyNumberFormat="1" applyFont="1" applyFill="1" applyBorder="1" applyAlignment="1">
      <alignment vertical="center"/>
    </xf>
    <xf numFmtId="0" fontId="237" fillId="0" borderId="100"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243" fontId="48" fillId="0" borderId="82" xfId="0" quotePrefix="1" applyNumberFormat="1" applyFont="1" applyFill="1" applyBorder="1" applyAlignment="1">
      <alignment horizontal="center"/>
    </xf>
    <xf numFmtId="243" fontId="48" fillId="0" borderId="81" xfId="0" quotePrefix="1" applyNumberFormat="1" applyFont="1" applyFill="1" applyBorder="1" applyAlignment="1">
      <alignment horizontal="center"/>
    </xf>
    <xf numFmtId="243" fontId="21" fillId="0" borderId="81" xfId="0" quotePrefix="1" applyNumberFormat="1" applyFont="1" applyFill="1" applyBorder="1" applyAlignment="1">
      <alignment horizontal="center"/>
    </xf>
    <xf numFmtId="243" fontId="48" fillId="0" borderId="0" xfId="0" quotePrefix="1" applyNumberFormat="1" applyFont="1" applyFill="1" applyBorder="1" applyAlignment="1">
      <alignment horizontal="center"/>
    </xf>
    <xf numFmtId="243" fontId="48" fillId="0" borderId="83" xfId="0" quotePrefix="1" applyNumberFormat="1" applyFont="1" applyFill="1" applyBorder="1" applyAlignment="1">
      <alignment horizontal="center"/>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0" fontId="29" fillId="0" borderId="81" xfId="0" applyFont="1" applyFill="1" applyBorder="1" applyAlignment="1">
      <alignment horizontal="left" indent="2"/>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0" fontId="50" fillId="0" borderId="0" xfId="0" applyFont="1" applyFill="1"/>
    <xf numFmtId="0" fontId="213" fillId="0" borderId="83" xfId="0" applyFont="1" applyFill="1" applyBorder="1" applyAlignment="1">
      <alignment vertical="top" wrapText="1"/>
    </xf>
    <xf numFmtId="0" fontId="213" fillId="0" borderId="0" xfId="0" applyFont="1" applyFill="1" applyAlignment="1">
      <alignment vertical="top" wrapText="1"/>
    </xf>
    <xf numFmtId="179" fontId="212" fillId="0" borderId="73" xfId="42" applyNumberFormat="1" applyFont="1" applyFill="1" applyBorder="1"/>
    <xf numFmtId="243" fontId="40" fillId="0" borderId="80" xfId="0" quotePrefix="1" applyNumberFormat="1" applyFont="1" applyFill="1" applyBorder="1" applyAlignment="1">
      <alignment horizontal="center"/>
    </xf>
    <xf numFmtId="243" fontId="40" fillId="0" borderId="79" xfId="0" quotePrefix="1" applyNumberFormat="1" applyFont="1" applyFill="1" applyBorder="1" applyAlignment="1">
      <alignment horizontal="center"/>
    </xf>
    <xf numFmtId="243" fontId="40" fillId="0" borderId="78" xfId="0" quotePrefix="1" applyNumberFormat="1" applyFont="1" applyFill="1" applyBorder="1" applyAlignment="1">
      <alignment horizontal="center"/>
    </xf>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0" fontId="213" fillId="0" borderId="79" xfId="0" applyFont="1" applyFill="1" applyBorder="1"/>
    <xf numFmtId="0" fontId="50" fillId="0" borderId="79" xfId="0" applyFont="1" applyFill="1" applyBorder="1"/>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65" fontId="46" fillId="0" borderId="0" xfId="14" applyNumberFormat="1" applyFont="1" applyFill="1"/>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right"/>
    </xf>
    <xf numFmtId="165" fontId="21" fillId="0" borderId="0" xfId="16" applyNumberFormat="1" applyFont="1" applyFill="1" applyBorder="1" applyAlignment="1">
      <alignment horizontal="left" vertical="center" indent="2"/>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165" fontId="21" fillId="0" borderId="0" xfId="16" applyNumberFormat="1" applyFont="1" applyFill="1" applyBorder="1" applyAlignment="1">
      <alignment vertical="center"/>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vertical="center"/>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0" fontId="21" fillId="0" borderId="0" xfId="16" quotePrefix="1" applyNumberFormat="1" applyFont="1" applyFill="1" applyBorder="1" applyAlignment="1">
      <alignment horizontal="center" vertical="center"/>
    </xf>
    <xf numFmtId="165" fontId="36" fillId="0" borderId="0" xfId="12" applyNumberFormat="1" applyFont="1" applyFill="1" applyAlignment="1">
      <alignment vertical="center"/>
    </xf>
    <xf numFmtId="165" fontId="29" fillId="0" borderId="0" xfId="12" applyNumberFormat="1" applyFont="1" applyFill="1" applyBorder="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9" fillId="0" borderId="0" xfId="12" applyNumberFormat="1" applyFont="1" applyFill="1" applyBorder="1" applyAlignment="1">
      <alignment horizontal="right" vertical="center"/>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0" xfId="15" applyNumberFormat="1" applyFont="1" applyFill="1" applyBorder="1" applyAlignment="1">
      <alignment horizontal="left" vertical="center" indent="1"/>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82" fillId="0" borderId="11" xfId="15" applyNumberFormat="1" applyFont="1" applyFill="1" applyBorder="1" applyAlignment="1">
      <alignment vertical="center" wrapText="1"/>
    </xf>
    <xf numFmtId="165" fontId="25" fillId="0" borderId="11" xfId="12" quotePrefix="1" applyNumberFormat="1" applyFont="1" applyFill="1" applyBorder="1" applyAlignment="1">
      <alignment horizontal="center" vertical="center" wrapText="1"/>
    </xf>
    <xf numFmtId="165" fontId="21" fillId="0" borderId="11" xfId="15" applyNumberFormat="1" applyFont="1" applyFill="1" applyBorder="1" applyAlignment="1">
      <alignment vertical="center"/>
    </xf>
    <xf numFmtId="165" fontId="81" fillId="0" borderId="0" xfId="12" quotePrefix="1" applyNumberFormat="1" applyFont="1" applyFill="1" applyBorder="1" applyAlignment="1">
      <alignment horizontal="left" vertical="center" wrapText="1"/>
    </xf>
    <xf numFmtId="165" fontId="46" fillId="0" borderId="0" xfId="14" applyNumberFormat="1" applyFont="1" applyFill="1" applyAlignment="1"/>
    <xf numFmtId="165" fontId="20" fillId="0" borderId="0" xfId="14" applyNumberFormat="1" applyFont="1" applyFill="1" applyAlignment="1"/>
    <xf numFmtId="183" fontId="199" fillId="0" borderId="0" xfId="18" applyNumberFormat="1" applyFont="1" applyFill="1" applyBorder="1"/>
    <xf numFmtId="165" fontId="188" fillId="0" borderId="0" xfId="10" applyNumberFormat="1" applyFont="1" applyFill="1" applyBorder="1" applyAlignment="1">
      <alignment horizontal="left" vertical="center"/>
    </xf>
    <xf numFmtId="165" fontId="35" fillId="0" borderId="0" xfId="10" applyNumberFormat="1" applyFont="1" applyFill="1" applyBorder="1" applyAlignment="1">
      <alignment horizontal="right" vertical="center"/>
    </xf>
    <xf numFmtId="165" fontId="29" fillId="0" borderId="25" xfId="10" quotePrefix="1" applyNumberFormat="1" applyFont="1" applyFill="1" applyBorder="1" applyAlignment="1">
      <alignment horizontal="center" vertical="center"/>
    </xf>
    <xf numFmtId="165" fontId="29" fillId="0" borderId="23" xfId="10" quotePrefix="1" applyNumberFormat="1" applyFont="1" applyFill="1" applyBorder="1" applyAlignment="1">
      <alignment horizontal="center" vertical="center"/>
    </xf>
    <xf numFmtId="165" fontId="21" fillId="0" borderId="93" xfId="10" quotePrefix="1" applyNumberFormat="1" applyFont="1" applyFill="1" applyBorder="1" applyAlignment="1">
      <alignment horizontal="center" vertical="center"/>
    </xf>
    <xf numFmtId="165" fontId="21" fillId="0" borderId="92" xfId="10" quotePrefix="1" applyNumberFormat="1" applyFont="1" applyFill="1" applyBorder="1" applyAlignment="1">
      <alignment horizontal="center" vertical="center"/>
    </xf>
    <xf numFmtId="165" fontId="29" fillId="0" borderId="0" xfId="29" applyNumberFormat="1" applyFont="1" applyFill="1" applyBorder="1" applyAlignment="1">
      <alignment horizontal="left" vertical="top" indent="1"/>
    </xf>
    <xf numFmtId="165" fontId="21" fillId="0" borderId="18"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9" fillId="0" borderId="13" xfId="0" applyNumberFormat="1" applyFont="1" applyFill="1" applyBorder="1" applyAlignment="1">
      <alignment horizontal="right" vertical="center"/>
    </xf>
    <xf numFmtId="165" fontId="21" fillId="0" borderId="0" xfId="0" applyNumberFormat="1" applyFont="1" applyFill="1" applyBorder="1" applyAlignment="1">
      <alignment horizontal="right" vertical="center"/>
    </xf>
    <xf numFmtId="165" fontId="21" fillId="0" borderId="97" xfId="0" applyNumberFormat="1" applyFont="1" applyFill="1" applyBorder="1" applyAlignment="1">
      <alignment horizontal="right" vertical="center"/>
    </xf>
    <xf numFmtId="165" fontId="29" fillId="0" borderId="28" xfId="0" applyNumberFormat="1" applyFont="1" applyFill="1" applyBorder="1" applyAlignment="1">
      <alignment horizontal="right" vertical="center"/>
    </xf>
    <xf numFmtId="165" fontId="21" fillId="0" borderId="20" xfId="0" applyNumberFormat="1" applyFont="1" applyFill="1" applyBorder="1" applyAlignment="1">
      <alignment horizontal="right" vertical="center"/>
    </xf>
    <xf numFmtId="165" fontId="22" fillId="0" borderId="22" xfId="29" applyNumberFormat="1" applyFont="1" applyFill="1" applyBorder="1" applyAlignment="1">
      <alignment vertical="center"/>
    </xf>
    <xf numFmtId="165" fontId="22" fillId="0" borderId="92" xfId="29" applyNumberFormat="1" applyFont="1" applyFill="1" applyBorder="1" applyAlignment="1">
      <alignment vertical="center"/>
    </xf>
    <xf numFmtId="165" fontId="35" fillId="0" borderId="10" xfId="29" applyNumberFormat="1" applyFont="1" applyFill="1" applyBorder="1" applyAlignment="1">
      <alignment vertical="center"/>
    </xf>
    <xf numFmtId="165" fontId="21" fillId="0" borderId="0" xfId="1438" applyNumberFormat="1" applyFont="1" applyFill="1" applyBorder="1" applyAlignment="1">
      <alignment horizontal="right" vertical="center"/>
    </xf>
    <xf numFmtId="165" fontId="21" fillId="0" borderId="97" xfId="1438" applyNumberFormat="1" applyFont="1" applyFill="1" applyBorder="1" applyAlignment="1">
      <alignment horizontal="right" vertical="center"/>
    </xf>
    <xf numFmtId="165" fontId="21" fillId="0" borderId="20" xfId="1438" applyNumberFormat="1" applyFont="1" applyFill="1" applyBorder="1" applyAlignment="1">
      <alignment horizontal="right" vertical="center"/>
    </xf>
    <xf numFmtId="3" fontId="35" fillId="0" borderId="0" xfId="29" applyNumberFormat="1" applyFont="1" applyFill="1" applyBorder="1" applyAlignment="1">
      <alignment horizontal="left" vertical="center"/>
    </xf>
    <xf numFmtId="165" fontId="35" fillId="0" borderId="0" xfId="29" applyNumberFormat="1" applyFont="1" applyFill="1" applyBorder="1" applyAlignment="1">
      <alignment vertical="center"/>
    </xf>
    <xf numFmtId="3" fontId="19" fillId="0" borderId="0" xfId="29" applyNumberFormat="1" applyFont="1" applyFill="1" applyBorder="1" applyAlignment="1">
      <alignment vertical="center"/>
    </xf>
    <xf numFmtId="165" fontId="38" fillId="0" borderId="0" xfId="29" applyNumberFormat="1" applyFont="1" applyFill="1" applyBorder="1" applyAlignment="1">
      <alignment horizontal="left" vertical="top"/>
    </xf>
    <xf numFmtId="3" fontId="11" fillId="0" borderId="0" xfId="18" applyNumberFormat="1" applyFill="1" applyBorder="1"/>
    <xf numFmtId="165" fontId="29" fillId="0" borderId="0" xfId="29" applyNumberFormat="1" applyFont="1" applyFill="1" applyBorder="1" applyAlignment="1">
      <alignment horizontal="left" vertical="top"/>
    </xf>
    <xf numFmtId="165" fontId="29" fillId="0" borderId="0" xfId="29" quotePrefix="1" applyNumberFormat="1" applyFont="1" applyFill="1" applyBorder="1" applyAlignment="1">
      <alignment horizontal="left" vertical="top"/>
    </xf>
    <xf numFmtId="165" fontId="31" fillId="0" borderId="0" xfId="29" applyNumberFormat="1" applyFont="1" applyFill="1" applyBorder="1" applyAlignment="1">
      <alignment horizontal="left" vertical="top"/>
    </xf>
    <xf numFmtId="165" fontId="19" fillId="0" borderId="0" xfId="10" applyNumberFormat="1" applyFont="1" applyFill="1" applyBorder="1" applyAlignment="1">
      <alignment horizontal="left" vertical="center"/>
    </xf>
    <xf numFmtId="3" fontId="35" fillId="0" borderId="0" xfId="16" applyNumberFormat="1" applyFont="1" applyFill="1" applyBorder="1" applyAlignment="1">
      <alignment horizontal="left" vertical="center"/>
    </xf>
    <xf numFmtId="165" fontId="35" fillId="0" borderId="8" xfId="0" applyNumberFormat="1" applyFont="1" applyFill="1" applyBorder="1" applyAlignment="1">
      <alignment horizontal="right" vertical="center"/>
    </xf>
    <xf numFmtId="165" fontId="29" fillId="0" borderId="0" xfId="16" applyNumberFormat="1" applyFont="1" applyFill="1" applyBorder="1" applyAlignment="1">
      <alignment horizontal="left" vertical="center" indent="1"/>
    </xf>
    <xf numFmtId="165" fontId="29" fillId="0" borderId="0" xfId="18" applyNumberFormat="1" applyFont="1" applyFill="1" applyBorder="1" applyAlignment="1">
      <alignment horizontal="right" vertical="center"/>
    </xf>
    <xf numFmtId="165" fontId="29" fillId="0" borderId="0" xfId="0" applyNumberFormat="1" applyFont="1" applyFill="1" applyBorder="1" applyAlignment="1">
      <alignment horizontal="right" vertical="center"/>
    </xf>
    <xf numFmtId="165" fontId="35" fillId="0" borderId="0" xfId="16" applyNumberFormat="1" applyFont="1" applyFill="1" applyBorder="1" applyAlignment="1">
      <alignment horizontal="left" vertical="center"/>
    </xf>
    <xf numFmtId="165" fontId="35" fillId="0" borderId="0" xfId="0"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35" fillId="0" borderId="11" xfId="16" applyNumberFormat="1" applyFont="1" applyFill="1" applyBorder="1" applyAlignment="1">
      <alignment horizontal="right" vertical="center"/>
    </xf>
    <xf numFmtId="165" fontId="35" fillId="0" borderId="0" xfId="16" applyNumberFormat="1" applyFont="1" applyFill="1" applyBorder="1" applyAlignment="1">
      <alignment vertical="center"/>
    </xf>
    <xf numFmtId="165" fontId="35" fillId="0" borderId="0" xfId="16" applyNumberFormat="1" applyFont="1" applyFill="1" applyBorder="1" applyAlignment="1">
      <alignment horizontal="right" vertical="center"/>
    </xf>
    <xf numFmtId="165" fontId="30" fillId="0" borderId="0" xfId="16" applyNumberFormat="1" applyFont="1" applyFill="1" applyBorder="1" applyAlignment="1">
      <alignment vertical="top"/>
    </xf>
    <xf numFmtId="165" fontId="29" fillId="0" borderId="0" xfId="16" applyNumberFormat="1" applyFont="1" applyFill="1" applyBorder="1" applyAlignment="1">
      <alignment vertical="top"/>
    </xf>
    <xf numFmtId="165" fontId="21" fillId="0" borderId="103" xfId="1438" applyNumberFormat="1" applyFont="1" applyFill="1" applyBorder="1" applyAlignment="1">
      <alignment horizontal="right" vertical="center"/>
    </xf>
    <xf numFmtId="1" fontId="30" fillId="0" borderId="10" xfId="18" quotePrefix="1" applyNumberFormat="1" applyFont="1" applyFill="1" applyBorder="1" applyAlignment="1" applyProtection="1">
      <alignment horizontal="center" vertical="center" wrapText="1"/>
      <protection locked="0"/>
    </xf>
    <xf numFmtId="165" fontId="51" fillId="0" borderId="0" xfId="12" applyNumberFormat="1" applyFont="1" applyFill="1" applyAlignment="1">
      <alignment horizontal="left" vertical="center" wrapText="1"/>
    </xf>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vertical="center"/>
      <protection locked="0"/>
    </xf>
    <xf numFmtId="165" fontId="29" fillId="0" borderId="0" xfId="15"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29" fillId="0" borderId="0" xfId="18" applyNumberFormat="1" applyFont="1" applyFill="1" applyBorder="1" applyAlignment="1" applyProtection="1">
      <alignment horizontal="left" vertical="center" indent="3"/>
      <protection locked="0"/>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65" fontId="43" fillId="0" borderId="0" xfId="12" applyNumberFormat="1" applyFont="1" applyFill="1" applyAlignment="1">
      <alignment vertical="center"/>
    </xf>
    <xf numFmtId="176" fontId="29" fillId="0" borderId="0" xfId="11" applyNumberFormat="1" applyFont="1" applyFill="1" applyProtection="1">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2" applyNumberFormat="1" applyFont="1" applyFill="1" applyAlignment="1" applyProtection="1">
      <alignment vertical="center"/>
    </xf>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83" fontId="40" fillId="0" borderId="0" xfId="19" applyNumberFormat="1" applyFont="1" applyFill="1"/>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46" fillId="0" borderId="0" xfId="14" applyNumberFormat="1" applyFont="1" applyFill="1" applyBorder="1"/>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71" fontId="29" fillId="0" borderId="0" xfId="12" applyNumberFormat="1" applyFont="1" applyFill="1" applyBorder="1" applyAlignment="1">
      <alignment horizontal="left" vertical="center" indent="2"/>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3" borderId="0" xfId="14" applyNumberFormat="1" applyFont="1" applyFill="1"/>
    <xf numFmtId="165" fontId="30" fillId="3" borderId="9" xfId="12" quotePrefix="1" applyNumberFormat="1" applyFont="1" applyFill="1" applyBorder="1" applyAlignment="1" applyProtection="1">
      <alignment horizontal="center" vertical="center" wrapText="1"/>
      <protection locked="0"/>
    </xf>
    <xf numFmtId="0" fontId="29" fillId="3" borderId="9" xfId="9" quotePrefix="1" applyFont="1" applyFill="1" applyBorder="1" applyAlignment="1" applyProtection="1">
      <alignment horizontal="center" vertical="center"/>
      <protection locked="0"/>
    </xf>
    <xf numFmtId="1" fontId="29" fillId="3" borderId="9" xfId="7" quotePrefix="1" applyNumberFormat="1" applyFont="1" applyFill="1" applyBorder="1" applyAlignment="1" applyProtection="1">
      <alignment horizontal="center" vertical="center" wrapText="1"/>
      <protection locked="0"/>
    </xf>
    <xf numFmtId="1" fontId="29" fillId="3" borderId="9" xfId="18" quotePrefix="1" applyNumberFormat="1" applyFont="1" applyFill="1" applyBorder="1" applyAlignment="1" applyProtection="1">
      <alignment horizontal="center" vertical="center" wrapText="1"/>
      <protection locked="0"/>
    </xf>
    <xf numFmtId="165" fontId="29" fillId="3" borderId="10" xfId="12" quotePrefix="1" applyNumberFormat="1" applyFont="1" applyFill="1" applyBorder="1" applyAlignment="1" applyProtection="1">
      <alignment horizontal="center" vertical="center" wrapText="1"/>
      <protection locked="0"/>
    </xf>
    <xf numFmtId="0" fontId="21" fillId="3" borderId="0" xfId="18" applyFont="1" applyFill="1" applyBorder="1"/>
    <xf numFmtId="165" fontId="21" fillId="3" borderId="0" xfId="18" applyNumberFormat="1" applyFont="1" applyFill="1" applyBorder="1"/>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4" applyNumberFormat="1" applyFont="1" applyFill="1" applyBorder="1" applyAlignment="1"/>
    <xf numFmtId="165" fontId="46" fillId="0" borderId="11" xfId="18" applyNumberFormat="1" applyFont="1" applyFill="1" applyBorder="1" applyAlignment="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22" fillId="0" borderId="0" xfId="14" applyNumberFormat="1" applyFont="1" applyFill="1" applyBorder="1" applyAlignment="1"/>
    <xf numFmtId="0" fontId="21" fillId="0" borderId="0" xfId="18" applyFont="1" applyFill="1" applyBorder="1" applyAlignment="1"/>
    <xf numFmtId="165" fontId="42" fillId="0" borderId="0" xfId="18" applyNumberFormat="1" applyFont="1" applyFill="1" applyBorder="1"/>
    <xf numFmtId="165" fontId="21" fillId="0" borderId="0" xfId="18" applyNumberFormat="1" applyFont="1" applyFill="1" applyBorder="1" applyAlignment="1">
      <alignment horizontal="left" vertical="center" indent="1"/>
    </xf>
    <xf numFmtId="0" fontId="21" fillId="0" borderId="0" xfId="18" applyFont="1" applyFill="1" applyBorder="1" applyAlignment="1">
      <alignment vertical="center"/>
    </xf>
    <xf numFmtId="165" fontId="21" fillId="0" borderId="0" xfId="18" applyNumberFormat="1" applyFont="1" applyFill="1" applyBorder="1" applyAlignment="1">
      <alignment horizontal="right" vertical="center"/>
    </xf>
    <xf numFmtId="165" fontId="21" fillId="0" borderId="0" xfId="18" applyNumberFormat="1" applyFont="1" applyFill="1" applyBorder="1" applyAlignment="1">
      <alignment horizontal="left" vertical="center" indent="2"/>
    </xf>
    <xf numFmtId="165" fontId="21" fillId="0" borderId="12" xfId="18" applyNumberFormat="1" applyFont="1" applyFill="1" applyBorder="1" applyAlignment="1">
      <alignment horizontal="left" vertical="center" indent="1"/>
    </xf>
    <xf numFmtId="165" fontId="21" fillId="0" borderId="12" xfId="18" applyNumberFormat="1" applyFont="1" applyFill="1" applyBorder="1" applyAlignment="1">
      <alignment horizontal="right" vertical="center"/>
    </xf>
    <xf numFmtId="165" fontId="21" fillId="0" borderId="12" xfId="18" applyNumberFormat="1" applyFont="1" applyFill="1" applyBorder="1" applyAlignment="1">
      <alignment horizontal="center" vertical="center"/>
    </xf>
    <xf numFmtId="0" fontId="43" fillId="0" borderId="0" xfId="18" applyFont="1" applyFill="1"/>
    <xf numFmtId="194" fontId="21" fillId="0" borderId="0" xfId="13" applyNumberFormat="1" applyFont="1" applyFill="1"/>
    <xf numFmtId="4" fontId="11" fillId="0" borderId="0" xfId="22" applyNumberFormat="1" applyFill="1" applyBorder="1"/>
    <xf numFmtId="175" fontId="191" fillId="3" borderId="0" xfId="21" applyNumberFormat="1" applyFont="1" applyFill="1" applyAlignment="1">
      <alignment vertical="center"/>
    </xf>
    <xf numFmtId="175" fontId="190" fillId="3" borderId="0" xfId="21" applyNumberFormat="1" applyFont="1" applyFill="1"/>
    <xf numFmtId="165" fontId="46" fillId="3" borderId="0" xfId="14" applyNumberFormat="1" applyFont="1" applyFill="1" applyAlignment="1">
      <alignment horizontal="right"/>
    </xf>
    <xf numFmtId="171" fontId="29" fillId="3" borderId="8" xfId="12" applyNumberFormat="1" applyFont="1" applyFill="1" applyBorder="1" applyAlignment="1">
      <alignment vertical="center"/>
    </xf>
    <xf numFmtId="171" fontId="29" fillId="3" borderId="12" xfId="12" applyNumberFormat="1" applyFont="1" applyFill="1" applyBorder="1" applyAlignment="1">
      <alignment vertical="center"/>
    </xf>
    <xf numFmtId="171" fontId="35" fillId="3" borderId="0" xfId="14" applyNumberFormat="1" applyFont="1" applyFill="1" applyBorder="1"/>
    <xf numFmtId="193" fontId="35"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1"/>
    </xf>
    <xf numFmtId="193" fontId="29" fillId="3" borderId="0" xfId="21" applyNumberFormat="1" applyFont="1" applyFill="1" applyBorder="1"/>
    <xf numFmtId="193" fontId="29" fillId="3" borderId="0" xfId="21" applyNumberFormat="1" applyFont="1" applyFill="1" applyBorder="1" applyAlignment="1">
      <alignment horizontal="right"/>
    </xf>
    <xf numFmtId="171" fontId="29" fillId="3" borderId="0" xfId="12" applyNumberFormat="1" applyFont="1" applyFill="1" applyBorder="1" applyAlignment="1">
      <alignment horizontal="left" vertical="center" indent="2"/>
    </xf>
    <xf numFmtId="193" fontId="29" fillId="3" borderId="0" xfId="21" applyNumberFormat="1" applyFont="1" applyFill="1" applyBorder="1" applyAlignment="1">
      <alignment horizontal="right" vertical="center"/>
    </xf>
    <xf numFmtId="193" fontId="29" fillId="3" borderId="0" xfId="21" applyNumberFormat="1" applyFont="1" applyFill="1" applyBorder="1" applyAlignment="1">
      <alignment vertical="center"/>
    </xf>
    <xf numFmtId="165" fontId="21" fillId="3" borderId="0" xfId="12" applyNumberFormat="1" applyFont="1" applyFill="1" applyBorder="1" applyAlignment="1">
      <alignment horizontal="left" vertical="center" indent="2"/>
    </xf>
    <xf numFmtId="171" fontId="35" fillId="3" borderId="11" xfId="14" applyNumberFormat="1" applyFont="1" applyFill="1" applyBorder="1"/>
    <xf numFmtId="193" fontId="35" fillId="3" borderId="11" xfId="21" applyNumberFormat="1" applyFont="1" applyFill="1" applyBorder="1" applyAlignment="1">
      <alignment horizontal="right"/>
    </xf>
    <xf numFmtId="171" fontId="34" fillId="3" borderId="0" xfId="14" applyNumberFormat="1" applyFont="1" applyFill="1" applyBorder="1"/>
    <xf numFmtId="193" fontId="11" fillId="3" borderId="0" xfId="21" applyNumberFormat="1" applyFont="1" applyFill="1" applyBorder="1" applyAlignment="1">
      <alignment horizontal="right"/>
    </xf>
    <xf numFmtId="171" fontId="35" fillId="3" borderId="11" xfId="14" applyNumberFormat="1" applyFont="1" applyFill="1" applyBorder="1" applyAlignment="1">
      <alignment vertical="center"/>
    </xf>
    <xf numFmtId="193" fontId="35" fillId="3" borderId="11" xfId="21" applyNumberFormat="1" applyFont="1" applyFill="1" applyBorder="1" applyAlignment="1">
      <alignment horizontal="right" vertical="center"/>
    </xf>
    <xf numFmtId="171" fontId="36" fillId="3" borderId="0" xfId="12" applyNumberFormat="1" applyFont="1" applyFill="1" applyBorder="1" applyAlignment="1">
      <alignment vertical="center"/>
    </xf>
    <xf numFmtId="193" fontId="50" fillId="3" borderId="0" xfId="21" applyNumberFormat="1" applyFont="1" applyFill="1" applyBorder="1" applyAlignment="1">
      <alignment horizontal="right"/>
    </xf>
    <xf numFmtId="171" fontId="29" fillId="3" borderId="0" xfId="12" applyNumberFormat="1" applyFont="1" applyFill="1" applyBorder="1" applyAlignment="1">
      <alignment vertical="center"/>
    </xf>
    <xf numFmtId="165" fontId="29" fillId="3" borderId="0" xfId="12" applyNumberFormat="1" applyFont="1" applyFill="1" applyBorder="1" applyAlignment="1">
      <alignment vertical="center"/>
    </xf>
    <xf numFmtId="171" fontId="21" fillId="3" borderId="0" xfId="12" applyNumberFormat="1" applyFont="1" applyFill="1" applyBorder="1" applyAlignment="1">
      <alignment horizontal="left" vertical="center" indent="2"/>
    </xf>
    <xf numFmtId="193" fontId="50" fillId="3" borderId="0" xfId="21" applyNumberFormat="1" applyFont="1" applyFill="1" applyBorder="1"/>
    <xf numFmtId="165" fontId="21" fillId="3" borderId="12" xfId="18" applyNumberFormat="1" applyFont="1" applyFill="1" applyBorder="1" applyAlignment="1">
      <alignment horizontal="right"/>
    </xf>
    <xf numFmtId="165" fontId="29" fillId="3" borderId="12" xfId="21" applyNumberFormat="1" applyFont="1" applyFill="1" applyBorder="1"/>
    <xf numFmtId="165" fontId="50" fillId="3" borderId="12" xfId="21" applyNumberFormat="1" applyFont="1" applyFill="1" applyBorder="1"/>
    <xf numFmtId="0" fontId="43" fillId="3" borderId="0" xfId="18" applyFont="1" applyFill="1" applyBorder="1"/>
    <xf numFmtId="194" fontId="21" fillId="3" borderId="0" xfId="13" applyNumberFormat="1" applyFont="1" applyFill="1" applyBorder="1"/>
    <xf numFmtId="193" fontId="11" fillId="3" borderId="0" xfId="18" applyNumberFormat="1" applyFill="1" applyBorder="1"/>
    <xf numFmtId="175" fontId="29" fillId="3" borderId="0" xfId="21" applyNumberFormat="1" applyFont="1" applyFill="1" applyAlignment="1">
      <alignment vertical="center"/>
    </xf>
    <xf numFmtId="172" fontId="40" fillId="0" borderId="0" xfId="19" applyNumberFormat="1" applyFont="1" applyFill="1"/>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101"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2"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21" fillId="0" borderId="0" xfId="12" applyNumberFormat="1" applyFont="1" applyFill="1" applyBorder="1" applyAlignment="1" applyProtection="1">
      <alignment vertical="center"/>
      <protection locked="0"/>
    </xf>
    <xf numFmtId="0" fontId="3" fillId="0" borderId="0" xfId="2320" applyFont="1" applyFill="1"/>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0" fontId="217" fillId="0" borderId="11" xfId="2320" applyFont="1" applyFill="1" applyBorder="1" applyAlignment="1">
      <alignment horizontal="left" vertical="center" indent="3"/>
    </xf>
    <xf numFmtId="0" fontId="217" fillId="0" borderId="11" xfId="2320" applyFont="1" applyFill="1" applyBorder="1" applyAlignment="1">
      <alignment horizontal="center" vertical="center"/>
    </xf>
    <xf numFmtId="0" fontId="217" fillId="0" borderId="0" xfId="2320" applyFont="1" applyFill="1" applyAlignment="1">
      <alignment horizontal="left" vertical="center" indent="3"/>
    </xf>
    <xf numFmtId="0" fontId="217" fillId="0" borderId="0" xfId="2320" applyFont="1" applyFill="1" applyAlignment="1">
      <alignment horizontal="center" vertical="center"/>
    </xf>
    <xf numFmtId="0" fontId="1" fillId="0" borderId="0" xfId="2320" applyFont="1" applyFill="1" applyAlignment="1">
      <alignment horizontal="left" indent="3"/>
    </xf>
    <xf numFmtId="165" fontId="21" fillId="0" borderId="0" xfId="2320" applyNumberFormat="1" applyFont="1" applyFill="1"/>
    <xf numFmtId="0" fontId="1" fillId="0" borderId="0" xfId="2320" applyFont="1" applyFill="1" applyAlignment="1">
      <alignment horizontal="left" vertical="center" wrapText="1" indent="3"/>
    </xf>
    <xf numFmtId="165" fontId="1" fillId="0" borderId="0" xfId="2320" applyNumberFormat="1" applyFont="1" applyFill="1" applyAlignment="1">
      <alignment vertical="center"/>
    </xf>
    <xf numFmtId="0" fontId="24" fillId="0" borderId="11" xfId="2320" applyFont="1" applyFill="1" applyBorder="1"/>
    <xf numFmtId="165" fontId="24" fillId="0" borderId="11" xfId="2320" applyNumberFormat="1" applyFont="1" applyFill="1" applyBorder="1"/>
    <xf numFmtId="0" fontId="24" fillId="0" borderId="0" xfId="2320" applyFont="1" applyFill="1"/>
    <xf numFmtId="165" fontId="24" fillId="0" borderId="0" xfId="2320" applyNumberFormat="1" applyFont="1" applyFill="1"/>
    <xf numFmtId="0" fontId="217" fillId="0" borderId="0" xfId="2320" applyFont="1" applyFill="1" applyAlignment="1">
      <alignment horizontal="left" indent="1"/>
    </xf>
    <xf numFmtId="165" fontId="217" fillId="0" borderId="0" xfId="2320" applyNumberFormat="1" applyFont="1" applyFill="1"/>
    <xf numFmtId="0" fontId="217" fillId="0" borderId="0" xfId="2320" applyFont="1" applyFill="1" applyAlignment="1">
      <alignment horizontal="left" indent="2"/>
    </xf>
    <xf numFmtId="0" fontId="30" fillId="0" borderId="0" xfId="2320" applyFont="1" applyFill="1" applyAlignment="1">
      <alignment horizontal="left" indent="2"/>
    </xf>
    <xf numFmtId="165" fontId="25" fillId="0" borderId="0" xfId="2320" applyNumberFormat="1" applyFont="1" applyFill="1"/>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34" fillId="0" borderId="11" xfId="2320" applyFont="1" applyFill="1" applyBorder="1"/>
    <xf numFmtId="0" fontId="1" fillId="0" borderId="0" xfId="2320" applyFont="1" applyFill="1" applyAlignment="1">
      <alignment horizontal="left" indent="1"/>
    </xf>
    <xf numFmtId="0" fontId="34" fillId="0" borderId="0" xfId="2320" applyFont="1" applyFill="1"/>
    <xf numFmtId="0" fontId="213" fillId="0" borderId="0" xfId="2320" applyFont="1" applyFill="1" applyAlignment="1">
      <alignment horizontal="left" vertical="center" wrapText="1"/>
    </xf>
    <xf numFmtId="184" fontId="50" fillId="0" borderId="0" xfId="2320" applyNumberFormat="1" applyFont="1" applyFill="1" applyAlignment="1">
      <alignment horizontal="left" wrapText="1"/>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21" fillId="0" borderId="0" xfId="16" applyNumberFormat="1" applyFont="1" applyFill="1" applyBorder="1" applyAlignment="1">
      <alignment horizontal="left" vertical="center" wrapText="1"/>
    </xf>
    <xf numFmtId="0" fontId="21" fillId="0" borderId="9" xfId="12" applyNumberFormat="1" applyFont="1" applyFill="1" applyBorder="1" applyAlignment="1">
      <alignment horizontal="center" vertical="center" wrapText="1"/>
    </xf>
    <xf numFmtId="165" fontId="22" fillId="0" borderId="0" xfId="14" applyNumberFormat="1" applyFont="1" applyFill="1" applyAlignment="1"/>
    <xf numFmtId="165" fontId="22" fillId="0" borderId="0" xfId="14" applyNumberFormat="1" applyFont="1" applyFill="1" applyAlignment="1">
      <alignment horizontal="right"/>
    </xf>
    <xf numFmtId="165" fontId="46" fillId="0" borderId="0" xfId="15" applyNumberFormat="1" applyFont="1" applyFill="1" applyBorder="1" applyAlignment="1">
      <alignment horizontal="right" vertical="center"/>
    </xf>
    <xf numFmtId="165" fontId="21" fillId="0" borderId="25" xfId="39" applyNumberFormat="1" applyFont="1" applyFill="1" applyBorder="1" applyAlignment="1">
      <alignment vertical="center"/>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46" fillId="0" borderId="0" xfId="18" applyNumberFormat="1" applyFont="1" applyFill="1" applyBorder="1" applyAlignment="1"/>
    <xf numFmtId="165" fontId="166" fillId="0" borderId="0" xfId="18" applyNumberFormat="1" applyFont="1" applyFill="1" applyBorder="1" applyAlignment="1">
      <alignment vertical="center"/>
    </xf>
    <xf numFmtId="165" fontId="46" fillId="0" borderId="0" xfId="18" applyNumberFormat="1" applyFont="1" applyFill="1" applyBorder="1" applyAlignment="1">
      <alignment horizontal="center"/>
    </xf>
    <xf numFmtId="165" fontId="46" fillId="0" borderId="8" xfId="18" applyNumberFormat="1" applyFont="1" applyFill="1" applyBorder="1" applyAlignment="1">
      <alignment vertical="center"/>
    </xf>
    <xf numFmtId="165" fontId="25" fillId="0" borderId="8" xfId="18" applyNumberFormat="1" applyFont="1" applyFill="1" applyBorder="1" applyAlignment="1">
      <alignment vertical="center"/>
    </xf>
    <xf numFmtId="165" fontId="192" fillId="0" borderId="12" xfId="18" applyNumberFormat="1" applyFont="1" applyFill="1" applyBorder="1" applyAlignment="1">
      <alignment vertical="center"/>
    </xf>
    <xf numFmtId="165" fontId="21" fillId="0" borderId="12" xfId="18" applyNumberFormat="1" applyFont="1" applyFill="1" applyBorder="1" applyAlignment="1">
      <alignment vertical="center"/>
    </xf>
    <xf numFmtId="165" fontId="21" fillId="0" borderId="9"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xf>
    <xf numFmtId="165"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0" fontId="46" fillId="0" borderId="0" xfId="18" quotePrefix="1" applyNumberFormat="1" applyFont="1" applyFill="1" applyAlignment="1">
      <alignment vertical="center"/>
    </xf>
    <xf numFmtId="165" fontId="192" fillId="0" borderId="0" xfId="18" applyNumberFormat="1" applyFont="1" applyFill="1" applyBorder="1" applyAlignment="1">
      <alignment vertical="center"/>
    </xf>
    <xf numFmtId="3" fontId="21" fillId="0" borderId="0" xfId="2257" applyNumberFormat="1" applyFont="1" applyFill="1" applyAlignment="1">
      <alignment vertical="center"/>
    </xf>
    <xf numFmtId="165" fontId="21" fillId="0" borderId="0" xfId="2257" applyNumberFormat="1" applyFont="1" applyFill="1" applyAlignment="1">
      <alignment vertical="center"/>
    </xf>
    <xf numFmtId="3" fontId="21" fillId="0" borderId="0" xfId="2262" applyNumberFormat="1" applyFont="1" applyFill="1" applyAlignment="1">
      <alignment vertical="center"/>
    </xf>
    <xf numFmtId="165" fontId="21" fillId="0" borderId="0" xfId="2262" applyNumberFormat="1" applyFont="1" applyFill="1" applyAlignment="1">
      <alignment vertical="center"/>
    </xf>
    <xf numFmtId="3" fontId="21" fillId="0" borderId="0" xfId="2273" applyNumberFormat="1" applyFont="1" applyFill="1" applyAlignment="1">
      <alignment vertical="center"/>
    </xf>
    <xf numFmtId="165" fontId="21" fillId="0" borderId="0" xfId="2273" applyNumberFormat="1" applyFont="1" applyFill="1" applyAlignment="1">
      <alignment vertical="center"/>
    </xf>
    <xf numFmtId="3" fontId="21" fillId="0" borderId="0" xfId="2309" applyNumberFormat="1" applyFont="1" applyFill="1" applyAlignment="1">
      <alignment vertical="center"/>
    </xf>
    <xf numFmtId="165" fontId="21" fillId="0" borderId="0" xfId="2309" applyNumberFormat="1" applyFont="1" applyFill="1" applyAlignment="1">
      <alignment vertical="center"/>
    </xf>
    <xf numFmtId="3" fontId="21" fillId="0" borderId="0" xfId="2323" applyNumberFormat="1" applyFont="1" applyFill="1" applyAlignment="1">
      <alignment vertical="center"/>
    </xf>
    <xf numFmtId="165" fontId="21" fillId="0" borderId="0" xfId="2323" applyNumberFormat="1" applyFont="1" applyFill="1" applyAlignment="1">
      <alignment vertical="center"/>
    </xf>
    <xf numFmtId="3" fontId="21" fillId="0" borderId="0" xfId="2331" applyNumberFormat="1" applyFont="1" applyFill="1" applyAlignment="1">
      <alignment vertical="center"/>
    </xf>
    <xf numFmtId="3" fontId="21" fillId="0" borderId="0" xfId="2335" applyNumberFormat="1" applyFont="1" applyFill="1" applyAlignment="1">
      <alignment vertical="center"/>
    </xf>
    <xf numFmtId="165" fontId="21" fillId="0" borderId="0" xfId="2335" applyNumberFormat="1" applyFont="1" applyFill="1" applyAlignment="1">
      <alignment vertical="center"/>
    </xf>
    <xf numFmtId="3" fontId="21" fillId="0" borderId="0" xfId="2346" applyNumberFormat="1" applyFont="1" applyFill="1" applyAlignment="1">
      <alignment vertical="center"/>
    </xf>
    <xf numFmtId="165" fontId="21" fillId="0" borderId="0" xfId="2346" applyNumberFormat="1" applyFont="1" applyFill="1" applyAlignment="1">
      <alignment vertical="center"/>
    </xf>
    <xf numFmtId="3" fontId="21" fillId="0" borderId="0" xfId="2357" applyNumberFormat="1" applyFont="1" applyFill="1" applyAlignment="1">
      <alignment vertical="center"/>
    </xf>
    <xf numFmtId="165" fontId="21" fillId="0" borderId="0" xfId="2357"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165"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4"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165" fontId="192" fillId="0" borderId="0" xfId="18"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21" fillId="3" borderId="0" xfId="2751" applyNumberFormat="1" applyFont="1" applyFill="1" applyAlignment="1">
      <alignment vertical="center"/>
    </xf>
    <xf numFmtId="3" fontId="21" fillId="3" borderId="0" xfId="2751" applyNumberFormat="1" applyFont="1" applyFill="1" applyAlignment="1">
      <alignment vertical="center"/>
    </xf>
    <xf numFmtId="3" fontId="21" fillId="0" borderId="0" xfId="2751" applyNumberFormat="1" applyFont="1" applyFill="1" applyAlignment="1">
      <alignment vertical="center"/>
    </xf>
    <xf numFmtId="165" fontId="21" fillId="0" borderId="0" xfId="2783" applyNumberFormat="1" applyFont="1" applyFill="1" applyAlignment="1">
      <alignment vertical="center"/>
    </xf>
    <xf numFmtId="165" fontId="21" fillId="3" borderId="0" xfId="2783" applyNumberFormat="1" applyFont="1" applyFill="1" applyAlignment="1">
      <alignment vertical="center"/>
    </xf>
    <xf numFmtId="165" fontId="21" fillId="3" borderId="0" xfId="2784" applyNumberFormat="1" applyFont="1" applyFill="1" applyBorder="1" applyAlignment="1">
      <alignment vertical="center"/>
    </xf>
    <xf numFmtId="165" fontId="21" fillId="3" borderId="0" xfId="2784" applyNumberFormat="1" applyFont="1" applyFill="1" applyAlignment="1">
      <alignment vertical="center"/>
    </xf>
    <xf numFmtId="3" fontId="21" fillId="3" borderId="0" xfId="2784" applyNumberFormat="1" applyFont="1" applyFill="1" applyAlignment="1">
      <alignment vertical="center"/>
    </xf>
    <xf numFmtId="4" fontId="21" fillId="3" borderId="0" xfId="2784" applyNumberFormat="1" applyFont="1" applyFill="1" applyAlignment="1">
      <alignment vertical="center"/>
    </xf>
    <xf numFmtId="165" fontId="21" fillId="3" borderId="0" xfId="2785" applyNumberFormat="1" applyFont="1" applyFill="1" applyBorder="1" applyAlignment="1">
      <alignment vertical="center"/>
    </xf>
    <xf numFmtId="165" fontId="21" fillId="3" borderId="0" xfId="2785" applyNumberFormat="1" applyFont="1" applyFill="1" applyAlignment="1">
      <alignment vertical="center"/>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9" fillId="0" borderId="0" xfId="7" applyNumberFormat="1" applyFont="1" applyFill="1" applyBorder="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21" fillId="0" borderId="0" xfId="7" applyNumberFormat="1" applyFont="1" applyFill="1" applyAlignment="1">
      <alignment horizontal="left" vertical="center" indent="2"/>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35" fillId="0" borderId="11" xfId="7" applyNumberFormat="1" applyFont="1" applyFill="1" applyBorder="1" applyAlignment="1"/>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4" fillId="0" borderId="0" xfId="19" applyFont="1" applyFill="1" applyAlignment="1">
      <alignment horizontal="left" vertical="top" wrapText="1"/>
    </xf>
    <xf numFmtId="0" fontId="71" fillId="0" borderId="0" xfId="19" applyFont="1" applyFill="1" applyAlignment="1">
      <alignment horizontal="left" vertical="top" wrapText="1"/>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165" fontId="25" fillId="0" borderId="0" xfId="12" applyNumberFormat="1" applyFont="1" applyFill="1" applyBorder="1" applyAlignment="1">
      <alignment horizontal="center" vertical="center"/>
    </xf>
    <xf numFmtId="172" fontId="50" fillId="3" borderId="0" xfId="30" applyNumberFormat="1" applyFont="1" applyFill="1"/>
    <xf numFmtId="165" fontId="46" fillId="3" borderId="0" xfId="14" applyNumberFormat="1" applyFont="1" applyFill="1" applyAlignment="1"/>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2" fillId="3" borderId="0" xfId="14" applyNumberFormat="1" applyFont="1" applyFill="1" applyBorder="1" applyAlignment="1">
      <alignment horizontal="right" vertical="center"/>
    </xf>
    <xf numFmtId="165" fontId="21" fillId="3" borderId="0" xfId="14" applyNumberFormat="1" applyFont="1" applyFill="1" applyBorder="1" applyAlignment="1">
      <alignment horizontal="right" vertical="center"/>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5"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50" fillId="0" borderId="0" xfId="2320" applyFont="1" applyFill="1" applyAlignment="1">
      <alignment horizontal="left" vertical="center" wrapText="1"/>
    </xf>
    <xf numFmtId="165" fontId="1" fillId="0" borderId="0" xfId="2321" applyNumberFormat="1" applyFont="1" applyFill="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165" fontId="217" fillId="0" borderId="84" xfId="2320" applyNumberFormat="1" applyFont="1" applyFill="1" applyBorder="1" applyAlignment="1">
      <alignment horizontal="center" vertical="center" wrapText="1"/>
    </xf>
    <xf numFmtId="165" fontId="217" fillId="0" borderId="84" xfId="2320" applyNumberFormat="1" applyFont="1" applyFill="1" applyBorder="1" applyAlignment="1">
      <alignment horizontal="center" vertical="center"/>
    </xf>
    <xf numFmtId="0" fontId="1" fillId="0" borderId="0" xfId="2320" applyFont="1" applyFill="1" applyAlignment="1">
      <alignment wrapText="1"/>
    </xf>
    <xf numFmtId="0" fontId="1" fillId="0" borderId="0" xfId="2320" applyFont="1" applyFill="1" applyAlignment="1">
      <alignment vertical="center"/>
    </xf>
    <xf numFmtId="4" fontId="24" fillId="0" borderId="11" xfId="2320" applyNumberFormat="1" applyFont="1" applyFill="1" applyBorder="1"/>
    <xf numFmtId="0" fontId="24" fillId="0" borderId="0" xfId="2320" applyFont="1" applyFill="1" applyBorder="1"/>
    <xf numFmtId="165" fontId="50" fillId="0" borderId="0" xfId="2320" applyNumberFormat="1"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50" fillId="0" borderId="0" xfId="2320" applyNumberFormat="1" applyFont="1" applyFill="1" applyAlignment="1">
      <alignment horizontal="left" wrapText="1"/>
    </xf>
    <xf numFmtId="165" fontId="218" fillId="0" borderId="0" xfId="2320" applyNumberFormat="1" applyFill="1" applyAlignment="1">
      <alignment horizontal="justify"/>
    </xf>
    <xf numFmtId="165" fontId="24" fillId="0" borderId="0" xfId="2320" applyNumberFormat="1" applyFont="1" applyFill="1" applyBorder="1" applyAlignment="1">
      <alignment horizontal="justify"/>
    </xf>
    <xf numFmtId="165" fontId="29" fillId="0" borderId="0" xfId="9" applyNumberFormat="1" applyFont="1" applyFill="1" applyAlignment="1" applyProtection="1">
      <alignment vertical="center" wrapText="1"/>
      <protection locked="0"/>
    </xf>
    <xf numFmtId="0" fontId="11" fillId="0" borderId="0" xfId="18" applyFill="1" applyAlignment="1">
      <alignment wrapText="1"/>
    </xf>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46" fillId="0" borderId="0" xfId="15" applyNumberFormat="1" applyFont="1" applyFill="1" applyAlignment="1">
      <alignment horizontal="right"/>
    </xf>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165" fontId="25" fillId="0" borderId="7" xfId="15" applyNumberFormat="1" applyFont="1" applyFill="1" applyBorder="1" applyAlignment="1">
      <alignment horizontal="center" vertical="center" wrapText="1"/>
    </xf>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0" fontId="11" fillId="0" borderId="0" xfId="7" applyFill="1"/>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46" fillId="0" borderId="7" xfId="15"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165" fontId="21" fillId="0" borderId="6"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0" fontId="4" fillId="0" borderId="0" xfId="7" applyFont="1" applyFill="1"/>
    <xf numFmtId="0" fontId="11" fillId="0" borderId="0" xfId="7" applyFill="1" applyBorder="1"/>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1" fillId="0" borderId="6" xfId="16" applyNumberFormat="1" applyFont="1" applyFill="1" applyBorder="1" applyAlignment="1">
      <alignment horizontal="left" vertical="center" indent="2"/>
    </xf>
    <xf numFmtId="165" fontId="29" fillId="0" borderId="0" xfId="7" applyNumberFormat="1" applyFont="1" applyFill="1" applyAlignment="1">
      <alignment vertical="center"/>
    </xf>
    <xf numFmtId="165" fontId="11" fillId="0" borderId="0" xfId="7" applyNumberFormat="1" applyFill="1" applyBorder="1"/>
    <xf numFmtId="165" fontId="11" fillId="0" borderId="0" xfId="7" applyNumberFormat="1" applyFill="1"/>
    <xf numFmtId="172" fontId="11" fillId="0" borderId="0" xfId="7" applyNumberFormat="1" applyFill="1"/>
    <xf numFmtId="0" fontId="21" fillId="0" borderId="9" xfId="16" quotePrefix="1" applyNumberFormat="1" applyFont="1" applyFill="1" applyBorder="1" applyAlignment="1">
      <alignment horizontal="center" vertical="center"/>
    </xf>
    <xf numFmtId="0" fontId="1" fillId="0" borderId="98" xfId="18" applyFont="1" applyFill="1" applyBorder="1" applyAlignment="1">
      <alignment horizontal="center" vertical="center" wrapText="1"/>
    </xf>
    <xf numFmtId="165" fontId="21" fillId="0" borderId="0" xfId="15" applyNumberFormat="1" applyFont="1" applyFill="1" applyBorder="1" applyAlignment="1">
      <alignment horizontal="right" vertical="center"/>
    </xf>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43" fontId="191" fillId="3" borderId="0" xfId="42" applyFont="1" applyFill="1"/>
    <xf numFmtId="165" fontId="22" fillId="3" borderId="18" xfId="0" applyNumberFormat="1" applyFont="1" applyFill="1" applyBorder="1" applyAlignment="1">
      <alignment horizontal="right" vertical="center"/>
    </xf>
    <xf numFmtId="165" fontId="22" fillId="3" borderId="95" xfId="0" applyNumberFormat="1" applyFont="1" applyFill="1" applyBorder="1" applyAlignment="1">
      <alignment horizontal="right" vertical="center"/>
    </xf>
    <xf numFmtId="165" fontId="22" fillId="3" borderId="94"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7" xfId="0" applyNumberFormat="1" applyFont="1" applyFill="1" applyBorder="1" applyAlignment="1">
      <alignment horizontal="right" vertical="center"/>
    </xf>
    <xf numFmtId="165" fontId="21" fillId="3" borderId="96" xfId="0" applyNumberFormat="1" applyFont="1" applyFill="1" applyBorder="1" applyAlignment="1">
      <alignment horizontal="right" vertical="center"/>
    </xf>
    <xf numFmtId="165" fontId="21" fillId="3" borderId="105" xfId="0" applyNumberFormat="1" applyFont="1" applyFill="1" applyBorder="1" applyAlignment="1">
      <alignment horizontal="right" vertical="center"/>
    </xf>
    <xf numFmtId="165" fontId="21" fillId="3" borderId="0" xfId="1006" applyNumberFormat="1" applyFont="1" applyFill="1" applyBorder="1" applyAlignment="1">
      <alignment horizontal="right" vertical="center"/>
    </xf>
    <xf numFmtId="165" fontId="21" fillId="3" borderId="97" xfId="1006" applyNumberFormat="1" applyFont="1" applyFill="1" applyBorder="1" applyAlignment="1">
      <alignment horizontal="right" vertical="center"/>
    </xf>
    <xf numFmtId="165" fontId="21" fillId="3" borderId="96" xfId="1006" applyNumberFormat="1" applyFont="1" applyFill="1" applyBorder="1" applyAlignment="1">
      <alignment horizontal="right" vertical="center"/>
    </xf>
    <xf numFmtId="165" fontId="22" fillId="3" borderId="0" xfId="0" applyNumberFormat="1" applyFont="1" applyFill="1" applyBorder="1" applyAlignment="1">
      <alignment horizontal="right" vertical="center"/>
    </xf>
    <xf numFmtId="165" fontId="22" fillId="3" borderId="97" xfId="0" applyNumberFormat="1" applyFont="1" applyFill="1" applyBorder="1" applyAlignment="1">
      <alignment horizontal="right" vertical="center"/>
    </xf>
    <xf numFmtId="165" fontId="22" fillId="3" borderId="96" xfId="0" applyNumberFormat="1" applyFont="1" applyFill="1" applyBorder="1" applyAlignment="1">
      <alignment horizontal="right" vertical="center"/>
    </xf>
    <xf numFmtId="165" fontId="22" fillId="3" borderId="97" xfId="16"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7" xfId="16" applyNumberFormat="1" applyFont="1" applyFill="1" applyBorder="1" applyAlignment="1">
      <alignment horizontal="right" vertical="center"/>
    </xf>
    <xf numFmtId="165" fontId="21" fillId="3" borderId="107" xfId="16" applyNumberFormat="1" applyFont="1" applyFill="1" applyBorder="1" applyAlignment="1">
      <alignment horizontal="right" vertical="center"/>
    </xf>
    <xf numFmtId="165" fontId="22" fillId="3" borderId="22" xfId="16" applyNumberFormat="1" applyFont="1" applyFill="1" applyBorder="1" applyAlignment="1">
      <alignment horizontal="right" vertical="center"/>
    </xf>
    <xf numFmtId="165" fontId="22" fillId="3" borderId="92" xfId="16" applyNumberFormat="1" applyFont="1" applyFill="1" applyBorder="1" applyAlignment="1">
      <alignment horizontal="right" vertical="center"/>
    </xf>
    <xf numFmtId="165" fontId="22" fillId="3" borderId="91" xfId="16" applyNumberFormat="1" applyFont="1" applyFill="1" applyBorder="1" applyAlignment="1">
      <alignment horizontal="right" vertical="center"/>
    </xf>
    <xf numFmtId="165" fontId="46" fillId="3" borderId="0" xfId="32"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46" fillId="3" borderId="0" xfId="34" applyNumberFormat="1" applyFont="1" applyFill="1" applyAlignment="1">
      <alignment vertical="center"/>
    </xf>
    <xf numFmtId="165" fontId="22" fillId="3" borderId="0" xfId="34"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4"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2" fillId="3" borderId="0" xfId="35" applyNumberFormat="1" applyFont="1" applyFill="1" applyAlignment="1">
      <alignmen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2"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29" fillId="3" borderId="0" xfId="18" applyNumberFormat="1" applyFont="1" applyFill="1" applyBorder="1" applyAlignment="1">
      <alignment vertical="center"/>
    </xf>
    <xf numFmtId="165" fontId="46" fillId="3" borderId="0" xfId="34" applyNumberFormat="1" applyFont="1" applyFill="1" applyBorder="1" applyAlignment="1">
      <alignment vertical="center"/>
    </xf>
    <xf numFmtId="165" fontId="22" fillId="3" borderId="0" xfId="34"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46" fillId="3" borderId="7"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165" fontId="192" fillId="3" borderId="0" xfId="33" applyNumberFormat="1" applyFont="1" applyFill="1" applyAlignment="1">
      <alignment vertical="center"/>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32" applyNumberFormat="1" applyFont="1" applyFill="1" applyAlignment="1">
      <alignment vertical="center"/>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21" fillId="3" borderId="0" xfId="36" quotePrefix="1" applyNumberFormat="1" applyFont="1" applyFill="1" applyAlignment="1">
      <alignment horizontal="right" vertical="center"/>
    </xf>
    <xf numFmtId="165" fontId="46" fillId="3" borderId="0" xfId="36" applyNumberFormat="1" applyFont="1" applyFill="1" applyBorder="1" applyAlignment="1">
      <alignment vertical="center"/>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0"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65" fontId="21" fillId="3" borderId="0" xfId="12" applyNumberFormat="1" applyFont="1" applyFill="1" applyAlignment="1">
      <alignment horizontal="left" vertical="center"/>
    </xf>
    <xf numFmtId="1" fontId="30" fillId="3" borderId="9" xfId="18" quotePrefix="1" applyNumberFormat="1" applyFont="1" applyFill="1" applyBorder="1" applyAlignment="1" applyProtection="1">
      <alignment horizontal="center" vertical="center" wrapText="1"/>
      <protection locked="0"/>
    </xf>
    <xf numFmtId="1" fontId="30" fillId="3" borderId="10" xfId="18" quotePrefix="1" applyNumberFormat="1" applyFont="1" applyFill="1" applyBorder="1" applyAlignment="1" applyProtection="1">
      <alignment horizontal="center" vertical="center" wrapText="1"/>
      <protection locked="0"/>
    </xf>
    <xf numFmtId="1" fontId="30" fillId="3" borderId="11" xfId="18" quotePrefix="1" applyNumberFormat="1" applyFont="1" applyFill="1" applyBorder="1" applyAlignment="1" applyProtection="1">
      <alignment horizontal="center" vertical="center" wrapText="1"/>
      <protection locked="0"/>
    </xf>
    <xf numFmtId="165" fontId="29" fillId="3"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0" borderId="0" xfId="0" applyFont="1" applyFill="1" applyAlignment="1">
      <alignment horizontal="left" vertical="top" wrapText="1"/>
    </xf>
    <xf numFmtId="0" fontId="11" fillId="3" borderId="0" xfId="18" applyFill="1" applyAlignment="1">
      <alignment wrapText="1"/>
    </xf>
    <xf numFmtId="3" fontId="35" fillId="0" borderId="11" xfId="29" applyNumberFormat="1" applyFont="1" applyFill="1" applyBorder="1" applyAlignment="1">
      <alignment horizontal="left" vertical="center"/>
    </xf>
    <xf numFmtId="0" fontId="201" fillId="0" borderId="26" xfId="18" applyFont="1" applyFill="1" applyBorder="1" applyAlignment="1">
      <alignment horizontal="center" vertical="center" textRotation="90"/>
    </xf>
    <xf numFmtId="0" fontId="201" fillId="0" borderId="27" xfId="18" applyFont="1" applyFill="1" applyBorder="1" applyAlignment="1">
      <alignment horizontal="center" vertical="center" textRotation="90"/>
    </xf>
    <xf numFmtId="0" fontId="201" fillId="0" borderId="29" xfId="18" applyFont="1" applyFill="1" applyBorder="1" applyAlignment="1">
      <alignment horizontal="center" vertical="center" textRotation="90"/>
    </xf>
    <xf numFmtId="165" fontId="29" fillId="0" borderId="26" xfId="14" applyNumberFormat="1" applyFont="1" applyFill="1" applyBorder="1" applyAlignment="1">
      <alignment horizontal="center" vertical="center" wrapText="1"/>
    </xf>
    <xf numFmtId="165" fontId="29" fillId="0" borderId="29" xfId="14" applyNumberFormat="1" applyFont="1" applyFill="1" applyBorder="1" applyAlignment="1">
      <alignment horizontal="center" vertical="center" wrapText="1"/>
    </xf>
    <xf numFmtId="165" fontId="30" fillId="0" borderId="8" xfId="10" quotePrefix="1" applyNumberFormat="1" applyFont="1" applyFill="1" applyBorder="1" applyAlignment="1">
      <alignment horizontal="center" vertical="center" wrapText="1"/>
    </xf>
    <xf numFmtId="165" fontId="30" fillId="0" borderId="12" xfId="10" quotePrefix="1" applyNumberFormat="1" applyFont="1" applyFill="1" applyBorder="1" applyAlignment="1">
      <alignment horizontal="center" vertical="center" wrapText="1"/>
    </xf>
    <xf numFmtId="0" fontId="25" fillId="0" borderId="99" xfId="0" applyFont="1" applyFill="1" applyBorder="1" applyAlignment="1">
      <alignment horizontal="center" vertical="center"/>
    </xf>
    <xf numFmtId="0" fontId="25" fillId="0" borderId="22" xfId="0" applyFont="1" applyFill="1" applyBorder="1" applyAlignment="1">
      <alignment horizontal="center" vertical="center"/>
    </xf>
    <xf numFmtId="0" fontId="25" fillId="0" borderId="92" xfId="0" applyFont="1" applyFill="1" applyBorder="1" applyAlignment="1">
      <alignment horizontal="center" vertical="center"/>
    </xf>
    <xf numFmtId="0" fontId="25" fillId="0" borderId="91" xfId="0" applyFont="1" applyFill="1" applyBorder="1" applyAlignment="1">
      <alignment horizontal="center" vertical="center"/>
    </xf>
    <xf numFmtId="165" fontId="30" fillId="0" borderId="13" xfId="10" quotePrefix="1" applyNumberFormat="1" applyFont="1" applyFill="1" applyBorder="1" applyAlignment="1">
      <alignment horizontal="center" vertical="center" wrapText="1"/>
    </xf>
    <xf numFmtId="165" fontId="30" fillId="0" borderId="14" xfId="10" quotePrefix="1" applyNumberFormat="1" applyFont="1" applyFill="1" applyBorder="1" applyAlignment="1">
      <alignment horizontal="center" vertical="center" wrapText="1"/>
    </xf>
    <xf numFmtId="165" fontId="29" fillId="0" borderId="8" xfId="10" quotePrefix="1" applyNumberFormat="1" applyFont="1" applyFill="1" applyBorder="1" applyAlignment="1">
      <alignment horizontal="center" vertical="center"/>
    </xf>
    <xf numFmtId="165" fontId="29" fillId="0" borderId="26" xfId="10" quotePrefix="1" applyNumberFormat="1" applyFont="1" applyFill="1" applyBorder="1" applyAlignment="1">
      <alignment horizontal="center" vertical="center"/>
    </xf>
    <xf numFmtId="165" fontId="29" fillId="0" borderId="12" xfId="10" quotePrefix="1" applyNumberFormat="1" applyFont="1" applyFill="1" applyBorder="1" applyAlignment="1">
      <alignment horizontal="center" vertical="center"/>
    </xf>
    <xf numFmtId="165" fontId="29" fillId="0"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6"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cellXfs>
  <cellStyles count="2786">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9.png"/><Relationship Id="rId4"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setembro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477096</xdr:colOff>
      <xdr:row>1</xdr:row>
      <xdr:rowOff>249978</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8</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heetViews>
  <sheetFormatPr defaultColWidth="9.1796875" defaultRowHeight="14.5"/>
  <cols>
    <col min="1" max="1" width="9.1796875" style="1" customWidth="1"/>
    <col min="2" max="10" width="9.1796875" style="1"/>
    <col min="11" max="11" width="9.1796875" style="1" customWidth="1"/>
    <col min="12" max="12" width="10.81640625" style="1" customWidth="1"/>
    <col min="13" max="13" width="9.1796875" style="1" customWidth="1"/>
    <col min="14" max="16384" width="9.1796875" style="1"/>
  </cols>
  <sheetData>
    <row r="54" ht="17.25" customHeight="1"/>
    <row r="55" ht="2.25" customHeight="1"/>
  </sheetData>
  <printOptions horizontalCentered="1"/>
  <pageMargins left="7.874015748031496E-2" right="0" top="0.39370078740157483" bottom="0" header="0" footer="0"/>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30" customHeight="1">
      <c r="B3" s="42" t="s">
        <v>4</v>
      </c>
      <c r="F3" s="42"/>
      <c r="G3" s="42"/>
    </row>
    <row r="4" spans="2:23" s="266" customFormat="1" ht="15" customHeight="1">
      <c r="C4" s="852" t="str">
        <f>+'5 - Conta AC + SS'!C5</f>
        <v>Período: janeiro a setembro</v>
      </c>
      <c r="D4" s="852"/>
      <c r="E4" s="852"/>
      <c r="F4" s="868"/>
      <c r="G4" s="869"/>
      <c r="H4" s="870"/>
      <c r="I4" s="870"/>
      <c r="J4" s="871" t="str">
        <f>IF(Indice_index!$Z$1=1,"€ Milhões","€ Millions")</f>
        <v>€ Milhões</v>
      </c>
    </row>
    <row r="5" spans="2:23" ht="37.5" customHeight="1">
      <c r="C5" s="853"/>
      <c r="D5" s="737" t="str">
        <f>IF(Indice_index!$Z$1=1,"CGE","Final execution")</f>
        <v>CGE</v>
      </c>
      <c r="E5" s="737" t="str">
        <f>IF(Indice_index!$Z$1=1,"Orçamento Inicial","Budget")</f>
        <v>Orçamento Inicial</v>
      </c>
      <c r="F5" s="1686" t="str">
        <f>IF(Indice_index!$Z$1=1,"Execução Acumulada","Accumulated Execution")</f>
        <v>Execução Acumulada</v>
      </c>
      <c r="G5" s="1686"/>
      <c r="H5" s="849" t="str">
        <f>IF(Indice_index!$Z$1=1,"Grau de Execução (%)","Execution Degree (%)")</f>
        <v>Grau de Execução (%)</v>
      </c>
      <c r="I5" s="1687" t="str">
        <f>IF(Indice_index!$Z$1=1,"Variação Homóloga Acumulada","YOY Change Rate")</f>
        <v>Variação Homóloga Acumulada</v>
      </c>
      <c r="J5" s="1688"/>
    </row>
    <row r="6" spans="2:23" ht="30.75" customHeight="1">
      <c r="C6" s="854"/>
      <c r="D6" s="739" t="s">
        <v>67</v>
      </c>
      <c r="E6" s="739" t="s">
        <v>74</v>
      </c>
      <c r="F6" s="740" t="s">
        <v>67</v>
      </c>
      <c r="G6" s="740" t="s">
        <v>74</v>
      </c>
      <c r="H6" s="742" t="s">
        <v>74</v>
      </c>
      <c r="I6" s="742" t="str">
        <f>IF(Indice_index!$Z$1=1,"Relativa (%)","Relative change (%)")</f>
        <v>Relativa (%)</v>
      </c>
      <c r="J6" s="743" t="str">
        <f>IF(Indice_index!$Z$1=1,"Contributo VHA (p.p.)","YOY Change Rate Contrib. (p.p.)")</f>
        <v>Contributo VHA (p.p.)</v>
      </c>
    </row>
    <row r="7" spans="2:23" ht="3" customHeight="1">
      <c r="C7" s="44"/>
      <c r="D7" s="44"/>
      <c r="E7" s="44"/>
      <c r="F7" s="872"/>
      <c r="G7" s="873"/>
      <c r="H7" s="873"/>
      <c r="I7" s="873"/>
      <c r="J7" s="873"/>
      <c r="L7" s="43"/>
    </row>
    <row r="8" spans="2:23" s="267" customFormat="1" ht="15" customHeight="1">
      <c r="C8" s="268" t="str">
        <f>IF(Indice_index!$Z$1=1,"Receita corrente","Current revenue")</f>
        <v>Receita corrente</v>
      </c>
      <c r="D8" s="855">
        <f t="shared" ref="D8:E8" si="0">+D10+D11+D12+D13+D16+D17</f>
        <v>62629.291973259998</v>
      </c>
      <c r="E8" s="855">
        <f t="shared" si="0"/>
        <v>67867.200278999997</v>
      </c>
      <c r="F8" s="855">
        <f t="shared" ref="F8:G8" si="1">+F10+F11+F12+F13+F16+F17</f>
        <v>44469.444392830002</v>
      </c>
      <c r="G8" s="855">
        <f t="shared" si="1"/>
        <v>51937.304883180004</v>
      </c>
      <c r="H8" s="874">
        <f>IFERROR(IF(G8/E8*100&lt;-500,"-",IF(G8/E8*100&gt;500,"-",G8/E8*100)),"-")</f>
        <v>76.527843597006097</v>
      </c>
      <c r="I8" s="874">
        <f>IF(IFERROR((G8-F8)/F8*100,"")&gt;500,"-",IFERROR((G8-F8)/F8*100,""))</f>
        <v>16.793239925331914</v>
      </c>
      <c r="J8" s="875">
        <f t="shared" ref="J8:J16" si="2">IFERROR((G8-F8)/$F$26*100,"")</f>
        <v>16.489824346140207</v>
      </c>
      <c r="K8" s="262"/>
      <c r="L8" s="262"/>
      <c r="M8" s="262"/>
      <c r="N8" s="269"/>
      <c r="O8" s="269"/>
      <c r="P8" s="269"/>
      <c r="Q8" s="269"/>
      <c r="R8" s="269"/>
      <c r="S8" s="269"/>
      <c r="T8" s="270"/>
      <c r="U8" s="270"/>
      <c r="V8" s="270"/>
      <c r="W8" s="270"/>
    </row>
    <row r="9" spans="2:23" s="44" customFormat="1" ht="15" customHeight="1">
      <c r="C9" s="856" t="str">
        <f>IF(Indice_index!$Z$1=1,"Receita fiscal","Tax")</f>
        <v>Receita fiscal</v>
      </c>
      <c r="D9" s="113">
        <f t="shared" ref="D9:E9" si="3">+D10+D11</f>
        <v>46158.924833500001</v>
      </c>
      <c r="E9" s="113">
        <f t="shared" si="3"/>
        <v>49227.151018999997</v>
      </c>
      <c r="F9" s="113">
        <f t="shared" ref="F9:G9" si="4">+F10+F11</f>
        <v>33172.931176450002</v>
      </c>
      <c r="G9" s="113">
        <f t="shared" si="4"/>
        <v>40072.139813970003</v>
      </c>
      <c r="H9" s="876">
        <f t="shared" ref="H9:H23" si="5">IFERROR(IF(G9/E9*100&lt;-500,"-",IF(G9/E9*100&gt;500,"-",G9/E9*100)),"-")</f>
        <v>81.402516669111165</v>
      </c>
      <c r="I9" s="876">
        <f t="shared" ref="I9:I23" si="6">IF(IFERROR((G9-F9)/F9*100,"")&gt;500,"-",IFERROR((G9-F9)/F9*100,""))</f>
        <v>20.797705818706369</v>
      </c>
      <c r="J9" s="877">
        <f t="shared" si="2"/>
        <v>15.234181022407684</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3">
        <v>19956.944554760001</v>
      </c>
      <c r="E10" s="113">
        <v>20904.899710000002</v>
      </c>
      <c r="F10" s="113">
        <v>14034.062416969999</v>
      </c>
      <c r="G10" s="113">
        <v>18284.830825969995</v>
      </c>
      <c r="H10" s="876">
        <f t="shared" si="5"/>
        <v>87.466723493647379</v>
      </c>
      <c r="I10" s="876">
        <f t="shared" si="6"/>
        <v>30.288937605550082</v>
      </c>
      <c r="J10" s="877">
        <f t="shared" si="2"/>
        <v>9.3861454014986112</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3">
        <v>26201.980278739997</v>
      </c>
      <c r="E11" s="113">
        <v>28322.251308999999</v>
      </c>
      <c r="F11" s="113">
        <v>19138.868759479999</v>
      </c>
      <c r="G11" s="113">
        <v>21787.308988000004</v>
      </c>
      <c r="H11" s="876">
        <f t="shared" si="5"/>
        <v>76.926472935704169</v>
      </c>
      <c r="I11" s="876">
        <f t="shared" si="6"/>
        <v>13.83801865096212</v>
      </c>
      <c r="J11" s="877">
        <f t="shared" si="2"/>
        <v>5.8480356209090738</v>
      </c>
      <c r="K11" s="26"/>
      <c r="L11" s="26"/>
      <c r="M11" s="26"/>
      <c r="N11" s="45"/>
      <c r="O11" s="45"/>
      <c r="P11" s="45"/>
      <c r="Q11" s="45"/>
      <c r="R11" s="45"/>
      <c r="S11" s="45"/>
      <c r="T11" s="46"/>
      <c r="U11" s="46"/>
      <c r="V11" s="46"/>
      <c r="W11" s="46"/>
    </row>
    <row r="12" spans="2:23" s="44" customFormat="1" ht="15" customHeight="1">
      <c r="C12" s="857" t="str">
        <f>IF(Indice_index!$Z$1=1,"Contribuições para Segurança Social, CGA e ADSE","Social security, CGA and ADSE contributions")</f>
        <v>Contribuições para Segurança Social, CGA e ADSE</v>
      </c>
      <c r="D12" s="113">
        <v>4251.8208699400002</v>
      </c>
      <c r="E12" s="113">
        <v>4195.3064640000002</v>
      </c>
      <c r="F12" s="113">
        <v>3013.9686750700002</v>
      </c>
      <c r="G12" s="113">
        <v>2940.0694556399999</v>
      </c>
      <c r="H12" s="876">
        <f t="shared" si="5"/>
        <v>70.079968671390006</v>
      </c>
      <c r="I12" s="876">
        <f t="shared" si="6"/>
        <v>-2.4518907592257584</v>
      </c>
      <c r="J12" s="877">
        <f t="shared" si="2"/>
        <v>-0.16317727805604268</v>
      </c>
      <c r="K12" s="26"/>
      <c r="L12" s="26"/>
      <c r="M12" s="26"/>
      <c r="N12" s="45"/>
      <c r="O12" s="45"/>
      <c r="P12" s="45"/>
      <c r="Q12" s="45"/>
      <c r="R12" s="45"/>
      <c r="S12" s="45"/>
      <c r="T12" s="46"/>
      <c r="U12" s="46"/>
      <c r="V12" s="46"/>
      <c r="W12" s="46"/>
    </row>
    <row r="13" spans="2:23" s="44" customFormat="1" ht="15" customHeight="1">
      <c r="C13" s="857" t="str">
        <f>IF(Indice_index!$Z$1=1,"Transferências Correntes","Current transfers")</f>
        <v>Transferências Correntes</v>
      </c>
      <c r="D13" s="113">
        <f t="shared" ref="D13:E13" si="7">+D14+D15</f>
        <v>3580.1694037100006</v>
      </c>
      <c r="E13" s="113">
        <f t="shared" si="7"/>
        <v>4811.3206229999996</v>
      </c>
      <c r="F13" s="113">
        <f t="shared" ref="F13:G13" si="8">+F14+F15</f>
        <v>2637.4008547600001</v>
      </c>
      <c r="G13" s="113">
        <f t="shared" si="8"/>
        <v>2186.4179038899997</v>
      </c>
      <c r="H13" s="876">
        <f t="shared" si="5"/>
        <v>45.443196893552773</v>
      </c>
      <c r="I13" s="876">
        <f t="shared" si="6"/>
        <v>-17.099522435357642</v>
      </c>
      <c r="J13" s="877">
        <f t="shared" si="2"/>
        <v>-0.99581796587656246</v>
      </c>
      <c r="K13" s="26"/>
      <c r="L13" s="26"/>
      <c r="M13" s="26"/>
      <c r="N13" s="45"/>
      <c r="O13" s="45"/>
      <c r="P13" s="45"/>
      <c r="Q13" s="45"/>
      <c r="R13" s="45"/>
      <c r="S13" s="45"/>
      <c r="T13" s="46"/>
      <c r="U13" s="46"/>
      <c r="V13" s="46"/>
      <c r="W13" s="46"/>
    </row>
    <row r="14" spans="2:23" s="44" customFormat="1" ht="15" customHeight="1">
      <c r="C14" s="858" t="str">
        <f>IF(Indice_index!$Z$1=1,"Administrações Públicas","General Government subsectors")</f>
        <v>Administrações Públicas</v>
      </c>
      <c r="D14" s="113">
        <v>2169.0692717900001</v>
      </c>
      <c r="E14" s="113">
        <v>1915.556742</v>
      </c>
      <c r="F14" s="113">
        <v>1482.2183670100005</v>
      </c>
      <c r="G14" s="113">
        <v>1376.4719975200003</v>
      </c>
      <c r="H14" s="876">
        <f t="shared" si="5"/>
        <v>71.857542370833116</v>
      </c>
      <c r="I14" s="876">
        <f t="shared" si="6"/>
        <v>-7.1343313403487709</v>
      </c>
      <c r="J14" s="877">
        <f t="shared" si="2"/>
        <v>-0.23349914749819048</v>
      </c>
      <c r="K14" s="26"/>
      <c r="L14" s="26"/>
      <c r="M14" s="26"/>
      <c r="N14" s="45"/>
      <c r="O14" s="45"/>
      <c r="P14" s="45"/>
      <c r="Q14" s="45"/>
      <c r="R14" s="45"/>
      <c r="S14" s="45"/>
      <c r="T14" s="46"/>
      <c r="U14" s="46"/>
      <c r="V14" s="46"/>
      <c r="W14" s="46"/>
    </row>
    <row r="15" spans="2:23" s="44" customFormat="1" ht="15" customHeight="1">
      <c r="C15" s="858" t="str">
        <f>IF(Indice_index!$Z$1=1,"Outras","Others")</f>
        <v>Outras</v>
      </c>
      <c r="D15" s="113">
        <v>1411.1001319200002</v>
      </c>
      <c r="E15" s="113">
        <v>2895.7638809999999</v>
      </c>
      <c r="F15" s="113">
        <v>1155.1824877499996</v>
      </c>
      <c r="G15" s="113">
        <v>809.94590636999953</v>
      </c>
      <c r="H15" s="876">
        <f t="shared" si="5"/>
        <v>27.970025860337046</v>
      </c>
      <c r="I15" s="876">
        <f t="shared" si="6"/>
        <v>-29.885891193904158</v>
      </c>
      <c r="J15" s="877">
        <f t="shared" si="2"/>
        <v>-0.76231881837837168</v>
      </c>
      <c r="K15" s="26"/>
      <c r="L15" s="26"/>
      <c r="M15" s="26"/>
      <c r="N15" s="45"/>
      <c r="O15" s="45"/>
      <c r="P15" s="45"/>
      <c r="Q15" s="45"/>
      <c r="R15" s="45"/>
      <c r="S15" s="45"/>
      <c r="T15" s="46"/>
      <c r="U15" s="46"/>
      <c r="V15" s="46"/>
      <c r="W15" s="46"/>
    </row>
    <row r="16" spans="2:23" s="44" customFormat="1" ht="15" customHeight="1">
      <c r="C16" s="857" t="str">
        <f>IF(Indice_index!$Z$1=1,"Outras receitas correntes","Other current revenue")</f>
        <v>Outras receitas correntes</v>
      </c>
      <c r="D16" s="113">
        <v>8598.4130747300005</v>
      </c>
      <c r="E16" s="113">
        <v>9616.8545289999984</v>
      </c>
      <c r="F16" s="113">
        <v>5528.7588944500003</v>
      </c>
      <c r="G16" s="113">
        <v>6644.247632610005</v>
      </c>
      <c r="H16" s="876">
        <f t="shared" si="5"/>
        <v>69.089613579721089</v>
      </c>
      <c r="I16" s="876">
        <f t="shared" si="6"/>
        <v>20.17611473851354</v>
      </c>
      <c r="J16" s="877">
        <f t="shared" si="2"/>
        <v>2.4631168962148049</v>
      </c>
      <c r="K16" s="26"/>
      <c r="L16" s="26"/>
      <c r="M16" s="26"/>
      <c r="N16" s="45"/>
      <c r="O16" s="45"/>
      <c r="P16" s="45"/>
      <c r="Q16" s="45"/>
      <c r="R16" s="45"/>
      <c r="S16" s="45"/>
      <c r="T16" s="46"/>
      <c r="U16" s="46"/>
      <c r="V16" s="46"/>
      <c r="W16" s="46"/>
    </row>
    <row r="17" spans="2:23" s="44" customFormat="1" ht="15" customHeight="1">
      <c r="C17" s="857" t="str">
        <f>IF(Indice_index!$Z$1=1,"Diferenças de consolidação","Consolidation differences")</f>
        <v>Diferenças de consolidação</v>
      </c>
      <c r="D17" s="113">
        <v>39.963791379997609</v>
      </c>
      <c r="E17" s="113">
        <v>16.567643999995955</v>
      </c>
      <c r="F17" s="113">
        <v>116.38479209999828</v>
      </c>
      <c r="G17" s="113">
        <v>94.43007706999704</v>
      </c>
      <c r="H17" s="876"/>
      <c r="I17" s="876"/>
      <c r="J17" s="877"/>
      <c r="K17" s="26"/>
      <c r="L17" s="26"/>
      <c r="M17" s="26"/>
      <c r="N17" s="45"/>
      <c r="O17" s="45"/>
      <c r="P17" s="45"/>
      <c r="Q17" s="45"/>
      <c r="R17" s="45"/>
      <c r="S17" s="45"/>
      <c r="T17" s="46"/>
      <c r="U17" s="46"/>
      <c r="V17" s="46"/>
      <c r="W17" s="46"/>
    </row>
    <row r="18" spans="2:23" s="267" customFormat="1" ht="15" customHeight="1">
      <c r="C18" s="268" t="str">
        <f>IF(Indice_index!$Z$1=1,"Receita de capital","Capital revenue")</f>
        <v>Receita de capital</v>
      </c>
      <c r="D18" s="855">
        <f t="shared" ref="D18:E18" si="9">+D19+D20+D23+D24</f>
        <v>1214.4512072300001</v>
      </c>
      <c r="E18" s="855">
        <f t="shared" si="9"/>
        <v>3666.3722160000002</v>
      </c>
      <c r="F18" s="855">
        <f t="shared" ref="F18:G18" si="10">+F19+F20+F23+F24</f>
        <v>818.24535807999996</v>
      </c>
      <c r="G18" s="855">
        <f t="shared" si="10"/>
        <v>1248.9489604999999</v>
      </c>
      <c r="H18" s="855">
        <f t="shared" si="5"/>
        <v>34.064979956197654</v>
      </c>
      <c r="I18" s="855">
        <f t="shared" si="6"/>
        <v>52.637463588017077</v>
      </c>
      <c r="J18" s="875">
        <f t="shared" ref="J18:J23" si="11">IFERROR((G18-F18)/$F$26*100,"")</f>
        <v>0.9510390236043017</v>
      </c>
      <c r="K18" s="262"/>
      <c r="L18" s="262"/>
      <c r="M18" s="262"/>
      <c r="N18" s="269"/>
      <c r="O18" s="269"/>
      <c r="P18" s="269"/>
      <c r="Q18" s="269"/>
      <c r="R18" s="269"/>
      <c r="S18" s="269"/>
      <c r="T18" s="270"/>
      <c r="U18" s="270"/>
      <c r="V18" s="270"/>
      <c r="W18" s="270"/>
    </row>
    <row r="19" spans="2:23" s="44" customFormat="1" ht="15" customHeight="1">
      <c r="C19" s="857" t="str">
        <f>IF(Indice_index!$Z$1=1,"Venda de bens de investimento","Sale of investment goods")</f>
        <v>Venda de bens de investimento</v>
      </c>
      <c r="D19" s="113">
        <v>154.44449596999999</v>
      </c>
      <c r="E19" s="113">
        <v>182.557568</v>
      </c>
      <c r="F19" s="113">
        <v>96.892824069999989</v>
      </c>
      <c r="G19" s="113">
        <v>100.85592905999997</v>
      </c>
      <c r="H19" s="876">
        <f t="shared" si="5"/>
        <v>55.246095883573545</v>
      </c>
      <c r="I19" s="876">
        <f t="shared" si="6"/>
        <v>4.0901945299239513</v>
      </c>
      <c r="J19" s="877">
        <f t="shared" si="11"/>
        <v>8.7509542036648992E-3</v>
      </c>
      <c r="K19" s="26"/>
      <c r="L19" s="26"/>
      <c r="M19" s="26"/>
      <c r="N19" s="45"/>
      <c r="O19" s="45"/>
      <c r="P19" s="45"/>
      <c r="Q19" s="45"/>
      <c r="R19" s="45"/>
      <c r="S19" s="45"/>
      <c r="T19" s="46"/>
      <c r="U19" s="46"/>
      <c r="V19" s="46"/>
      <c r="W19" s="46"/>
    </row>
    <row r="20" spans="2:23" s="44" customFormat="1" ht="15" customHeight="1">
      <c r="C20" s="857" t="str">
        <f>IF(Indice_index!$Z$1=1,"Transferências de Capital","Capital transfers")</f>
        <v>Transferências de Capital</v>
      </c>
      <c r="D20" s="113">
        <f t="shared" ref="D20:E20" si="12">+D21+D22</f>
        <v>1020.93896993</v>
      </c>
      <c r="E20" s="113">
        <f t="shared" si="12"/>
        <v>3433.883237</v>
      </c>
      <c r="F20" s="113">
        <f t="shared" ref="F20:G20" si="13">+F21+F22</f>
        <v>707.98486978999995</v>
      </c>
      <c r="G20" s="113">
        <f t="shared" si="13"/>
        <v>1107.1317110299999</v>
      </c>
      <c r="H20" s="876">
        <f t="shared" si="5"/>
        <v>32.241390711853143</v>
      </c>
      <c r="I20" s="876">
        <f t="shared" si="6"/>
        <v>56.377877306670911</v>
      </c>
      <c r="J20" s="877">
        <f t="shared" si="11"/>
        <v>0.88135836346560292</v>
      </c>
      <c r="K20" s="26"/>
      <c r="L20" s="26"/>
      <c r="M20" s="26"/>
      <c r="N20" s="45"/>
      <c r="O20" s="45"/>
      <c r="P20" s="45"/>
      <c r="Q20" s="45"/>
      <c r="R20" s="45"/>
      <c r="S20" s="45"/>
      <c r="T20" s="46"/>
      <c r="U20" s="46"/>
      <c r="V20" s="46"/>
      <c r="W20" s="46"/>
    </row>
    <row r="21" spans="2:23" s="44" customFormat="1" ht="15" customHeight="1">
      <c r="C21" s="858" t="str">
        <f>IF(Indice_index!$Z$1=1,"Administrações Públicas","General Government subsectors")</f>
        <v>Administrações Públicas</v>
      </c>
      <c r="D21" s="113">
        <v>10.4803914</v>
      </c>
      <c r="E21" s="113">
        <v>35.408985000000001</v>
      </c>
      <c r="F21" s="113">
        <v>7.0463010199999996</v>
      </c>
      <c r="G21" s="113">
        <v>8.6539088599999996</v>
      </c>
      <c r="H21" s="876">
        <f t="shared" si="5"/>
        <v>24.439867056341772</v>
      </c>
      <c r="I21" s="876">
        <f t="shared" si="6"/>
        <v>22.814918571276142</v>
      </c>
      <c r="J21" s="877">
        <f t="shared" si="11"/>
        <v>3.5497678261843706E-3</v>
      </c>
      <c r="K21" s="26"/>
      <c r="L21" s="26"/>
      <c r="M21" s="26"/>
      <c r="N21" s="45"/>
      <c r="O21" s="45"/>
      <c r="P21" s="45"/>
      <c r="Q21" s="45"/>
      <c r="R21" s="45"/>
      <c r="S21" s="45"/>
      <c r="T21" s="46"/>
      <c r="U21" s="46"/>
      <c r="V21" s="46"/>
      <c r="W21" s="46"/>
    </row>
    <row r="22" spans="2:23" s="44" customFormat="1" ht="15" customHeight="1">
      <c r="B22" s="47"/>
      <c r="C22" s="858" t="str">
        <f>IF(Indice_index!$Z$1=1,"Outras","Others")</f>
        <v>Outras</v>
      </c>
      <c r="D22" s="113">
        <v>1010.45857853</v>
      </c>
      <c r="E22" s="113">
        <v>3398.474252</v>
      </c>
      <c r="F22" s="113">
        <v>700.93856876999996</v>
      </c>
      <c r="G22" s="113">
        <v>1098.4778021699999</v>
      </c>
      <c r="H22" s="876">
        <f t="shared" si="5"/>
        <v>32.322675433646332</v>
      </c>
      <c r="I22" s="876">
        <f t="shared" si="6"/>
        <v>56.715274506523137</v>
      </c>
      <c r="J22" s="877">
        <f t="shared" si="11"/>
        <v>0.87780859563941838</v>
      </c>
      <c r="K22" s="26"/>
      <c r="L22" s="26"/>
      <c r="M22" s="26"/>
      <c r="N22" s="45"/>
      <c r="O22" s="45"/>
      <c r="P22" s="45"/>
      <c r="Q22" s="45"/>
      <c r="R22" s="45"/>
      <c r="S22" s="45"/>
      <c r="T22" s="46"/>
      <c r="U22" s="46"/>
      <c r="V22" s="46"/>
      <c r="W22" s="46"/>
    </row>
    <row r="23" spans="2:23" s="44" customFormat="1" ht="15" customHeight="1">
      <c r="C23" s="857" t="str">
        <f>IF(Indice_index!$Z$1=1,"Outras receitas de capital","Other capital revenue")</f>
        <v>Outras receitas de capital</v>
      </c>
      <c r="D23" s="113">
        <v>26.772300769999998</v>
      </c>
      <c r="E23" s="113">
        <v>43.630996000000003</v>
      </c>
      <c r="F23" s="113">
        <v>13.367664219999995</v>
      </c>
      <c r="G23" s="113">
        <v>40.961320409999999</v>
      </c>
      <c r="H23" s="876">
        <f t="shared" si="5"/>
        <v>93.881240781209755</v>
      </c>
      <c r="I23" s="876">
        <f t="shared" si="6"/>
        <v>206.42092542028271</v>
      </c>
      <c r="J23" s="877">
        <f t="shared" si="11"/>
        <v>6.0929705935034016E-2</v>
      </c>
      <c r="K23" s="26"/>
      <c r="L23" s="26"/>
      <c r="M23" s="26"/>
      <c r="N23" s="45"/>
      <c r="O23" s="45"/>
      <c r="P23" s="45"/>
      <c r="Q23" s="45"/>
      <c r="R23" s="45"/>
      <c r="S23" s="45"/>
      <c r="T23" s="46"/>
      <c r="U23" s="46"/>
      <c r="V23" s="46"/>
      <c r="W23" s="46"/>
    </row>
    <row r="24" spans="2:23" s="44" customFormat="1" ht="15" customHeight="1">
      <c r="C24" s="857" t="str">
        <f>IF(Indice_index!$Z$1=1,"Diferenças de consolidação","Consolidation differences")</f>
        <v>Diferenças de consolidação</v>
      </c>
      <c r="D24" s="113">
        <v>12.295440560000369</v>
      </c>
      <c r="E24" s="113">
        <v>6.3004149999999726</v>
      </c>
      <c r="F24" s="113">
        <v>0</v>
      </c>
      <c r="G24" s="113">
        <v>0</v>
      </c>
      <c r="H24" s="877"/>
      <c r="I24" s="877"/>
      <c r="J24" s="877"/>
      <c r="K24" s="26"/>
      <c r="L24" s="26"/>
      <c r="M24" s="26"/>
      <c r="N24" s="45"/>
      <c r="O24" s="45"/>
      <c r="P24" s="45"/>
      <c r="Q24" s="45"/>
      <c r="R24" s="45"/>
      <c r="S24" s="45"/>
      <c r="T24" s="46"/>
      <c r="U24" s="46"/>
      <c r="V24" s="46"/>
      <c r="W24" s="46"/>
    </row>
    <row r="25" spans="2:23" s="44" customFormat="1" ht="4.5" customHeight="1">
      <c r="C25" s="859"/>
      <c r="D25" s="859"/>
      <c r="E25" s="859"/>
      <c r="F25" s="113"/>
      <c r="G25" s="113"/>
      <c r="H25" s="877"/>
      <c r="I25" s="877"/>
      <c r="J25" s="877"/>
      <c r="K25" s="26"/>
      <c r="L25" s="26"/>
      <c r="M25" s="26"/>
      <c r="N25" s="45"/>
      <c r="O25" s="45"/>
      <c r="P25" s="45"/>
      <c r="Q25" s="45"/>
      <c r="R25" s="45"/>
      <c r="S25" s="45"/>
      <c r="T25" s="46"/>
      <c r="U25" s="46"/>
      <c r="V25" s="46"/>
      <c r="W25" s="46"/>
    </row>
    <row r="26" spans="2:23" s="268" customFormat="1" ht="15" customHeight="1">
      <c r="C26" s="860" t="str">
        <f>IF(Indice_index!$Z$1=1,"Receita efetiva","Effective revenue")</f>
        <v>Receita efetiva</v>
      </c>
      <c r="D26" s="861">
        <f t="shared" ref="D26:E26" si="14">+D8+D18</f>
        <v>63843.743180489997</v>
      </c>
      <c r="E26" s="861">
        <f t="shared" si="14"/>
        <v>71533.572495</v>
      </c>
      <c r="F26" s="861">
        <f t="shared" ref="F26:G26" si="15">+F8+F18</f>
        <v>45287.689750910002</v>
      </c>
      <c r="G26" s="861">
        <f t="shared" si="15"/>
        <v>53186.253843680002</v>
      </c>
      <c r="H26" s="878">
        <f>IFERROR(IF(G26/E26*100&lt;-500,"-",IF(G26/E26*100&gt;500,"-",G26/E26*100)),"-")</f>
        <v>74.351457628371037</v>
      </c>
      <c r="I26" s="878">
        <f t="shared" ref="I26" si="16">IF(IFERROR((G26-F26)/F26*100,"")&gt;500,"-",IFERROR((G26-F26)/F26*100,""))</f>
        <v>17.440863369744509</v>
      </c>
      <c r="J26" s="879"/>
      <c r="K26" s="262"/>
      <c r="L26" s="262"/>
      <c r="M26" s="262"/>
      <c r="N26" s="269"/>
      <c r="O26" s="269"/>
      <c r="P26" s="269"/>
      <c r="Q26" s="269"/>
      <c r="R26" s="269"/>
      <c r="S26" s="269"/>
      <c r="T26" s="270"/>
      <c r="U26" s="270"/>
      <c r="V26" s="270"/>
      <c r="W26" s="270"/>
    </row>
    <row r="27" spans="2:23" s="44" customFormat="1" ht="4.5" customHeight="1">
      <c r="C27" s="859"/>
      <c r="D27" s="859"/>
      <c r="E27" s="859"/>
      <c r="F27" s="113"/>
      <c r="G27" s="113"/>
      <c r="H27" s="877"/>
      <c r="I27" s="877"/>
      <c r="J27" s="877"/>
      <c r="K27" s="26"/>
      <c r="L27" s="26"/>
      <c r="M27" s="26"/>
      <c r="N27" s="45"/>
      <c r="O27" s="45"/>
      <c r="P27" s="45"/>
      <c r="Q27" s="45"/>
      <c r="R27" s="45"/>
      <c r="S27" s="45"/>
      <c r="T27" s="46"/>
      <c r="U27" s="46"/>
      <c r="V27" s="46"/>
      <c r="W27" s="46"/>
    </row>
    <row r="28" spans="2:23" s="267" customFormat="1" ht="15" customHeight="1">
      <c r="C28" s="268" t="str">
        <f>IF(Indice_index!$Z$1=1,"Despesa corrente","Current expenditure")</f>
        <v>Despesa corrente</v>
      </c>
      <c r="D28" s="855">
        <f t="shared" ref="D28:G28" si="17">+D29+D33+D34+D35+D38+D39+D40</f>
        <v>68940.759742010036</v>
      </c>
      <c r="E28" s="855">
        <f t="shared" ref="E28" si="18">+E29+E33+E34+E35+E38+E39+E40</f>
        <v>71082.499699999986</v>
      </c>
      <c r="F28" s="855">
        <f>+F29+F33+F34+F35+F38+F39+F40</f>
        <v>46738.652845869998</v>
      </c>
      <c r="G28" s="855">
        <f t="shared" si="17"/>
        <v>47700.870641149966</v>
      </c>
      <c r="H28" s="855">
        <f t="shared" ref="H28:H46" si="19">IFERROR(IF(G28/E28*100&lt;-500,"-",IF(G28/E28*100&gt;500,"-",G28/E28*100)),"-")</f>
        <v>67.106349442505575</v>
      </c>
      <c r="I28" s="855">
        <f t="shared" ref="I28:I46" si="20">IF(IFERROR((G28-F28)/F28*100,"")&gt;500,"-",IFERROR((G28-F28)/F28*100,""))</f>
        <v>2.0587195751085785</v>
      </c>
      <c r="J28" s="875">
        <f>IFERROR((G28-F28)/$F$49*100,"")</f>
        <v>1.9063887394397274</v>
      </c>
      <c r="K28" s="262"/>
      <c r="L28" s="262"/>
      <c r="M28" s="262"/>
      <c r="N28" s="269"/>
      <c r="O28" s="269"/>
      <c r="P28" s="269"/>
      <c r="Q28" s="269"/>
      <c r="R28" s="269"/>
      <c r="S28" s="269"/>
      <c r="T28" s="270"/>
      <c r="U28" s="270"/>
      <c r="V28" s="270"/>
      <c r="W28" s="270"/>
    </row>
    <row r="29" spans="2:23" s="44" customFormat="1" ht="15" customHeight="1">
      <c r="C29" s="857" t="str">
        <f>IF(Indice_index!$Z$1=1,"Despesas com o pessoal","Employees")</f>
        <v>Despesas com o pessoal</v>
      </c>
      <c r="D29" s="113">
        <f t="shared" ref="D29:E29" si="21">+D30+D31+D32</f>
        <v>18714.033484429998</v>
      </c>
      <c r="E29" s="113">
        <f t="shared" si="21"/>
        <v>18956.054237</v>
      </c>
      <c r="F29" s="113">
        <f t="shared" ref="F29:G29" si="22">+F30+F31+F32</f>
        <v>13416.916355380001</v>
      </c>
      <c r="G29" s="113">
        <f t="shared" si="22"/>
        <v>13550.858712780002</v>
      </c>
      <c r="H29" s="876">
        <f t="shared" si="19"/>
        <v>71.485650670540451</v>
      </c>
      <c r="I29" s="876">
        <f t="shared" si="20"/>
        <v>0.99830955081039974</v>
      </c>
      <c r="J29" s="877">
        <f t="shared" ref="J29:J46" si="23">IFERROR((G29-F29)/$F$49*100,"")</f>
        <v>0.26537256235952034</v>
      </c>
      <c r="K29" s="26"/>
      <c r="L29" s="26"/>
      <c r="M29" s="26"/>
      <c r="N29" s="45"/>
      <c r="O29" s="45"/>
      <c r="P29" s="45"/>
      <c r="Q29" s="45"/>
      <c r="R29" s="45"/>
      <c r="S29" s="45"/>
      <c r="T29" s="46"/>
      <c r="U29" s="46"/>
      <c r="V29" s="46"/>
      <c r="W29" s="46"/>
    </row>
    <row r="30" spans="2:23" s="44" customFormat="1" ht="15" customHeight="1">
      <c r="C30" s="862" t="str">
        <f>IF(Indice_index!$Z$1=1,"Remunerações Certas e Permanentes","Certain and permanent wages")</f>
        <v>Remunerações Certas e Permanentes</v>
      </c>
      <c r="D30" s="113">
        <v>13299.923762189999</v>
      </c>
      <c r="E30" s="113">
        <v>13882.224843</v>
      </c>
      <c r="F30" s="113">
        <v>9485.9917499000021</v>
      </c>
      <c r="G30" s="113">
        <v>9631.0471780800017</v>
      </c>
      <c r="H30" s="876">
        <f t="shared" si="19"/>
        <v>69.376827468230928</v>
      </c>
      <c r="I30" s="876">
        <f t="shared" si="20"/>
        <v>1.529154062162543</v>
      </c>
      <c r="J30" s="877">
        <f t="shared" si="23"/>
        <v>0.28739027300622633</v>
      </c>
      <c r="K30" s="26"/>
      <c r="L30" s="26"/>
      <c r="M30" s="26"/>
      <c r="N30" s="45"/>
      <c r="O30" s="45"/>
      <c r="P30" s="45"/>
      <c r="Q30" s="45"/>
      <c r="R30" s="45"/>
      <c r="S30" s="45"/>
      <c r="T30" s="46"/>
      <c r="U30" s="46"/>
      <c r="V30" s="46"/>
      <c r="W30" s="46"/>
    </row>
    <row r="31" spans="2:23" s="44" customFormat="1" ht="15" customHeight="1">
      <c r="C31" s="862" t="str">
        <f>IF(Indice_index!$Z$1=1,"Abonos Variáveis ou Eventuais","Variable or contingent bonuses")</f>
        <v>Abonos Variáveis ou Eventuais</v>
      </c>
      <c r="D31" s="113">
        <v>1331.9491322400004</v>
      </c>
      <c r="E31" s="113">
        <v>1286.9144659999999</v>
      </c>
      <c r="F31" s="113">
        <v>992.01664025999946</v>
      </c>
      <c r="G31" s="113">
        <v>994.67298405999986</v>
      </c>
      <c r="H31" s="876">
        <f t="shared" si="19"/>
        <v>77.291304926554446</v>
      </c>
      <c r="I31" s="876">
        <f t="shared" si="20"/>
        <v>0.26777210101074456</v>
      </c>
      <c r="J31" s="877">
        <f t="shared" si="23"/>
        <v>5.262866612155994E-3</v>
      </c>
      <c r="K31" s="26"/>
      <c r="L31" s="26"/>
      <c r="M31" s="26"/>
      <c r="N31" s="45"/>
      <c r="O31" s="45"/>
      <c r="P31" s="45"/>
      <c r="Q31" s="45"/>
      <c r="R31" s="45"/>
      <c r="S31" s="45"/>
      <c r="T31" s="46"/>
      <c r="U31" s="46"/>
      <c r="V31" s="46"/>
      <c r="W31" s="46"/>
    </row>
    <row r="32" spans="2:23" s="44" customFormat="1" ht="15" customHeight="1">
      <c r="C32" s="862" t="str">
        <f>IF(Indice_index!$Z$1=1,"Segurança social","Social security")</f>
        <v>Segurança social</v>
      </c>
      <c r="D32" s="113">
        <v>4082.1605899999968</v>
      </c>
      <c r="E32" s="113">
        <v>3786.9149280000001</v>
      </c>
      <c r="F32" s="113">
        <v>2938.9079652200003</v>
      </c>
      <c r="G32" s="113">
        <v>2925.1385506400011</v>
      </c>
      <c r="H32" s="876">
        <f t="shared" si="19"/>
        <v>77.243312993695028</v>
      </c>
      <c r="I32" s="876">
        <f t="shared" si="20"/>
        <v>-0.46852146249392479</v>
      </c>
      <c r="J32" s="877">
        <f t="shared" si="23"/>
        <v>-2.7280577258862654E-2</v>
      </c>
      <c r="K32" s="26"/>
      <c r="L32" s="26"/>
      <c r="M32" s="26"/>
      <c r="N32" s="45"/>
      <c r="O32" s="45"/>
      <c r="P32" s="45"/>
      <c r="Q32" s="45"/>
      <c r="R32" s="45"/>
      <c r="S32" s="45"/>
      <c r="T32" s="46"/>
      <c r="U32" s="46"/>
      <c r="V32" s="46"/>
      <c r="W32" s="46"/>
    </row>
    <row r="33" spans="3:23" s="44" customFormat="1" ht="15" customHeight="1">
      <c r="C33" s="857" t="str">
        <f>IF(Indice_index!$Z$1=1,"Aquisição de bens e serviços","Purchase of goods and services")</f>
        <v>Aquisição de bens e serviços</v>
      </c>
      <c r="D33" s="113">
        <v>11372.99176786004</v>
      </c>
      <c r="E33" s="113">
        <v>12326.024108999998</v>
      </c>
      <c r="F33" s="113">
        <v>7161.1877482699965</v>
      </c>
      <c r="G33" s="113">
        <v>7716.6119547299559</v>
      </c>
      <c r="H33" s="876">
        <f t="shared" si="19"/>
        <v>62.604225713752882</v>
      </c>
      <c r="I33" s="876">
        <f t="shared" si="20"/>
        <v>7.7560346968160276</v>
      </c>
      <c r="J33" s="877">
        <f t="shared" si="23"/>
        <v>1.1004311684959296</v>
      </c>
      <c r="K33" s="26"/>
      <c r="L33" s="26"/>
      <c r="M33" s="26"/>
      <c r="N33" s="45"/>
      <c r="O33" s="45"/>
      <c r="P33" s="45"/>
      <c r="Q33" s="45"/>
      <c r="R33" s="45"/>
      <c r="S33" s="45"/>
      <c r="T33" s="46"/>
      <c r="U33" s="46"/>
      <c r="V33" s="46"/>
      <c r="W33" s="46"/>
    </row>
    <row r="34" spans="3:23" s="44" customFormat="1" ht="15" customHeight="1">
      <c r="C34" s="857" t="str">
        <f>IF(Indice_index!$Z$1=1,"Juros e outros encargos","Interests and other charges")</f>
        <v>Juros e outros encargos</v>
      </c>
      <c r="D34" s="113">
        <v>6796.6822999299993</v>
      </c>
      <c r="E34" s="113">
        <v>6631.3696349999991</v>
      </c>
      <c r="F34" s="113">
        <v>4601.4337226500056</v>
      </c>
      <c r="G34" s="113">
        <v>4156.068548010001</v>
      </c>
      <c r="H34" s="876">
        <f t="shared" si="19"/>
        <v>62.672853072078851</v>
      </c>
      <c r="I34" s="876">
        <f t="shared" si="20"/>
        <v>-9.6788349345932758</v>
      </c>
      <c r="J34" s="877">
        <f t="shared" si="23"/>
        <v>-0.88237731419763921</v>
      </c>
      <c r="K34" s="26"/>
      <c r="L34" s="26"/>
      <c r="M34" s="26"/>
      <c r="N34" s="45"/>
      <c r="O34" s="45"/>
      <c r="P34" s="45"/>
      <c r="Q34" s="45"/>
      <c r="R34" s="45"/>
      <c r="S34" s="45"/>
      <c r="T34" s="46"/>
      <c r="U34" s="46"/>
      <c r="V34" s="46"/>
      <c r="W34" s="46"/>
    </row>
    <row r="35" spans="3:23" s="44" customFormat="1" ht="15" customHeight="1">
      <c r="C35" s="857" t="str">
        <f>IF(Indice_index!$Z$1=1,"Transferências Correntes","Current transfers")</f>
        <v>Transferências Correntes</v>
      </c>
      <c r="D35" s="113">
        <f t="shared" ref="D35:E35" si="24">+D36+D37</f>
        <v>30173.699127129999</v>
      </c>
      <c r="E35" s="113">
        <f t="shared" si="24"/>
        <v>30080.527765999999</v>
      </c>
      <c r="F35" s="113">
        <f t="shared" ref="F35:G35" si="25">+F36+F37</f>
        <v>20363.157038700003</v>
      </c>
      <c r="G35" s="113">
        <f t="shared" si="25"/>
        <v>21146.717569530003</v>
      </c>
      <c r="H35" s="876">
        <f t="shared" si="19"/>
        <v>70.300354215965996</v>
      </c>
      <c r="I35" s="876">
        <f t="shared" si="20"/>
        <v>3.8479324661733449</v>
      </c>
      <c r="J35" s="877">
        <f t="shared" si="23"/>
        <v>1.5524250122698027</v>
      </c>
      <c r="K35" s="26"/>
      <c r="L35" s="26"/>
      <c r="M35" s="26"/>
      <c r="N35" s="45"/>
      <c r="O35" s="45"/>
      <c r="P35" s="45"/>
      <c r="Q35" s="45"/>
      <c r="R35" s="45"/>
      <c r="S35" s="45"/>
      <c r="T35" s="46"/>
      <c r="U35" s="46"/>
      <c r="V35" s="46"/>
      <c r="W35" s="46"/>
    </row>
    <row r="36" spans="3:23" s="44" customFormat="1" ht="15" customHeight="1">
      <c r="C36" s="858" t="str">
        <f>IF(Indice_index!$Z$1=1,"Administrações Públicas","General Government subsectors")</f>
        <v>Administrações Públicas</v>
      </c>
      <c r="D36" s="113">
        <v>15062.905607920004</v>
      </c>
      <c r="E36" s="113">
        <v>14210.651188</v>
      </c>
      <c r="F36" s="113">
        <v>10208.388755940001</v>
      </c>
      <c r="G36" s="113">
        <v>10411.114445629999</v>
      </c>
      <c r="H36" s="876">
        <f t="shared" si="19"/>
        <v>73.262754168658574</v>
      </c>
      <c r="I36" s="876">
        <f t="shared" si="20"/>
        <v>1.9858735255555107</v>
      </c>
      <c r="J36" s="877">
        <f t="shared" si="23"/>
        <v>0.40164916291920749</v>
      </c>
      <c r="K36" s="26"/>
      <c r="L36" s="26"/>
      <c r="M36" s="26"/>
      <c r="N36" s="45"/>
      <c r="O36" s="45"/>
      <c r="P36" s="45"/>
      <c r="Q36" s="45"/>
      <c r="R36" s="45"/>
      <c r="S36" s="45"/>
      <c r="T36" s="46"/>
      <c r="U36" s="46"/>
      <c r="V36" s="46"/>
      <c r="W36" s="46"/>
    </row>
    <row r="37" spans="3:23" s="44" customFormat="1" ht="15" customHeight="1">
      <c r="C37" s="858" t="str">
        <f>IF(Indice_index!$Z$1=1,"Outras","Others")</f>
        <v>Outras</v>
      </c>
      <c r="D37" s="113">
        <v>15110.793519209996</v>
      </c>
      <c r="E37" s="113">
        <v>15869.876577999999</v>
      </c>
      <c r="F37" s="113">
        <v>10154.76828276</v>
      </c>
      <c r="G37" s="113">
        <v>10735.603123900004</v>
      </c>
      <c r="H37" s="876">
        <f t="shared" si="19"/>
        <v>67.647678739874351</v>
      </c>
      <c r="I37" s="876">
        <f t="shared" si="20"/>
        <v>5.7198236824970339</v>
      </c>
      <c r="J37" s="877">
        <f t="shared" si="23"/>
        <v>1.1507758493505988</v>
      </c>
      <c r="K37" s="26"/>
      <c r="L37" s="26"/>
      <c r="M37" s="26"/>
      <c r="N37" s="45"/>
      <c r="O37" s="45"/>
      <c r="P37" s="45"/>
      <c r="Q37" s="45"/>
      <c r="R37" s="45"/>
      <c r="S37" s="45"/>
      <c r="T37" s="46"/>
      <c r="U37" s="46"/>
      <c r="V37" s="46"/>
      <c r="W37" s="46"/>
    </row>
    <row r="38" spans="3:23" s="44" customFormat="1" ht="15" customHeight="1">
      <c r="C38" s="857" t="str">
        <f>IF(Indice_index!$Z$1=1,"Subsídios","Subsidies")</f>
        <v>Subsídios</v>
      </c>
      <c r="D38" s="113">
        <v>1111.77722782</v>
      </c>
      <c r="E38" s="113">
        <v>796.59153199999992</v>
      </c>
      <c r="F38" s="113">
        <v>723.35318744999972</v>
      </c>
      <c r="G38" s="113">
        <v>659.61336238000013</v>
      </c>
      <c r="H38" s="876">
        <f t="shared" si="19"/>
        <v>82.804465762259724</v>
      </c>
      <c r="I38" s="876">
        <f t="shared" si="20"/>
        <v>-8.8117155182101801</v>
      </c>
      <c r="J38" s="877">
        <f t="shared" si="23"/>
        <v>-0.12628417948968579</v>
      </c>
      <c r="K38" s="26"/>
      <c r="L38" s="26"/>
      <c r="M38" s="26"/>
      <c r="N38" s="45"/>
      <c r="O38" s="45"/>
      <c r="P38" s="45"/>
      <c r="Q38" s="45"/>
      <c r="R38" s="45"/>
      <c r="S38" s="45"/>
      <c r="T38" s="46"/>
      <c r="U38" s="46"/>
      <c r="V38" s="46"/>
      <c r="W38" s="46"/>
    </row>
    <row r="39" spans="3:23" s="44" customFormat="1" ht="15" customHeight="1">
      <c r="C39" s="857" t="str">
        <f>IF(Indice_index!$Z$1=1,"Outras despesas correntes","Other current expenditure")</f>
        <v>Outras despesas correntes</v>
      </c>
      <c r="D39" s="113">
        <v>637.71143391999976</v>
      </c>
      <c r="E39" s="113">
        <v>2291.9324200000001</v>
      </c>
      <c r="F39" s="113">
        <v>464.27704872999993</v>
      </c>
      <c r="G39" s="113">
        <v>455.18470069999989</v>
      </c>
      <c r="H39" s="876">
        <f t="shared" si="19"/>
        <v>19.860302019725339</v>
      </c>
      <c r="I39" s="876">
        <f>IF(IFERROR((G39-F39)/F39*100,"")&gt;500,"-",IFERROR((G39-F39)/F39*100,""))</f>
        <v>-1.9583884352826775</v>
      </c>
      <c r="J39" s="877">
        <f>IFERROR((G39-F39)/$F$49*100,"")</f>
        <v>-1.8014164760292828E-2</v>
      </c>
      <c r="K39" s="26"/>
      <c r="L39" s="26"/>
      <c r="M39" s="26"/>
      <c r="N39" s="45"/>
      <c r="O39" s="45"/>
      <c r="P39" s="45"/>
      <c r="Q39" s="45"/>
      <c r="R39" s="45"/>
      <c r="S39" s="45"/>
      <c r="T39" s="46"/>
      <c r="U39" s="46"/>
      <c r="V39" s="46"/>
      <c r="W39" s="46"/>
    </row>
    <row r="40" spans="3:23" s="44" customFormat="1" ht="15" customHeight="1">
      <c r="C40" s="857" t="str">
        <f>IF(Indice_index!$Z$1=1,"Diferenças de consolidação","Consolidation differences")</f>
        <v>Diferenças de consolidação</v>
      </c>
      <c r="D40" s="113">
        <v>133.86440091999941</v>
      </c>
      <c r="E40" s="113">
        <v>9.999994290410541E-7</v>
      </c>
      <c r="F40" s="113">
        <v>8.3277446899990739</v>
      </c>
      <c r="G40" s="113">
        <v>15.815793020001479</v>
      </c>
      <c r="H40" s="876"/>
      <c r="I40" s="876"/>
      <c r="J40" s="877"/>
      <c r="K40" s="26"/>
      <c r="L40" s="26"/>
      <c r="M40" s="26"/>
      <c r="N40" s="45"/>
      <c r="O40" s="45"/>
      <c r="P40" s="45"/>
      <c r="Q40" s="45"/>
      <c r="R40" s="45"/>
      <c r="S40" s="45"/>
      <c r="T40" s="46"/>
      <c r="U40" s="46"/>
      <c r="V40" s="46"/>
      <c r="W40" s="46"/>
    </row>
    <row r="41" spans="3:23" s="267" customFormat="1" ht="15" customHeight="1">
      <c r="C41" s="268" t="str">
        <f>IF(Indice_index!$Z$1=1,"Despesa de capital","Capital expenditure")</f>
        <v>Despesa de capital</v>
      </c>
      <c r="D41" s="855">
        <f t="shared" ref="D41:E41" si="26">+D42+D43+D46+D47</f>
        <v>5525.7031684999965</v>
      </c>
      <c r="E41" s="855">
        <f t="shared" si="26"/>
        <v>8220.6554530000012</v>
      </c>
      <c r="F41" s="855">
        <f t="shared" ref="F41:G41" si="27">+F42+F43+F46+F47</f>
        <v>3734.67273424</v>
      </c>
      <c r="G41" s="855">
        <f t="shared" si="27"/>
        <v>3467.1209643099996</v>
      </c>
      <c r="H41" s="855">
        <f t="shared" si="19"/>
        <v>42.175724115097509</v>
      </c>
      <c r="I41" s="855">
        <f t="shared" si="20"/>
        <v>-7.163995053088545</v>
      </c>
      <c r="J41" s="875">
        <f t="shared" si="23"/>
        <v>-0.5300854795179859</v>
      </c>
      <c r="K41" s="262"/>
      <c r="L41" s="262"/>
      <c r="M41" s="262"/>
      <c r="N41" s="269"/>
      <c r="O41" s="269"/>
      <c r="P41" s="269"/>
      <c r="Q41" s="269"/>
      <c r="R41" s="269"/>
      <c r="S41" s="269"/>
      <c r="T41" s="270"/>
      <c r="U41" s="270"/>
      <c r="V41" s="270"/>
      <c r="W41" s="270"/>
    </row>
    <row r="42" spans="3:23" s="44" customFormat="1" ht="15" customHeight="1">
      <c r="C42" s="857" t="str">
        <f>IF(Indice_index!$Z$1=1,"Investimento","Investments")</f>
        <v>Investimento</v>
      </c>
      <c r="D42" s="113">
        <v>3423.9422135999971</v>
      </c>
      <c r="E42" s="113">
        <v>5795.8075239999998</v>
      </c>
      <c r="F42" s="113">
        <v>2237.7497010199995</v>
      </c>
      <c r="G42" s="113">
        <v>2403.034514389999</v>
      </c>
      <c r="H42" s="876">
        <f t="shared" si="19"/>
        <v>41.46159968976221</v>
      </c>
      <c r="I42" s="876">
        <f t="shared" si="20"/>
        <v>7.3862064776351088</v>
      </c>
      <c r="J42" s="877">
        <f t="shared" si="23"/>
        <v>0.32746963167240406</v>
      </c>
      <c r="K42" s="26"/>
      <c r="L42" s="26"/>
      <c r="M42" s="26"/>
      <c r="N42" s="45"/>
      <c r="O42" s="45"/>
      <c r="P42" s="45"/>
      <c r="Q42" s="45"/>
      <c r="R42" s="45"/>
      <c r="S42" s="45"/>
      <c r="T42" s="46"/>
      <c r="U42" s="46"/>
      <c r="V42" s="46"/>
      <c r="W42" s="46"/>
    </row>
    <row r="43" spans="3:23" s="44" customFormat="1" ht="15" customHeight="1">
      <c r="C43" s="857" t="str">
        <f>IF(Indice_index!$Z$1=1,"Transferências de capital","Capital transfers")</f>
        <v>Transferências de capital</v>
      </c>
      <c r="D43" s="113">
        <f t="shared" ref="D43:E43" si="28">+D44+D45</f>
        <v>1900.2181322400002</v>
      </c>
      <c r="E43" s="113">
        <f t="shared" si="28"/>
        <v>2185.9625120000001</v>
      </c>
      <c r="F43" s="113">
        <f t="shared" ref="F43:G43" si="29">+F44+F45</f>
        <v>1353.1534799400001</v>
      </c>
      <c r="G43" s="113">
        <f t="shared" si="29"/>
        <v>922.22489771999994</v>
      </c>
      <c r="H43" s="876">
        <f t="shared" si="19"/>
        <v>42.188504727660209</v>
      </c>
      <c r="I43" s="876">
        <f t="shared" si="20"/>
        <v>-31.846245722185774</v>
      </c>
      <c r="J43" s="877">
        <f t="shared" si="23"/>
        <v>-0.85377489449559085</v>
      </c>
      <c r="K43" s="26"/>
      <c r="L43" s="26"/>
      <c r="M43" s="26"/>
      <c r="N43" s="45"/>
      <c r="O43" s="45"/>
      <c r="P43" s="45"/>
      <c r="Q43" s="45"/>
      <c r="R43" s="45"/>
      <c r="S43" s="45"/>
      <c r="T43" s="46"/>
      <c r="U43" s="46"/>
      <c r="V43" s="46"/>
      <c r="W43" s="46"/>
    </row>
    <row r="44" spans="3:23" s="44" customFormat="1" ht="15" customHeight="1">
      <c r="C44" s="858" t="str">
        <f>IF(Indice_index!$Z$1=1,"Administrações Públicas","General Government subsectors")</f>
        <v>Administrações Públicas</v>
      </c>
      <c r="D44" s="113">
        <v>607.72723998000015</v>
      </c>
      <c r="E44" s="113">
        <v>639.86872000000005</v>
      </c>
      <c r="F44" s="113">
        <v>432.43745008000002</v>
      </c>
      <c r="G44" s="113">
        <v>381.37088876999997</v>
      </c>
      <c r="H44" s="876">
        <f t="shared" si="19"/>
        <v>59.601427113049056</v>
      </c>
      <c r="I44" s="876">
        <f t="shared" si="20"/>
        <v>-11.809005279388463</v>
      </c>
      <c r="J44" s="877">
        <f t="shared" si="23"/>
        <v>-0.10117534504230059</v>
      </c>
      <c r="K44" s="26"/>
      <c r="L44" s="26"/>
      <c r="M44" s="26"/>
      <c r="N44" s="45"/>
      <c r="O44" s="45"/>
      <c r="P44" s="45"/>
      <c r="Q44" s="45"/>
      <c r="R44" s="45"/>
      <c r="S44" s="45"/>
      <c r="T44" s="46"/>
      <c r="U44" s="46"/>
      <c r="V44" s="46"/>
      <c r="W44" s="46"/>
    </row>
    <row r="45" spans="3:23" s="44" customFormat="1" ht="15" customHeight="1">
      <c r="C45" s="858" t="str">
        <f>IF(Indice_index!$Z$1=1,"Outras","Others")</f>
        <v>Outras</v>
      </c>
      <c r="D45" s="113">
        <v>1292.49089226</v>
      </c>
      <c r="E45" s="113">
        <v>1546.0937920000001</v>
      </c>
      <c r="F45" s="113">
        <v>920.71602986000005</v>
      </c>
      <c r="G45" s="113">
        <v>540.85400894999998</v>
      </c>
      <c r="H45" s="876">
        <f t="shared" si="19"/>
        <v>34.981966278408031</v>
      </c>
      <c r="I45" s="876">
        <f t="shared" si="20"/>
        <v>-41.25723986447376</v>
      </c>
      <c r="J45" s="877">
        <f t="shared" si="23"/>
        <v>-0.75259954945329011</v>
      </c>
      <c r="K45" s="26"/>
      <c r="L45" s="26"/>
      <c r="M45" s="26"/>
      <c r="N45" s="45"/>
      <c r="O45" s="45"/>
      <c r="P45" s="45"/>
      <c r="Q45" s="45"/>
      <c r="R45" s="45"/>
      <c r="S45" s="45"/>
      <c r="T45" s="46"/>
      <c r="U45" s="46"/>
      <c r="V45" s="46"/>
      <c r="W45" s="46"/>
    </row>
    <row r="46" spans="3:23" s="44" customFormat="1" ht="15" customHeight="1">
      <c r="C46" s="857" t="str">
        <f>IF(Indice_index!$Z$1=1,"Outras despesas de capital","Other capital expenditure")</f>
        <v>Outras despesas de capital</v>
      </c>
      <c r="D46" s="113">
        <v>149.79872605000003</v>
      </c>
      <c r="E46" s="113">
        <v>236.364294</v>
      </c>
      <c r="F46" s="113">
        <v>39.580828250000003</v>
      </c>
      <c r="G46" s="113">
        <v>92.568336950000003</v>
      </c>
      <c r="H46" s="876">
        <f t="shared" si="19"/>
        <v>39.163418206474113</v>
      </c>
      <c r="I46" s="876">
        <f t="shared" si="20"/>
        <v>133.87165211733537</v>
      </c>
      <c r="J46" s="877">
        <f t="shared" si="23"/>
        <v>0.10498121154291597</v>
      </c>
      <c r="K46" s="26"/>
      <c r="L46" s="26"/>
      <c r="M46" s="26"/>
      <c r="N46" s="45"/>
      <c r="O46" s="45"/>
      <c r="P46" s="45"/>
      <c r="Q46" s="45"/>
      <c r="R46" s="45"/>
      <c r="S46" s="45"/>
      <c r="T46" s="46"/>
      <c r="U46" s="46"/>
      <c r="V46" s="46"/>
      <c r="W46" s="46"/>
    </row>
    <row r="47" spans="3:23" s="44" customFormat="1" ht="15" customHeight="1">
      <c r="C47" s="857" t="str">
        <f>IF(Indice_index!$Z$1=1,"Diferenças de consolidação","Consolidation differences")</f>
        <v>Diferenças de consolidação</v>
      </c>
      <c r="D47" s="113">
        <v>51.744096609999815</v>
      </c>
      <c r="E47" s="113">
        <v>2.5211229999999887</v>
      </c>
      <c r="F47" s="113">
        <v>104.18872503</v>
      </c>
      <c r="G47" s="113">
        <v>49.29321525000011</v>
      </c>
      <c r="H47" s="876"/>
      <c r="I47" s="876"/>
      <c r="J47" s="877"/>
      <c r="K47" s="26"/>
      <c r="L47" s="26"/>
      <c r="M47" s="26"/>
      <c r="N47" s="45"/>
      <c r="O47" s="45"/>
      <c r="P47" s="45"/>
      <c r="Q47" s="45"/>
      <c r="R47" s="45"/>
      <c r="S47" s="45"/>
      <c r="T47" s="46"/>
      <c r="U47" s="46"/>
      <c r="V47" s="46"/>
      <c r="W47" s="46"/>
    </row>
    <row r="48" spans="3:23" s="44" customFormat="1" ht="4.5" customHeight="1">
      <c r="F48" s="113"/>
      <c r="G48" s="113"/>
      <c r="H48" s="877"/>
      <c r="I48" s="877"/>
      <c r="J48" s="877"/>
      <c r="K48" s="26"/>
      <c r="L48" s="26"/>
      <c r="M48" s="26"/>
      <c r="N48" s="45"/>
      <c r="O48" s="45"/>
      <c r="P48" s="45"/>
      <c r="Q48" s="45"/>
      <c r="R48" s="45"/>
      <c r="S48" s="45"/>
      <c r="T48" s="46"/>
      <c r="U48" s="46"/>
      <c r="V48" s="46"/>
      <c r="W48" s="46"/>
    </row>
    <row r="49" spans="3:23" s="268" customFormat="1" ht="15" customHeight="1">
      <c r="C49" s="860" t="str">
        <f>IF(Indice_index!$Z$1=1,"Despesa efetiva","Effective Expenditure")</f>
        <v>Despesa efetiva</v>
      </c>
      <c r="D49" s="861">
        <f t="shared" ref="D49:E49" si="30">+D28+D41</f>
        <v>74466.462910510032</v>
      </c>
      <c r="E49" s="861">
        <f t="shared" si="30"/>
        <v>79303.155152999985</v>
      </c>
      <c r="F49" s="861">
        <f t="shared" ref="F49:G49" si="31">+F28+F41</f>
        <v>50473.325580109995</v>
      </c>
      <c r="G49" s="861">
        <f t="shared" si="31"/>
        <v>51167.991605459967</v>
      </c>
      <c r="H49" s="879">
        <f>IFERROR(IF(G49/E49*100&lt;-500,"-",IF(G49/E49*100&gt;500,"-",G49/E49*100)),"-")</f>
        <v>64.522012405107091</v>
      </c>
      <c r="I49" s="879">
        <f>IFERROR((G49-F49)/F49*100,"")</f>
        <v>1.3763032599217497</v>
      </c>
      <c r="J49" s="879"/>
      <c r="K49" s="262"/>
      <c r="L49" s="262"/>
      <c r="M49" s="262"/>
      <c r="N49" s="269"/>
      <c r="O49" s="269"/>
      <c r="P49" s="269"/>
      <c r="Q49" s="269"/>
      <c r="R49" s="269"/>
      <c r="S49" s="269"/>
      <c r="T49" s="270"/>
      <c r="U49" s="270"/>
      <c r="V49" s="270"/>
      <c r="W49" s="270"/>
    </row>
    <row r="50" spans="3:23" ht="4.5" customHeight="1">
      <c r="F50" s="22"/>
      <c r="G50" s="22"/>
      <c r="H50" s="880"/>
      <c r="I50" s="880"/>
      <c r="J50" s="880"/>
      <c r="K50" s="26"/>
      <c r="L50" s="26"/>
      <c r="M50" s="26"/>
      <c r="N50" s="45"/>
      <c r="O50" s="45"/>
      <c r="P50" s="45"/>
      <c r="Q50" s="45"/>
      <c r="R50" s="45"/>
      <c r="S50" s="45"/>
      <c r="T50" s="46"/>
      <c r="U50" s="46"/>
      <c r="V50" s="46"/>
      <c r="W50" s="46"/>
    </row>
    <row r="51" spans="3:23" s="266" customFormat="1" ht="15" customHeight="1">
      <c r="C51" s="860" t="str">
        <f>IF(Indice_index!$Z$1=1,"Saldo global","Overall balance")</f>
        <v>Saldo global</v>
      </c>
      <c r="D51" s="861">
        <f t="shared" ref="D51:E51" si="32">+D26-D49</f>
        <v>-10622.719730020035</v>
      </c>
      <c r="E51" s="861">
        <f t="shared" si="32"/>
        <v>-7769.5826579999848</v>
      </c>
      <c r="F51" s="861">
        <f t="shared" ref="F51:G51" si="33">+F26-F49</f>
        <v>-5185.6358291999932</v>
      </c>
      <c r="G51" s="861">
        <f t="shared" si="33"/>
        <v>2018.2622382200352</v>
      </c>
      <c r="H51" s="879"/>
      <c r="I51" s="879"/>
      <c r="J51" s="879"/>
      <c r="K51" s="262"/>
      <c r="L51" s="262"/>
      <c r="M51" s="262"/>
      <c r="N51" s="269"/>
      <c r="O51" s="269"/>
      <c r="P51" s="269"/>
      <c r="Q51" s="269"/>
      <c r="R51" s="269"/>
      <c r="S51" s="269"/>
      <c r="T51" s="270"/>
      <c r="U51" s="270"/>
      <c r="V51" s="270"/>
      <c r="W51" s="270"/>
    </row>
    <row r="52" spans="3:23" ht="15" customHeight="1">
      <c r="C52" s="863" t="str">
        <f>IF(Indice_index!$Z$1=1,"   Por memória:","   Memo item:")</f>
        <v xml:space="preserve">   Por memória:</v>
      </c>
      <c r="D52" s="863"/>
      <c r="E52" s="863"/>
      <c r="F52" s="22"/>
      <c r="G52" s="22"/>
      <c r="H52" s="880"/>
      <c r="I52" s="880"/>
      <c r="J52" s="880"/>
      <c r="K52" s="26"/>
      <c r="L52" s="26"/>
      <c r="M52" s="26"/>
      <c r="N52" s="45"/>
      <c r="O52" s="45"/>
      <c r="P52" s="45"/>
      <c r="Q52" s="45"/>
      <c r="R52" s="45"/>
      <c r="S52" s="45"/>
      <c r="T52" s="46"/>
      <c r="U52" s="46"/>
      <c r="V52" s="46"/>
      <c r="W52" s="46"/>
    </row>
    <row r="53" spans="3:23" ht="15" customHeight="1">
      <c r="C53" s="857" t="str">
        <f>IF(Indice_index!$Z$1=1,"Despesa primária","Primary expenditure")</f>
        <v>Despesa primária</v>
      </c>
      <c r="D53" s="113">
        <f t="shared" ref="D53:E53" si="34">+D49-D34</f>
        <v>67669.780610580026</v>
      </c>
      <c r="E53" s="113">
        <f t="shared" si="34"/>
        <v>72671.78551799999</v>
      </c>
      <c r="F53" s="113">
        <f t="shared" ref="F53:G53" si="35">+F49-F34</f>
        <v>45871.891857459988</v>
      </c>
      <c r="G53" s="113">
        <f t="shared" si="35"/>
        <v>47011.923057449967</v>
      </c>
      <c r="H53" s="877">
        <f>IFERROR(IF(G53/E53*100&lt;-500,"-",IF(G53/E53*100&gt;500,"-",G53/E53*100)),"-")</f>
        <v>64.690749955229379</v>
      </c>
      <c r="I53" s="877">
        <f t="shared" ref="I53" si="36">IFERROR((G53-F53)/F53*100,"")</f>
        <v>2.4852500165732301</v>
      </c>
      <c r="J53" s="877">
        <f t="shared" ref="J53" si="37">IFERROR((G53-F53)/$F$49*100,"")</f>
        <v>2.2586805741193925</v>
      </c>
      <c r="K53" s="26"/>
      <c r="L53" s="26"/>
      <c r="M53" s="26"/>
      <c r="N53" s="45"/>
      <c r="O53" s="45"/>
      <c r="P53" s="45"/>
      <c r="Q53" s="45"/>
      <c r="R53" s="45"/>
      <c r="S53" s="45"/>
      <c r="T53" s="46"/>
      <c r="U53" s="46"/>
      <c r="V53" s="46"/>
      <c r="W53" s="46"/>
    </row>
    <row r="54" spans="3:23" s="44" customFormat="1" ht="15" customHeight="1">
      <c r="C54" s="857" t="str">
        <f>IF(Indice_index!$Z$1=1,"Saldo corrente","Current balance")</f>
        <v>Saldo corrente</v>
      </c>
      <c r="D54" s="113">
        <f t="shared" ref="D54:E54" si="38">+D8-D28</f>
        <v>-6311.4677687500371</v>
      </c>
      <c r="E54" s="113">
        <f t="shared" si="38"/>
        <v>-3215.2994209999888</v>
      </c>
      <c r="F54" s="113">
        <f t="shared" ref="F54:G54" si="39">+F8-F28</f>
        <v>-2269.2084530399952</v>
      </c>
      <c r="G54" s="113">
        <f t="shared" si="39"/>
        <v>4236.4342420300381</v>
      </c>
      <c r="H54" s="113"/>
      <c r="I54" s="113"/>
      <c r="J54" s="113"/>
      <c r="K54" s="26"/>
      <c r="L54" s="26"/>
      <c r="M54" s="26"/>
      <c r="N54" s="45"/>
      <c r="O54" s="45"/>
      <c r="P54" s="45"/>
      <c r="Q54" s="45"/>
      <c r="R54" s="45"/>
      <c r="S54" s="45"/>
      <c r="T54" s="46"/>
      <c r="U54" s="46"/>
      <c r="V54" s="46"/>
      <c r="W54" s="46"/>
    </row>
    <row r="55" spans="3:23" s="44" customFormat="1" ht="15" customHeight="1">
      <c r="C55" s="857" t="str">
        <f>IF(Indice_index!$Z$1=1,"Saldo de capital","Capital balance")</f>
        <v>Saldo de capital</v>
      </c>
      <c r="D55" s="113">
        <f t="shared" ref="D55:E55" si="40">+D18-D41</f>
        <v>-4311.2519612699962</v>
      </c>
      <c r="E55" s="113">
        <f t="shared" si="40"/>
        <v>-4554.2832370000015</v>
      </c>
      <c r="F55" s="113">
        <f t="shared" ref="F55:G55" si="41">+F18-F41</f>
        <v>-2916.4273761599998</v>
      </c>
      <c r="G55" s="113">
        <f t="shared" si="41"/>
        <v>-2218.1720038099998</v>
      </c>
      <c r="H55" s="113"/>
      <c r="I55" s="113"/>
      <c r="J55" s="113"/>
      <c r="K55" s="26"/>
      <c r="L55" s="26"/>
      <c r="M55" s="26"/>
      <c r="N55" s="45"/>
      <c r="O55" s="45"/>
      <c r="P55" s="45"/>
      <c r="Q55" s="45"/>
      <c r="R55" s="45"/>
      <c r="S55" s="45"/>
      <c r="T55" s="46"/>
      <c r="U55" s="46"/>
      <c r="V55" s="46"/>
      <c r="W55" s="46"/>
    </row>
    <row r="56" spans="3:23" ht="15" customHeight="1">
      <c r="C56" s="864" t="str">
        <f>IF(Indice_index!$Z$1=1,"Saldo primário","Primary balance")</f>
        <v>Saldo primário</v>
      </c>
      <c r="D56" s="865">
        <f t="shared" ref="D56:E56" si="42">+D51+D34</f>
        <v>-3826.0374300900357</v>
      </c>
      <c r="E56" s="865">
        <f t="shared" si="42"/>
        <v>-1138.2130229999857</v>
      </c>
      <c r="F56" s="865">
        <f t="shared" ref="F56:G56" si="43">+F51+F34</f>
        <v>-584.20210654998755</v>
      </c>
      <c r="G56" s="865">
        <f t="shared" si="43"/>
        <v>6174.3307862300362</v>
      </c>
      <c r="H56" s="865"/>
      <c r="I56" s="865"/>
      <c r="J56" s="865"/>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866" t="str">
        <f>IF(Indice_index!$Z$1=1,"Nota:","Note:")</f>
        <v>Nota:</v>
      </c>
      <c r="D58" s="62"/>
      <c r="E58" s="62"/>
      <c r="F58" s="53"/>
      <c r="G58" s="53"/>
      <c r="H58" s="53"/>
      <c r="I58" s="53"/>
      <c r="J58" s="53"/>
      <c r="K58" s="24"/>
      <c r="L58" s="43"/>
      <c r="M58" s="45"/>
      <c r="N58" s="45"/>
      <c r="P58" s="45"/>
      <c r="Q58" s="45"/>
      <c r="R58" s="45"/>
      <c r="S58" s="45"/>
    </row>
    <row r="59" spans="3:23" s="22" customFormat="1" ht="12.75" customHeight="1">
      <c r="C59" s="1685" t="str">
        <f>+'5 - Conta AC + SS'!$C$64</f>
        <v>Os dados de 2021 são mensalmente revistos e atualizados face ao publicado nas Sínteses de Execução Orçamental de 2021.</v>
      </c>
      <c r="D59" s="1685"/>
      <c r="E59" s="1685"/>
      <c r="F59" s="1685"/>
      <c r="G59" s="1685"/>
      <c r="H59" s="1685"/>
      <c r="I59" s="1685"/>
      <c r="J59" s="1685"/>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Fonte: Direção-Geral do Orçamento</v>
      </c>
      <c r="D61" s="113"/>
      <c r="E61" s="113"/>
      <c r="F61" s="867"/>
      <c r="G61" s="867"/>
      <c r="H61" s="42"/>
      <c r="I61" s="641"/>
      <c r="L61" s="43"/>
      <c r="M61" s="45"/>
      <c r="N61" s="45"/>
    </row>
    <row r="62" spans="3:23" s="48" customFormat="1" ht="11.25" customHeight="1">
      <c r="F62" s="31"/>
      <c r="G62" s="31"/>
      <c r="H62" s="641"/>
      <c r="L62" s="43"/>
      <c r="M62" s="45"/>
      <c r="N62" s="45"/>
    </row>
    <row r="63" spans="3:23" s="48" customFormat="1" ht="11.25" customHeight="1">
      <c r="C63" s="1689"/>
      <c r="D63" s="1689"/>
      <c r="E63" s="1689"/>
      <c r="F63" s="1689"/>
      <c r="G63" s="1689"/>
      <c r="H63" s="1689"/>
      <c r="I63" s="1689"/>
      <c r="J63" s="1689"/>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4"/>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2" customWidth="1"/>
    <col min="4" max="5" width="9.453125" style="62"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1" customFormat="1" ht="15" customHeight="1">
      <c r="C5" s="733" t="str">
        <f>+'5 - Conta AC + SS'!C5</f>
        <v>Período: janeiro a setembro</v>
      </c>
      <c r="D5" s="733"/>
      <c r="E5" s="733"/>
      <c r="F5" s="734"/>
      <c r="J5" s="871" t="str">
        <f>IF(Indice_index!$Z$1=1,"€ Milhões","€ Millions")</f>
        <v>€ Milhões</v>
      </c>
    </row>
    <row r="6" spans="2:15" ht="33" customHeight="1">
      <c r="C6" s="736"/>
      <c r="D6" s="737" t="str">
        <f>IF(Indice_index!$Z$1=1,"CGE","Final execution")</f>
        <v>CGE</v>
      </c>
      <c r="E6" s="737" t="str">
        <f>IF(Indice_index!$Z$1=1,"Orçamento Inicial","Budget")</f>
        <v>Orçamento Inicial</v>
      </c>
      <c r="F6" s="1690" t="str">
        <f>IF(Indice_index!$Z$1=1,"Execução Acumulada","Accumulated Execution")</f>
        <v>Execução Acumulada</v>
      </c>
      <c r="G6" s="1690"/>
      <c r="H6" s="881" t="str">
        <f>IF(Indice_index!$Z$1=1,"Grau de Execução (%)","Execution Degree (%)")</f>
        <v>Grau de Execução (%)</v>
      </c>
      <c r="I6" s="1687" t="str">
        <f>IF(Indice_index!$Z$1=1,"Variação Homóloga Acumulada","YOY Change Rate")</f>
        <v>Variação Homóloga Acumulada</v>
      </c>
      <c r="J6" s="1688"/>
    </row>
    <row r="7" spans="2:15" ht="33.75" customHeight="1">
      <c r="C7" s="882"/>
      <c r="D7" s="739" t="s">
        <v>67</v>
      </c>
      <c r="E7" s="739" t="s">
        <v>74</v>
      </c>
      <c r="F7" s="740" t="s">
        <v>67</v>
      </c>
      <c r="G7" s="740" t="s">
        <v>74</v>
      </c>
      <c r="H7" s="742" t="s">
        <v>74</v>
      </c>
      <c r="I7" s="742" t="str">
        <f>IF(Indice_index!$Z$1=1,"Relativa (%)","Relative change (%)")</f>
        <v>Relativa (%)</v>
      </c>
      <c r="J7" s="743" t="str">
        <f>IF(Indice_index!$Z$1=1,"Contributo VHA (p.p.)","YOY Change Rate Contrib. (p.p.)")</f>
        <v>Contributo VHA (p.p.)</v>
      </c>
    </row>
    <row r="8" spans="2:15" ht="4.5" customHeight="1">
      <c r="C8" s="464"/>
      <c r="D8" s="464"/>
      <c r="E8" s="464"/>
      <c r="F8" s="782"/>
      <c r="G8" s="782"/>
      <c r="H8" s="85"/>
      <c r="I8" s="85"/>
      <c r="J8" s="85"/>
    </row>
    <row r="9" spans="2:15" s="271" customFormat="1" ht="15" customHeight="1">
      <c r="C9" s="733" t="str">
        <f>IF(Indice_index!$Z$1=1,"Receita corrente","Current revenue")</f>
        <v>Receita corrente</v>
      </c>
      <c r="D9" s="768">
        <f>+D10+D13+D14+D15+D20+D21</f>
        <v>49989.363712130005</v>
      </c>
      <c r="E9" s="768">
        <f>+E10+E13+E14+E15+E20+E21</f>
        <v>53187.510257999995</v>
      </c>
      <c r="F9" s="768">
        <f>+F10+F13+F14+F15+F20+F21</f>
        <v>35740.802287789993</v>
      </c>
      <c r="G9" s="768">
        <f>+G10+G13+G14+G15+G20+G21</f>
        <v>42912.655335939991</v>
      </c>
      <c r="H9" s="769">
        <f>IFERROR(IF(G9/E9*100&lt;-500,"-",IF(G9/E9*100&gt;500,"-",G9/E9*100)),"-")</f>
        <v>80.681827609115146</v>
      </c>
      <c r="I9" s="769">
        <f>IF(IFERROR((G9-F9)/F9*100,"")&gt;500,"-",IFERROR((G9-F9)/F9*100,""))</f>
        <v>20.066290035688688</v>
      </c>
      <c r="J9" s="769">
        <f t="shared" ref="J9:J20" si="0">IFERROR((G9-F9)/$F$32*100,"-")</f>
        <v>20.030416501170116</v>
      </c>
      <c r="K9" s="273"/>
      <c r="M9" s="274"/>
      <c r="N9" s="275"/>
      <c r="O9" s="275"/>
    </row>
    <row r="10" spans="2:15" ht="15" customHeight="1">
      <c r="C10" s="770" t="str">
        <f>IF(Indice_index!$Z$1=1,"Receita Fiscal","Tax")</f>
        <v>Receita Fiscal</v>
      </c>
      <c r="D10" s="771">
        <f t="shared" ref="D10:E10" si="1">SUM(D11:D12)</f>
        <v>45591.223834090008</v>
      </c>
      <c r="E10" s="771">
        <f t="shared" si="1"/>
        <v>48591.105513000002</v>
      </c>
      <c r="F10" s="771">
        <f t="shared" ref="F10" si="2">SUM(F11:F12)</f>
        <v>32762.172000079998</v>
      </c>
      <c r="G10" s="771">
        <f t="shared" ref="G10" si="3">SUM(G11:G12)</f>
        <v>39607.999809689994</v>
      </c>
      <c r="H10" s="772">
        <f t="shared" ref="H10:H29" si="4">IFERROR(IF(G10/E10*100&lt;-500,"-",IF(G10/E10*100&gt;500,"-",G10/E10*100)),"-")</f>
        <v>81.512860000876742</v>
      </c>
      <c r="I10" s="772">
        <f t="shared" ref="I10:I20" si="5">IF(IFERROR((G10-F10)/F10*100,"")&gt;500,"-",IFERROR((G10-F10)/F10*100,""))</f>
        <v>20.895524904738551</v>
      </c>
      <c r="J10" s="772">
        <f t="shared" si="0"/>
        <v>19.119853878929259</v>
      </c>
      <c r="K10" s="57"/>
      <c r="M10" s="58"/>
      <c r="N10" s="59"/>
      <c r="O10" s="59"/>
    </row>
    <row r="11" spans="2:15" ht="15" customHeight="1">
      <c r="C11" s="773" t="str">
        <f>IF(Indice_index!$Z$1=1,"Impostos diretos","Direct taxes")</f>
        <v>Impostos diretos</v>
      </c>
      <c r="D11" s="774">
        <f>+'8 - R_Est'!D10</f>
        <v>19956.94299525</v>
      </c>
      <c r="E11" s="774">
        <f>+'8 - R_Est'!E10</f>
        <v>20904.899710000002</v>
      </c>
      <c r="F11" s="774">
        <f>+'8 - R_Est'!F10</f>
        <v>14034.060857459999</v>
      </c>
      <c r="G11" s="774">
        <f>+'8 - R_Est'!G10</f>
        <v>18284.830825969999</v>
      </c>
      <c r="H11" s="775">
        <f t="shared" si="4"/>
        <v>87.466723493647407</v>
      </c>
      <c r="I11" s="775">
        <f t="shared" si="5"/>
        <v>30.288952083676079</v>
      </c>
      <c r="J11" s="775">
        <f t="shared" si="0"/>
        <v>11.872063237810544</v>
      </c>
      <c r="K11" s="57"/>
      <c r="M11" s="58"/>
      <c r="N11" s="59"/>
      <c r="O11" s="59"/>
    </row>
    <row r="12" spans="2:15" ht="15" customHeight="1">
      <c r="C12" s="773" t="str">
        <f>IF(Indice_index!$Z$1=1,"Impostos indiretos","Indirect taxes")</f>
        <v>Impostos indiretos</v>
      </c>
      <c r="D12" s="774">
        <f>+'8 - R_Est'!D14</f>
        <v>25634.280838840004</v>
      </c>
      <c r="E12" s="774">
        <f>+'8 - R_Est'!E14</f>
        <v>27686.205802999997</v>
      </c>
      <c r="F12" s="774">
        <f>+'8 - R_Est'!F14</f>
        <v>18728.11114262</v>
      </c>
      <c r="G12" s="774">
        <f>+'8 - R_Est'!G14</f>
        <v>21323.168983719996</v>
      </c>
      <c r="H12" s="775">
        <f t="shared" si="4"/>
        <v>77.017302896048975</v>
      </c>
      <c r="I12" s="775">
        <f t="shared" si="5"/>
        <v>13.856484625373467</v>
      </c>
      <c r="J12" s="775">
        <f t="shared" si="0"/>
        <v>7.2477906411187094</v>
      </c>
      <c r="K12" s="57"/>
      <c r="M12" s="58"/>
      <c r="N12" s="59"/>
      <c r="O12" s="59"/>
    </row>
    <row r="13" spans="2:15" ht="15" customHeight="1">
      <c r="C13" s="770" t="str">
        <f>IF(Indice_index!$Z$1=1,"Contribuições para Segurança Social, CGA e ADSE","Social security, CGA and ADSE contributions")</f>
        <v>Contribuições para Segurança Social, CGA e ADSE</v>
      </c>
      <c r="D13" s="774">
        <f>+'8 - R_Est'!D24</f>
        <v>66.578526589999996</v>
      </c>
      <c r="E13" s="774">
        <f>+'8 - R_Est'!E24</f>
        <v>75.073003999999997</v>
      </c>
      <c r="F13" s="774">
        <f>+'8 - R_Est'!F24</f>
        <v>48.43034514</v>
      </c>
      <c r="G13" s="774">
        <f>+'8 - R_Est'!G24</f>
        <v>50.946623719999998</v>
      </c>
      <c r="H13" s="775">
        <f t="shared" si="4"/>
        <v>67.862774906409769</v>
      </c>
      <c r="I13" s="775">
        <f t="shared" si="5"/>
        <v>5.1956651820796793</v>
      </c>
      <c r="J13" s="775">
        <f t="shared" si="0"/>
        <v>7.0277664157346693E-3</v>
      </c>
      <c r="K13" s="57"/>
      <c r="M13" s="58"/>
      <c r="N13" s="59"/>
      <c r="O13" s="59"/>
    </row>
    <row r="14" spans="2:15" ht="15" customHeight="1">
      <c r="C14" s="770" t="str">
        <f>IF(Indice_index!$Z$1=1,"Taxas, Multas e Outras Penalidades","Taxes, fines and other penalties")</f>
        <v>Taxas, Multas e Outras Penalidades</v>
      </c>
      <c r="D14" s="774">
        <f>+'8 - R_Est'!D30</f>
        <v>857.09185406000006</v>
      </c>
      <c r="E14" s="774">
        <f>+'8 - R_Est'!E30</f>
        <v>1005.0051129999999</v>
      </c>
      <c r="F14" s="774">
        <f>+'8 - R_Est'!F30</f>
        <v>610.21424316000002</v>
      </c>
      <c r="G14" s="774">
        <f>+'8 - R_Est'!G30</f>
        <v>750.99466326000004</v>
      </c>
      <c r="H14" s="775">
        <f t="shared" si="4"/>
        <v>74.72545696988908</v>
      </c>
      <c r="I14" s="775">
        <f t="shared" si="5"/>
        <v>23.07065455748252</v>
      </c>
      <c r="J14" s="775">
        <f t="shared" si="0"/>
        <v>0.39318854288852184</v>
      </c>
      <c r="K14" s="57"/>
      <c r="M14" s="58"/>
      <c r="N14" s="59"/>
      <c r="O14" s="59"/>
    </row>
    <row r="15" spans="2:15" ht="15" customHeight="1">
      <c r="C15" s="770" t="str">
        <f>IF(Indice_index!$Z$1=1,"Transferências Correntes","Current transfers")</f>
        <v>Transferências Correntes</v>
      </c>
      <c r="D15" s="774">
        <f>SUM(D16:D19)</f>
        <v>1214.3733370100001</v>
      </c>
      <c r="E15" s="774">
        <f>SUM(E16:E19)</f>
        <v>1338.8009099999999</v>
      </c>
      <c r="F15" s="774">
        <f>SUM(F16:F19)</f>
        <v>914.93006679999996</v>
      </c>
      <c r="G15" s="774">
        <f>SUM(G16:G19)</f>
        <v>698.64556161999985</v>
      </c>
      <c r="H15" s="775">
        <f t="shared" si="4"/>
        <v>52.184425361646923</v>
      </c>
      <c r="I15" s="775">
        <f t="shared" si="5"/>
        <v>-23.639457596629519</v>
      </c>
      <c r="J15" s="775">
        <f t="shared" si="0"/>
        <v>-0.60406546152286411</v>
      </c>
      <c r="K15" s="57"/>
      <c r="M15" s="58"/>
      <c r="N15" s="59"/>
      <c r="O15" s="59"/>
    </row>
    <row r="16" spans="2:15" ht="15" customHeight="1">
      <c r="C16" s="773" t="str">
        <f>IF(Indice_index!$Z$1=1,"Administração Central","Central Administration")</f>
        <v>Administração Central</v>
      </c>
      <c r="D16" s="774">
        <f>+'8 - R_Est'!D40</f>
        <v>528.42067895000002</v>
      </c>
      <c r="E16" s="774">
        <f>+'8 - R_Est'!E40</f>
        <v>559.4232750000001</v>
      </c>
      <c r="F16" s="774">
        <f>+'8 - R_Est'!F40</f>
        <v>363.80263884999999</v>
      </c>
      <c r="G16" s="774">
        <f>+'8 - R_Est'!G40</f>
        <v>323.36634475999995</v>
      </c>
      <c r="H16" s="772">
        <f t="shared" si="4"/>
        <v>57.80352001979179</v>
      </c>
      <c r="I16" s="772">
        <f t="shared" si="5"/>
        <v>-11.114898511407553</v>
      </c>
      <c r="J16" s="772">
        <f t="shared" si="0"/>
        <v>-0.11293536091002802</v>
      </c>
      <c r="K16" s="57"/>
      <c r="M16" s="58"/>
      <c r="N16" s="59"/>
      <c r="O16" s="59"/>
    </row>
    <row r="17" spans="3:15" ht="15" customHeight="1">
      <c r="C17" s="776" t="str">
        <f>IF(Indice_index!$Z$1=1,"Outros subsectores das AP","Other General Government subsectors")</f>
        <v>Outros subsectores das AP</v>
      </c>
      <c r="D17" s="774">
        <f>+'8 - R_Est'!D41</f>
        <v>215.78015270999998</v>
      </c>
      <c r="E17" s="774">
        <f>+'8 - R_Est'!E41</f>
        <v>260.91179099999999</v>
      </c>
      <c r="F17" s="774">
        <f>+'8 - R_Est'!F41</f>
        <v>141.91400437999999</v>
      </c>
      <c r="G17" s="774">
        <f>+'8 - R_Est'!G41</f>
        <v>194.28661489000001</v>
      </c>
      <c r="H17" s="772">
        <f t="shared" si="4"/>
        <v>74.464482477144927</v>
      </c>
      <c r="I17" s="772">
        <f t="shared" si="5"/>
        <v>36.904469533368271</v>
      </c>
      <c r="J17" s="772">
        <f t="shared" si="0"/>
        <v>0.14627254556470093</v>
      </c>
      <c r="K17" s="57"/>
      <c r="M17" s="58"/>
      <c r="N17" s="59"/>
      <c r="O17" s="59"/>
    </row>
    <row r="18" spans="3:15" ht="15" customHeight="1">
      <c r="C18" s="773" t="str">
        <f>IF(Indice_index!$Z$1=1,"União Europeia","European Union")</f>
        <v>União Europeia</v>
      </c>
      <c r="D18" s="774">
        <f>+'8 - R_Est'!D42</f>
        <v>456.44551322000001</v>
      </c>
      <c r="E18" s="774">
        <f>+'8 - R_Est'!E42</f>
        <v>485.50868800000001</v>
      </c>
      <c r="F18" s="774">
        <f>+'8 - R_Est'!F42</f>
        <v>396.39448931000004</v>
      </c>
      <c r="G18" s="774">
        <f>+'8 - R_Est'!G42</f>
        <v>164.51384786</v>
      </c>
      <c r="H18" s="772">
        <f t="shared" si="4"/>
        <v>33.884841183315757</v>
      </c>
      <c r="I18" s="772">
        <f t="shared" si="5"/>
        <v>-58.497443254983786</v>
      </c>
      <c r="J18" s="772">
        <f t="shared" si="0"/>
        <v>-0.64762423262424462</v>
      </c>
      <c r="K18" s="57"/>
      <c r="M18" s="58"/>
      <c r="N18" s="59"/>
      <c r="O18" s="59"/>
    </row>
    <row r="19" spans="3:15" ht="15" customHeight="1">
      <c r="C19" s="776" t="str">
        <f>IF(Indice_index!$Z$1=1,"Outras transferências","Other transfers")</f>
        <v>Outras transferências</v>
      </c>
      <c r="D19" s="774">
        <f>+'8 - R_Est'!D43</f>
        <v>13.726992130000001</v>
      </c>
      <c r="E19" s="774">
        <f>+'8 - R_Est'!E43</f>
        <v>32.957155999999998</v>
      </c>
      <c r="F19" s="774">
        <f>+'8 - R_Est'!F43</f>
        <v>12.818934260000001</v>
      </c>
      <c r="G19" s="774">
        <f>+'8 - R_Est'!G43</f>
        <v>16.478754110000001</v>
      </c>
      <c r="H19" s="772">
        <f t="shared" si="4"/>
        <v>50.000534360428439</v>
      </c>
      <c r="I19" s="772">
        <f t="shared" si="5"/>
        <v>28.550110139967284</v>
      </c>
      <c r="J19" s="772">
        <f t="shared" si="0"/>
        <v>1.0221586446707787E-2</v>
      </c>
      <c r="K19" s="57"/>
      <c r="M19" s="58"/>
      <c r="N19" s="59"/>
      <c r="O19" s="59"/>
    </row>
    <row r="20" spans="3:15" ht="15" customHeight="1">
      <c r="C20" s="770" t="str">
        <f>IF(Indice_index!$Z$1=1,"Outras Receitas Correntes","Other current revenue")</f>
        <v>Outras Receitas Correntes</v>
      </c>
      <c r="D20" s="774">
        <f>'8 - R_Est'!D35+'8 - R_Est'!D44+'8 - R_Est'!D45+'8 - R_Est'!D49+'8 - R_Est'!D50</f>
        <v>2260.0917186399997</v>
      </c>
      <c r="E20" s="774">
        <f>'8 - R_Est'!E35+'8 - R_Est'!E44+'8 - R_Est'!E45+'8 - R_Est'!E49+'8 - R_Est'!E50</f>
        <v>2175.6270149999996</v>
      </c>
      <c r="F20" s="774">
        <f>'8 - R_Est'!F35+'8 - R_Est'!F44+'8 - R_Est'!F45+'8 - R_Est'!F49+'8 - R_Est'!F50</f>
        <v>1405.05218758</v>
      </c>
      <c r="G20" s="774">
        <f>'8 - R_Est'!G35+'8 - R_Est'!G44+'8 - R_Est'!G45+'8 - R_Est'!G49+'8 - R_Est'!G50</f>
        <v>1804.0649140000003</v>
      </c>
      <c r="H20" s="775">
        <f t="shared" si="4"/>
        <v>82.921608417332536</v>
      </c>
      <c r="I20" s="775">
        <f t="shared" si="5"/>
        <v>28.398427471028121</v>
      </c>
      <c r="J20" s="775">
        <f t="shared" si="0"/>
        <v>1.1144108845790857</v>
      </c>
      <c r="K20" s="57"/>
      <c r="M20" s="58"/>
      <c r="N20" s="59"/>
      <c r="O20" s="59"/>
    </row>
    <row r="21" spans="3:15" ht="15" customHeight="1">
      <c r="C21" s="777" t="str">
        <f>IF(Indice_index!$Z$1=1,"Diferenças de consolidação","Consolidation differences")</f>
        <v>Diferenças de consolidação</v>
      </c>
      <c r="D21" s="774">
        <f>+'8 - R_Est'!D51</f>
        <v>4.4417399999999996E-3</v>
      </c>
      <c r="E21" s="774">
        <f>+'8 - R_Est'!E51</f>
        <v>1.898703</v>
      </c>
      <c r="F21" s="774">
        <f>+'8 - R_Est'!F51</f>
        <v>3.44503E-3</v>
      </c>
      <c r="G21" s="774">
        <f>+'8 - R_Est'!G51</f>
        <v>3.7636499999999999E-3</v>
      </c>
      <c r="H21" s="775"/>
      <c r="I21" s="775"/>
      <c r="J21" s="775"/>
      <c r="K21" s="57"/>
      <c r="M21" s="58"/>
      <c r="N21" s="59"/>
      <c r="O21" s="59"/>
    </row>
    <row r="22" spans="3:15" s="271" customFormat="1" ht="15" customHeight="1">
      <c r="C22" s="733" t="str">
        <f>IF(Indice_index!$Z$1=1,"Receita de capital","Capital revenue")</f>
        <v>Receita de capital</v>
      </c>
      <c r="D22" s="768">
        <f t="shared" ref="D22:E22" si="6">D23+D24+D29+D30</f>
        <v>84.767693959999988</v>
      </c>
      <c r="E22" s="768">
        <f t="shared" si="6"/>
        <v>530.07363999999995</v>
      </c>
      <c r="F22" s="768">
        <f t="shared" ref="F22" si="7">F23+F24+F29+F30</f>
        <v>64.01009707</v>
      </c>
      <c r="G22" s="768">
        <f t="shared" ref="G22" si="8">G23+G24+G29+G30</f>
        <v>301.38478530000003</v>
      </c>
      <c r="H22" s="769">
        <f t="shared" si="4"/>
        <v>56.857153904125482</v>
      </c>
      <c r="I22" s="769">
        <f t="shared" ref="I22:I29" si="9">IF(IFERROR((G22-F22)/F22*100,"")&gt;500,"-",IFERROR((G22-F22)/F22*100,""))</f>
        <v>370.8394442370747</v>
      </c>
      <c r="J22" s="769">
        <f t="shared" ref="J22:J29" si="10">IFERROR((G22-F22)/$F$32*100,"-")</f>
        <v>0.6629686693467316</v>
      </c>
      <c r="K22" s="273"/>
      <c r="M22" s="274"/>
      <c r="N22" s="275"/>
      <c r="O22" s="275"/>
    </row>
    <row r="23" spans="3:15" ht="15" customHeight="1">
      <c r="C23" s="770" t="str">
        <f>IF(Indice_index!$Z$1=1,"Venda de bens de investimento","Sale of investment goods")</f>
        <v>Venda de bens de investimento</v>
      </c>
      <c r="D23" s="89">
        <f>+'8 - R_Est'!D53</f>
        <v>36.8988175</v>
      </c>
      <c r="E23" s="89">
        <f>+'8 - R_Est'!E53</f>
        <v>53.822319</v>
      </c>
      <c r="F23" s="89">
        <f>+'8 - R_Est'!F53</f>
        <v>36.4882171</v>
      </c>
      <c r="G23" s="89">
        <f>+'8 - R_Est'!G53</f>
        <v>35.108443600000001</v>
      </c>
      <c r="H23" s="778">
        <f t="shared" si="4"/>
        <v>65.230269249453926</v>
      </c>
      <c r="I23" s="778">
        <f t="shared" si="9"/>
        <v>-3.7814220854326122</v>
      </c>
      <c r="J23" s="779">
        <f t="shared" si="10"/>
        <v>-3.8535979051336515E-3</v>
      </c>
      <c r="K23" s="57"/>
      <c r="M23" s="58"/>
      <c r="N23" s="59"/>
      <c r="O23" s="59"/>
    </row>
    <row r="24" spans="3:15" ht="15" customHeight="1">
      <c r="C24" s="770" t="str">
        <f>IF(Indice_index!$Z$1=1,"Transferências de capital","Capital transfers")</f>
        <v>Transferências de capital</v>
      </c>
      <c r="D24" s="774">
        <f t="shared" ref="D24:E24" si="11">SUM(D25:D28)</f>
        <v>45.685864639999998</v>
      </c>
      <c r="E24" s="774">
        <f t="shared" si="11"/>
        <v>469.99793599999998</v>
      </c>
      <c r="F24" s="774">
        <f t="shared" ref="F24" si="12">SUM(F25:F28)</f>
        <v>27.331949460000001</v>
      </c>
      <c r="G24" s="774">
        <f t="shared" ref="G24" si="13">SUM(G25:G28)</f>
        <v>246.15676103000001</v>
      </c>
      <c r="H24" s="775">
        <f t="shared" si="4"/>
        <v>52.3740089424563</v>
      </c>
      <c r="I24" s="775" t="str">
        <f t="shared" si="9"/>
        <v>-</v>
      </c>
      <c r="J24" s="775">
        <f t="shared" si="10"/>
        <v>0.61116033570540285</v>
      </c>
      <c r="K24" s="57"/>
      <c r="M24" s="58"/>
      <c r="N24" s="59"/>
      <c r="O24" s="59"/>
    </row>
    <row r="25" spans="3:15" ht="15" customHeight="1">
      <c r="C25" s="773" t="str">
        <f>IF(Indice_index!$Z$1=1,"Administração Central","Central Administration")</f>
        <v>Administração Central</v>
      </c>
      <c r="D25" s="774">
        <f>+'8 - R_Est'!D55</f>
        <v>17.407786689999998</v>
      </c>
      <c r="E25" s="774">
        <f>+'8 - R_Est'!E55</f>
        <v>33.988917999999998</v>
      </c>
      <c r="F25" s="774">
        <f>+'8 - R_Est'!F55</f>
        <v>9.4486791200000013</v>
      </c>
      <c r="G25" s="774">
        <f>+'8 - R_Est'!G55</f>
        <v>11.569955360000002</v>
      </c>
      <c r="H25" s="775">
        <f t="shared" si="4"/>
        <v>34.040375630668798</v>
      </c>
      <c r="I25" s="775">
        <f t="shared" si="9"/>
        <v>22.450505653323528</v>
      </c>
      <c r="J25" s="775">
        <f t="shared" si="10"/>
        <v>5.9245562222160347E-3</v>
      </c>
      <c r="K25" s="57"/>
      <c r="M25" s="58"/>
      <c r="N25" s="59"/>
      <c r="O25" s="59"/>
    </row>
    <row r="26" spans="3:15" ht="15" customHeight="1">
      <c r="C26" s="773" t="str">
        <f>IF(Indice_index!$Z$1=1,"Outros subsectores das AP","Other General Government subsectors")</f>
        <v>Outros subsectores das AP</v>
      </c>
      <c r="D26" s="774">
        <f>+'8 - R_Est'!D56</f>
        <v>3.0124069999999999E-2</v>
      </c>
      <c r="E26" s="774">
        <f>+'8 - R_Est'!E56</f>
        <v>0</v>
      </c>
      <c r="F26" s="774">
        <f>+'8 - R_Est'!F56</f>
        <v>1.2405589999999999E-2</v>
      </c>
      <c r="G26" s="774">
        <f>+'8 - R_Est'!G56</f>
        <v>1.867427E-2</v>
      </c>
      <c r="H26" s="775" t="str">
        <f t="shared" si="4"/>
        <v>-</v>
      </c>
      <c r="I26" s="775">
        <f t="shared" si="9"/>
        <v>50.531091225810307</v>
      </c>
      <c r="J26" s="775">
        <f t="shared" si="10"/>
        <v>1.7507925841417624E-5</v>
      </c>
      <c r="K26" s="57"/>
      <c r="M26" s="58"/>
      <c r="N26" s="59"/>
      <c r="O26" s="59"/>
    </row>
    <row r="27" spans="3:15" ht="15" customHeight="1">
      <c r="C27" s="773" t="str">
        <f>IF(Indice_index!$Z$1=1,"União Europeia","European Union")</f>
        <v>União Europeia</v>
      </c>
      <c r="D27" s="774">
        <f>+'8 - R_Est'!D57</f>
        <v>18.856822619999999</v>
      </c>
      <c r="E27" s="774">
        <f>+'8 - R_Est'!E57</f>
        <v>435.52218199999999</v>
      </c>
      <c r="F27" s="774">
        <f>+'8 - R_Est'!F57</f>
        <v>9.7583209600000007</v>
      </c>
      <c r="G27" s="774">
        <f>+'8 - R_Est'!G57</f>
        <v>233.16912658999999</v>
      </c>
      <c r="H27" s="775">
        <f t="shared" si="4"/>
        <v>53.537830270606058</v>
      </c>
      <c r="I27" s="775" t="str">
        <f t="shared" si="9"/>
        <v>-</v>
      </c>
      <c r="J27" s="775">
        <f t="shared" si="10"/>
        <v>0.62396865323184569</v>
      </c>
      <c r="K27" s="57"/>
      <c r="M27" s="58"/>
      <c r="N27" s="59"/>
      <c r="O27" s="59"/>
    </row>
    <row r="28" spans="3:15" ht="15" customHeight="1">
      <c r="C28" s="773" t="str">
        <f>IF(Indice_index!$Z$1=1,"Outras transferências","Other transfers")</f>
        <v>Outras transferências</v>
      </c>
      <c r="D28" s="774">
        <f>+'8 - R_Est'!D58</f>
        <v>9.3911312599999999</v>
      </c>
      <c r="E28" s="774">
        <f>+'8 - R_Est'!E58</f>
        <v>0.48683600000000005</v>
      </c>
      <c r="F28" s="774">
        <f>+'8 - R_Est'!F58</f>
        <v>8.1125437900000001</v>
      </c>
      <c r="G28" s="774">
        <f>+'8 - R_Est'!G58</f>
        <v>1.3990048099999999</v>
      </c>
      <c r="H28" s="775">
        <f t="shared" si="4"/>
        <v>287.36675389658933</v>
      </c>
      <c r="I28" s="775">
        <f t="shared" si="9"/>
        <v>-82.755041498518679</v>
      </c>
      <c r="J28" s="775">
        <f t="shared" si="10"/>
        <v>-1.8750381674500296E-2</v>
      </c>
      <c r="K28" s="57"/>
      <c r="M28" s="58"/>
      <c r="N28" s="59"/>
      <c r="O28" s="59"/>
    </row>
    <row r="29" spans="3:15" ht="15" customHeight="1">
      <c r="C29" s="770" t="str">
        <f>IF(Indice_index!$Z$1=1,"Outras Receitas de Capital","Other capital revenue")</f>
        <v>Outras Receitas de Capital</v>
      </c>
      <c r="D29" s="774">
        <f>+'8 - R_Est'!D59</f>
        <v>1.50296685</v>
      </c>
      <c r="E29" s="774">
        <f>+'8 - R_Est'!E59</f>
        <v>6.2533849999999997</v>
      </c>
      <c r="F29" s="774">
        <f>+'8 - R_Est'!F59</f>
        <v>0.18993051</v>
      </c>
      <c r="G29" s="774">
        <f>+'8 - R_Est'!G59</f>
        <v>20.119580670000001</v>
      </c>
      <c r="H29" s="779">
        <f t="shared" si="4"/>
        <v>321.73903685763793</v>
      </c>
      <c r="I29" s="779" t="str">
        <f t="shared" si="9"/>
        <v>-</v>
      </c>
      <c r="J29" s="779">
        <f t="shared" si="10"/>
        <v>5.5661931546462234E-2</v>
      </c>
      <c r="K29" s="57"/>
      <c r="M29" s="58"/>
      <c r="N29" s="59"/>
      <c r="O29" s="59"/>
    </row>
    <row r="30" spans="3:15" ht="15" customHeight="1">
      <c r="C30" s="777" t="str">
        <f>IF(Indice_index!$Z$1=1,"Diferenças de consolidação","Consolidation differences")</f>
        <v>Diferenças de consolidação</v>
      </c>
      <c r="D30" s="774">
        <f>+'8 - R_Est'!D60</f>
        <v>0.68004496999999997</v>
      </c>
      <c r="E30" s="774">
        <f>+'8 - R_Est'!E60</f>
        <v>0</v>
      </c>
      <c r="F30" s="774">
        <f>+'8 - R_Est'!F60</f>
        <v>0</v>
      </c>
      <c r="G30" s="774">
        <f>+'8 - R_Est'!G60</f>
        <v>0</v>
      </c>
      <c r="H30" s="775"/>
      <c r="I30" s="775"/>
      <c r="J30" s="774"/>
      <c r="K30" s="57"/>
      <c r="M30" s="58"/>
      <c r="N30" s="59"/>
      <c r="O30" s="59"/>
    </row>
    <row r="31" spans="3:15" ht="4.5" customHeight="1">
      <c r="C31" s="773"/>
      <c r="D31" s="775"/>
      <c r="E31" s="775"/>
      <c r="F31" s="775"/>
      <c r="G31" s="775"/>
      <c r="H31" s="775"/>
      <c r="I31" s="775"/>
      <c r="J31" s="775"/>
      <c r="K31" s="57"/>
      <c r="M31" s="58"/>
      <c r="N31" s="59"/>
      <c r="O31" s="59"/>
    </row>
    <row r="32" spans="3:15" s="271" customFormat="1" ht="15" customHeight="1">
      <c r="C32" s="780" t="str">
        <f>IF(Indice_index!$Z$1=1,"Receita efetiva","Effective revenue")</f>
        <v>Receita efetiva</v>
      </c>
      <c r="D32" s="781">
        <f>+D9+D22</f>
        <v>50074.131406090004</v>
      </c>
      <c r="E32" s="781">
        <f>+E9+E22</f>
        <v>53717.583897999997</v>
      </c>
      <c r="F32" s="781">
        <f>+F9+F22</f>
        <v>35804.812384859993</v>
      </c>
      <c r="G32" s="781">
        <f>+G9+G22</f>
        <v>43214.040121239988</v>
      </c>
      <c r="H32" s="781">
        <f>IFERROR(IF(G32/E32*100&lt;-500,"-",IF(G32/E32*100&gt;500,"-",G32/E32*100)),"-")</f>
        <v>80.446730819643079</v>
      </c>
      <c r="I32" s="781">
        <f>IFERROR((G32-F32)/F32*100,"-")</f>
        <v>20.693385170516841</v>
      </c>
      <c r="J32" s="781"/>
      <c r="K32" s="273"/>
      <c r="M32" s="274"/>
      <c r="N32" s="275"/>
      <c r="O32" s="275"/>
    </row>
    <row r="33" spans="3:12" ht="4.5" customHeight="1">
      <c r="C33" s="773"/>
      <c r="D33" s="774"/>
      <c r="E33" s="774"/>
      <c r="F33" s="774"/>
      <c r="G33" s="774"/>
      <c r="H33" s="775"/>
      <c r="I33" s="775"/>
      <c r="J33" s="775"/>
      <c r="K33" s="57"/>
    </row>
    <row r="34" spans="3:12" s="271" customFormat="1" ht="15" customHeight="1">
      <c r="C34" s="733" t="str">
        <f>IF(Indice_index!$Z$1=1,"Despesa corrente","Current Expenditure")</f>
        <v>Despesa corrente</v>
      </c>
      <c r="D34" s="769">
        <f>+D35+D39+D40+D41+D46+D47+D48</f>
        <v>56311.346025609979</v>
      </c>
      <c r="E34" s="769">
        <f>+E35+E39+E40+E41+E46+E47+E48</f>
        <v>57314.736388999991</v>
      </c>
      <c r="F34" s="769">
        <f>+F35+F39+F40+F41+F46+F47+F48</f>
        <v>39329.436832979998</v>
      </c>
      <c r="G34" s="769">
        <f>+G35+G39+G40+G41+G46+G47+G48</f>
        <v>40384.265889460003</v>
      </c>
      <c r="H34" s="769">
        <f>IFERROR(IF(G34/E34*100&lt;-500,"-",IF(G34/E34*100&gt;500,"-",G34/E34*100)),"-")</f>
        <v>70.460528013892542</v>
      </c>
      <c r="I34" s="769">
        <f t="shared" ref="I34:I47" si="14">IF(IFERROR((G34-F34)/F34*100,"")&gt;500,"-",IFERROR((G34-F34)/F34*100,""))</f>
        <v>2.6820344795668918</v>
      </c>
      <c r="J34" s="769">
        <f t="shared" ref="J34:J46" si="15">IFERROR((G34-F34)/$F$59*100,"-")</f>
        <v>2.5356586422116063</v>
      </c>
      <c r="K34" s="273"/>
    </row>
    <row r="35" spans="3:12" ht="15" customHeight="1">
      <c r="C35" s="770" t="str">
        <f>IF(Indice_index!$Z$1=1,"Despesas com o pessoal","Employees")</f>
        <v>Despesas com o pessoal</v>
      </c>
      <c r="D35" s="774">
        <f t="shared" ref="D35:E35" si="16">SUM(D36:D38)</f>
        <v>10187.270213329986</v>
      </c>
      <c r="E35" s="774">
        <f t="shared" si="16"/>
        <v>10016.221926</v>
      </c>
      <c r="F35" s="774">
        <f>SUM(F36:F38)</f>
        <v>7336.3086787900011</v>
      </c>
      <c r="G35" s="774">
        <f t="shared" ref="G35" si="17">SUM(G36:G38)</f>
        <v>7321.3213923899966</v>
      </c>
      <c r="H35" s="775">
        <f t="shared" ref="H35:H56" si="18">IFERROR(IF(G35/E35*100&lt;-500,"-",IF(G35/E35*100&gt;500,"-",G35/E35*100)),"-")</f>
        <v>73.094640339241991</v>
      </c>
      <c r="I35" s="775">
        <f t="shared" si="14"/>
        <v>-0.20428920123459621</v>
      </c>
      <c r="J35" s="775">
        <f t="shared" si="15"/>
        <v>-3.602729944725612E-2</v>
      </c>
      <c r="K35" s="57"/>
      <c r="L35" s="57"/>
    </row>
    <row r="36" spans="3:12" ht="15" customHeight="1">
      <c r="C36" s="773" t="str">
        <f>IF(Indice_index!$Z$1=1,"Remunerações Certas e Permanentes","Certain and permanent wages")</f>
        <v>Remunerações Certas e Permanentes</v>
      </c>
      <c r="D36" s="774">
        <v>7352.8066867299895</v>
      </c>
      <c r="E36" s="774">
        <v>7559.328442</v>
      </c>
      <c r="F36" s="774">
        <v>5269.8901124500017</v>
      </c>
      <c r="G36" s="774">
        <v>5275.6502970899955</v>
      </c>
      <c r="H36" s="775">
        <f t="shared" si="18"/>
        <v>69.789933557830665</v>
      </c>
      <c r="I36" s="775">
        <f t="shared" si="14"/>
        <v>0.10930369546768315</v>
      </c>
      <c r="J36" s="775">
        <f t="shared" si="15"/>
        <v>1.3846662521674612E-2</v>
      </c>
      <c r="K36" s="57"/>
      <c r="L36" s="57"/>
    </row>
    <row r="37" spans="3:12" ht="15" customHeight="1">
      <c r="C37" s="773" t="str">
        <f>IF(Indice_index!$Z$1=1,"Abonos Variáveis ou Eventuais","Variable or contingent bonuses")</f>
        <v>Abonos Variáveis ou Eventuais</v>
      </c>
      <c r="D37" s="774">
        <v>386.88280049999992</v>
      </c>
      <c r="E37" s="774">
        <v>373.87042400000001</v>
      </c>
      <c r="F37" s="774">
        <v>282.43048092999999</v>
      </c>
      <c r="G37" s="774">
        <v>294.39156960999992</v>
      </c>
      <c r="H37" s="775">
        <f t="shared" si="18"/>
        <v>78.741604232914639</v>
      </c>
      <c r="I37" s="775">
        <f t="shared" si="14"/>
        <v>4.2350558766227762</v>
      </c>
      <c r="J37" s="775">
        <f t="shared" si="15"/>
        <v>2.875275163817614E-2</v>
      </c>
      <c r="K37" s="57"/>
      <c r="L37" s="57"/>
    </row>
    <row r="38" spans="3:12" ht="15" customHeight="1">
      <c r="C38" s="773" t="str">
        <f>IF(Indice_index!$Z$1=1,"Segurança social","Social security")</f>
        <v>Segurança social</v>
      </c>
      <c r="D38" s="774">
        <v>2447.5807260999964</v>
      </c>
      <c r="E38" s="774">
        <v>2083.02306</v>
      </c>
      <c r="F38" s="774">
        <v>1783.988085409999</v>
      </c>
      <c r="G38" s="774">
        <v>1751.279525690001</v>
      </c>
      <c r="H38" s="775">
        <f t="shared" si="18"/>
        <v>84.073938465664469</v>
      </c>
      <c r="I38" s="775">
        <f t="shared" si="14"/>
        <v>-1.8334516910453951</v>
      </c>
      <c r="J38" s="775">
        <f t="shared" si="15"/>
        <v>-7.8626713607106186E-2</v>
      </c>
      <c r="K38" s="57"/>
      <c r="L38" s="57"/>
    </row>
    <row r="39" spans="3:12" ht="15" customHeight="1">
      <c r="C39" s="770" t="str">
        <f>IF(Indice_index!$Z$1=1,"Aquisição de bens e serviços","Purchase of goods and services")</f>
        <v>Aquisição de bens e serviços</v>
      </c>
      <c r="D39" s="774">
        <v>1801.2157903399941</v>
      </c>
      <c r="E39" s="774">
        <v>1842.417768</v>
      </c>
      <c r="F39" s="774">
        <v>884.19231545000014</v>
      </c>
      <c r="G39" s="774">
        <v>910.78984132000028</v>
      </c>
      <c r="H39" s="775">
        <f t="shared" si="18"/>
        <v>49.434490762032226</v>
      </c>
      <c r="I39" s="775">
        <f t="shared" si="14"/>
        <v>3.0081154750212478</v>
      </c>
      <c r="J39" s="775">
        <f t="shared" si="15"/>
        <v>6.3936659612666896E-2</v>
      </c>
      <c r="K39" s="57"/>
      <c r="L39" s="57"/>
    </row>
    <row r="40" spans="3:12" ht="15" customHeight="1">
      <c r="C40" s="770" t="str">
        <f>IF(Indice_index!$Z$1=1,"Juros e outros encargos","Interests")</f>
        <v>Juros e outros encargos</v>
      </c>
      <c r="D40" s="774">
        <v>6382.38636107</v>
      </c>
      <c r="E40" s="774">
        <v>6275.3246609999997</v>
      </c>
      <c r="F40" s="774">
        <v>4402.1719706700032</v>
      </c>
      <c r="G40" s="774">
        <v>4028.8168751400003</v>
      </c>
      <c r="H40" s="775">
        <f t="shared" si="18"/>
        <v>64.200931310827045</v>
      </c>
      <c r="I40" s="775">
        <f t="shared" si="14"/>
        <v>-8.4811565294933011</v>
      </c>
      <c r="J40" s="775">
        <f t="shared" si="15"/>
        <v>-0.89749241242326128</v>
      </c>
      <c r="K40" s="57"/>
      <c r="L40" s="57"/>
    </row>
    <row r="41" spans="3:12" ht="15" customHeight="1">
      <c r="C41" s="770" t="str">
        <f>IF(Indice_index!$Z$1=1,"Transferências correntes","Current transfers")</f>
        <v>Transferências correntes</v>
      </c>
      <c r="D41" s="774">
        <f t="shared" ref="D41:E41" si="19">SUM(D42:D45)</f>
        <v>37389.805939689992</v>
      </c>
      <c r="E41" s="774">
        <f t="shared" si="19"/>
        <v>37830.540050999996</v>
      </c>
      <c r="F41" s="774">
        <f>SUM(F42:F45)</f>
        <v>26334.367461720001</v>
      </c>
      <c r="G41" s="774">
        <f t="shared" ref="G41" si="20">SUM(G42:G45)</f>
        <v>27668.426519119999</v>
      </c>
      <c r="H41" s="775">
        <f t="shared" si="18"/>
        <v>73.13780475198007</v>
      </c>
      <c r="I41" s="775">
        <f t="shared" si="14"/>
        <v>5.065848114025159</v>
      </c>
      <c r="J41" s="775">
        <f t="shared" si="15"/>
        <v>3.2068877486227052</v>
      </c>
      <c r="K41" s="57"/>
      <c r="L41" s="57"/>
    </row>
    <row r="42" spans="3:12" ht="15" customHeight="1">
      <c r="C42" s="773" t="str">
        <f>IF(Indice_index!$Z$1=1,"Administração Central","Central Administration")</f>
        <v>Administração Central</v>
      </c>
      <c r="D42" s="774">
        <v>19715.334131929994</v>
      </c>
      <c r="E42" s="774">
        <v>20381.767323000004</v>
      </c>
      <c r="F42" s="774">
        <v>14387.90010613</v>
      </c>
      <c r="G42" s="774">
        <v>15192.273238569996</v>
      </c>
      <c r="H42" s="775">
        <f t="shared" si="18"/>
        <v>74.538547113262979</v>
      </c>
      <c r="I42" s="775">
        <f t="shared" si="14"/>
        <v>5.5906221651990124</v>
      </c>
      <c r="J42" s="775">
        <f t="shared" si="15"/>
        <v>1.9335983136836921</v>
      </c>
      <c r="K42" s="57"/>
      <c r="L42" s="58"/>
    </row>
    <row r="43" spans="3:12" ht="15" customHeight="1">
      <c r="C43" s="773" t="str">
        <f>IF(Indice_index!$Z$1=1,"Outros subsectores das Administrações Públicas","Other General Government subsectors")</f>
        <v>Outros subsectores das Administrações Públicas</v>
      </c>
      <c r="D43" s="774">
        <v>14400.708377000003</v>
      </c>
      <c r="E43" s="774">
        <v>13671.139143</v>
      </c>
      <c r="F43" s="774">
        <v>9766.8732882500008</v>
      </c>
      <c r="G43" s="774">
        <v>9998.6797667200026</v>
      </c>
      <c r="H43" s="775">
        <f t="shared" si="18"/>
        <v>73.137137016410236</v>
      </c>
      <c r="I43" s="775">
        <f t="shared" si="14"/>
        <v>2.3733949609940748</v>
      </c>
      <c r="J43" s="775">
        <f t="shared" si="15"/>
        <v>0.55722972062842568</v>
      </c>
      <c r="K43" s="57"/>
      <c r="L43" s="60"/>
    </row>
    <row r="44" spans="3:12" ht="15" customHeight="1">
      <c r="C44" s="773" t="str">
        <f>IF(Indice_index!$Z$1=1,"União Europeia","European Union")</f>
        <v>União Europeia</v>
      </c>
      <c r="D44" s="774">
        <v>2699.4576824699993</v>
      </c>
      <c r="E44" s="774">
        <v>2664.1027219999996</v>
      </c>
      <c r="F44" s="774">
        <v>1795.63072715</v>
      </c>
      <c r="G44" s="774">
        <v>2028.6259139400001</v>
      </c>
      <c r="H44" s="775">
        <f t="shared" si="18"/>
        <v>76.146685230555477</v>
      </c>
      <c r="I44" s="775">
        <f t="shared" si="14"/>
        <v>12.975673854713261</v>
      </c>
      <c r="J44" s="775">
        <f t="shared" si="15"/>
        <v>0.56008720593010197</v>
      </c>
      <c r="K44" s="57"/>
    </row>
    <row r="45" spans="3:12" ht="15" customHeight="1">
      <c r="C45" s="773" t="str">
        <f>IF(Indice_index!$Z$1=1,"Outras transferências","Other transfers")</f>
        <v>Outras transferências</v>
      </c>
      <c r="D45" s="774">
        <v>574.30574829000034</v>
      </c>
      <c r="E45" s="774">
        <v>1113.5308630000004</v>
      </c>
      <c r="F45" s="774">
        <v>383.96334019000005</v>
      </c>
      <c r="G45" s="774">
        <v>448.84759988999963</v>
      </c>
      <c r="H45" s="775">
        <f t="shared" si="18"/>
        <v>40.308501075645488</v>
      </c>
      <c r="I45" s="775">
        <f t="shared" si="14"/>
        <v>16.898555905856092</v>
      </c>
      <c r="J45" s="775">
        <f t="shared" si="15"/>
        <v>0.1559725083804846</v>
      </c>
      <c r="K45" s="57"/>
    </row>
    <row r="46" spans="3:12" ht="15" customHeight="1">
      <c r="C46" s="770" t="str">
        <f>IF(Indice_index!$Z$1=1,"Subsídios","Subsidies")</f>
        <v>Subsídios</v>
      </c>
      <c r="D46" s="774">
        <v>145.60353275000003</v>
      </c>
      <c r="E46" s="774">
        <v>102.26454699999999</v>
      </c>
      <c r="F46" s="774">
        <v>38.690883529999994</v>
      </c>
      <c r="G46" s="774">
        <v>150.83954320000001</v>
      </c>
      <c r="H46" s="775">
        <f t="shared" si="18"/>
        <v>147.49935107031766</v>
      </c>
      <c r="I46" s="775">
        <f t="shared" si="14"/>
        <v>289.85809947462843</v>
      </c>
      <c r="J46" s="775">
        <f t="shared" si="15"/>
        <v>0.26958938641075852</v>
      </c>
      <c r="K46" s="57"/>
      <c r="L46" s="57"/>
    </row>
    <row r="47" spans="3:12" ht="15" customHeight="1">
      <c r="C47" s="770" t="str">
        <f>IF(Indice_index!$Z$1=1,"Outras despesas correntes","Other current expenditure")</f>
        <v>Outras despesas correntes</v>
      </c>
      <c r="D47" s="774">
        <v>403.26112954999985</v>
      </c>
      <c r="E47" s="774">
        <v>1247.9674359999999</v>
      </c>
      <c r="F47" s="774">
        <v>330.1712748600001</v>
      </c>
      <c r="G47" s="774">
        <v>303.29219999999987</v>
      </c>
      <c r="H47" s="775">
        <f t="shared" si="18"/>
        <v>24.302893749544911</v>
      </c>
      <c r="I47" s="775">
        <f t="shared" si="14"/>
        <v>-8.1409489276126603</v>
      </c>
      <c r="J47" s="775">
        <f>IFERROR((G47-F47)/$F$59*100,"-")</f>
        <v>-6.4613463238158614E-2</v>
      </c>
      <c r="K47" s="57"/>
      <c r="L47" s="57"/>
    </row>
    <row r="48" spans="3:12" ht="15" customHeight="1">
      <c r="C48" s="777" t="str">
        <f>IF(Indice_index!$Z$1=1,"Diferenças de consolidação","Consolidation differences")</f>
        <v>Diferenças de consolidação</v>
      </c>
      <c r="D48" s="774">
        <v>1.8030588800002478</v>
      </c>
      <c r="E48" s="774">
        <v>0</v>
      </c>
      <c r="F48" s="774">
        <v>3.5342479600000085</v>
      </c>
      <c r="G48" s="774">
        <v>0.77951829000002149</v>
      </c>
      <c r="H48" s="775"/>
      <c r="I48" s="775"/>
      <c r="J48" s="775"/>
      <c r="K48" s="57"/>
      <c r="L48" s="57"/>
    </row>
    <row r="49" spans="3:12" s="271" customFormat="1" ht="15" customHeight="1">
      <c r="C49" s="733" t="str">
        <f>IF(Indice_index!$Z$1=1,"Despesa de capital","Capital expenditure")</f>
        <v>Despesa de capital</v>
      </c>
      <c r="D49" s="769">
        <f>+D50+D51+D56+D57</f>
        <v>3234.1108962199992</v>
      </c>
      <c r="E49" s="769">
        <f>+E50+E51+E56+E57</f>
        <v>3262.7407289999996</v>
      </c>
      <c r="F49" s="769">
        <f>+F50+F51+F56+F57</f>
        <v>2270.3683979000007</v>
      </c>
      <c r="G49" s="769">
        <f>+G50+G51+G56+G57</f>
        <v>1799.2792590400002</v>
      </c>
      <c r="H49" s="769">
        <f t="shared" si="18"/>
        <v>55.146253057976288</v>
      </c>
      <c r="I49" s="769">
        <f t="shared" ref="I49:I56" si="21">IF(IFERROR((G49-F49)/F49*100,"")&gt;500,"-",IFERROR((G49-F49)/F49*100,""))</f>
        <v>-20.749458074545917</v>
      </c>
      <c r="J49" s="769">
        <f t="shared" ref="J49:J56" si="22">IFERROR((G49-F49)/$F$59*100,"-")</f>
        <v>-1.1324311165531751</v>
      </c>
      <c r="K49" s="273"/>
    </row>
    <row r="50" spans="3:12" ht="15" customHeight="1">
      <c r="C50" s="770" t="str">
        <f>IF(Indice_index!$Z$1=1,"Investimento","Investment")</f>
        <v>Investimento</v>
      </c>
      <c r="D50" s="774">
        <v>680.48988800999905</v>
      </c>
      <c r="E50" s="774">
        <v>1260.250904</v>
      </c>
      <c r="F50" s="774">
        <v>341.65544617</v>
      </c>
      <c r="G50" s="774">
        <v>467.69692453000005</v>
      </c>
      <c r="H50" s="787">
        <f t="shared" si="18"/>
        <v>37.111413532459572</v>
      </c>
      <c r="I50" s="787">
        <f t="shared" si="21"/>
        <v>36.891400319515078</v>
      </c>
      <c r="J50" s="775">
        <f t="shared" si="22"/>
        <v>0.30298574154486196</v>
      </c>
      <c r="K50" s="57"/>
      <c r="L50" s="57"/>
    </row>
    <row r="51" spans="3:12" ht="15" customHeight="1">
      <c r="C51" s="770" t="str">
        <f>IF(Indice_index!$Z$1=1,"Transferências de capital","Capital transfers")</f>
        <v>Transferências de capital</v>
      </c>
      <c r="D51" s="774">
        <f t="shared" ref="D51:E51" si="23">SUM(D52:D55)</f>
        <v>2519.64963008</v>
      </c>
      <c r="E51" s="774">
        <f t="shared" si="23"/>
        <v>1981.6639210000001</v>
      </c>
      <c r="F51" s="774">
        <f>SUM(F52:F55)</f>
        <v>1901.4849532000003</v>
      </c>
      <c r="G51" s="774">
        <f t="shared" ref="G51" si="24">SUM(G52:G55)</f>
        <v>1322.5770801800002</v>
      </c>
      <c r="H51" s="775">
        <f t="shared" si="18"/>
        <v>66.740735710250647</v>
      </c>
      <c r="I51" s="775">
        <f t="shared" si="21"/>
        <v>-30.445040968941601</v>
      </c>
      <c r="J51" s="775">
        <f t="shared" si="22"/>
        <v>-1.3916119794480921</v>
      </c>
      <c r="K51" s="57"/>
      <c r="L51" s="57"/>
    </row>
    <row r="52" spans="3:12" ht="15" customHeight="1">
      <c r="C52" s="773" t="str">
        <f>IF(Indice_index!$Z$1=1,"Administração Central","Central Administration")</f>
        <v>Administração Central</v>
      </c>
      <c r="D52" s="774">
        <v>1891.6418273099998</v>
      </c>
      <c r="E52" s="774">
        <v>1459.703072</v>
      </c>
      <c r="F52" s="774">
        <v>1436.4855190500002</v>
      </c>
      <c r="G52" s="774">
        <v>926.07666945999995</v>
      </c>
      <c r="H52" s="775">
        <f t="shared" si="18"/>
        <v>63.442811570653454</v>
      </c>
      <c r="I52" s="775">
        <f t="shared" si="21"/>
        <v>-35.531778275603649</v>
      </c>
      <c r="J52" s="775">
        <f t="shared" si="22"/>
        <v>-1.2269500944949572</v>
      </c>
      <c r="K52" s="57"/>
    </row>
    <row r="53" spans="3:12" ht="15" customHeight="1">
      <c r="C53" s="773" t="str">
        <f>IF(Indice_index!$Z$1=1,"Outros subsectores das Administrações Públicas","Other General Government subsectors")</f>
        <v>Outros subsectores das Administrações Públicas</v>
      </c>
      <c r="D53" s="774">
        <v>564.64759928000012</v>
      </c>
      <c r="E53" s="774">
        <v>468.58874500000002</v>
      </c>
      <c r="F53" s="774">
        <v>417.36739315</v>
      </c>
      <c r="G53" s="774">
        <v>356.36117440999999</v>
      </c>
      <c r="H53" s="775">
        <f t="shared" si="18"/>
        <v>76.049879177102298</v>
      </c>
      <c r="I53" s="775">
        <f t="shared" si="21"/>
        <v>-14.616910602327444</v>
      </c>
      <c r="J53" s="775">
        <f t="shared" si="22"/>
        <v>-0.14665025088798833</v>
      </c>
      <c r="K53" s="57"/>
    </row>
    <row r="54" spans="3:12" ht="15" customHeight="1">
      <c r="C54" s="773" t="str">
        <f>IF(Indice_index!$Z$1=1,"União Europeia","European Union")</f>
        <v>União Europeia</v>
      </c>
      <c r="D54" s="774">
        <v>2.1391460000000002</v>
      </c>
      <c r="E54" s="774">
        <v>2.1066099999999999</v>
      </c>
      <c r="F54" s="774">
        <v>2.1391460000000002</v>
      </c>
      <c r="G54" s="774">
        <v>2.1066099999999999</v>
      </c>
      <c r="H54" s="775">
        <f t="shared" si="18"/>
        <v>100</v>
      </c>
      <c r="I54" s="775">
        <f t="shared" si="21"/>
        <v>-1.5209808026193787</v>
      </c>
      <c r="J54" s="775">
        <f t="shared" si="22"/>
        <v>-7.8211904645766243E-5</v>
      </c>
      <c r="K54" s="57"/>
    </row>
    <row r="55" spans="3:12" ht="15" customHeight="1">
      <c r="C55" s="773" t="str">
        <f>IF(Indice_index!$Z$1=1,"Outras transferências","Other transfers")</f>
        <v>Outras transferências</v>
      </c>
      <c r="D55" s="774">
        <v>61.221057490000007</v>
      </c>
      <c r="E55" s="774">
        <v>51.265494000000004</v>
      </c>
      <c r="F55" s="774">
        <v>45.492895000000004</v>
      </c>
      <c r="G55" s="774">
        <v>38.032626309999998</v>
      </c>
      <c r="H55" s="775">
        <f t="shared" si="18"/>
        <v>74.187574023962384</v>
      </c>
      <c r="I55" s="775">
        <f t="shared" si="21"/>
        <v>-16.398755651844109</v>
      </c>
      <c r="J55" s="775">
        <f t="shared" si="22"/>
        <v>-1.7933422160501287E-2</v>
      </c>
      <c r="K55" s="57"/>
    </row>
    <row r="56" spans="3:12" ht="15" customHeight="1">
      <c r="C56" s="770" t="str">
        <f>IF(Indice_index!$Z$1=1,"Outras despesas de capital","Other capital expenditure")</f>
        <v>Outras despesas de capital</v>
      </c>
      <c r="D56" s="774">
        <v>33.971378130000005</v>
      </c>
      <c r="E56" s="774">
        <v>20.825904000000001</v>
      </c>
      <c r="F56" s="774">
        <v>23.196165269999998</v>
      </c>
      <c r="G56" s="774">
        <v>5.4423464099999999</v>
      </c>
      <c r="H56" s="787">
        <f t="shared" si="18"/>
        <v>26.132581855750413</v>
      </c>
      <c r="I56" s="787">
        <f t="shared" si="21"/>
        <v>-76.537732221460416</v>
      </c>
      <c r="J56" s="775">
        <f t="shared" si="22"/>
        <v>-4.2677648997311031E-2</v>
      </c>
      <c r="K56" s="57"/>
    </row>
    <row r="57" spans="3:12" ht="15" customHeight="1">
      <c r="C57" s="777" t="str">
        <f>IF(Indice_index!$Z$1=1,"Diferenças de consolidação","Consolidation differences")</f>
        <v>Diferenças de consolidação</v>
      </c>
      <c r="D57" s="774">
        <v>0</v>
      </c>
      <c r="E57" s="774">
        <v>0</v>
      </c>
      <c r="F57" s="774">
        <v>4.03183326</v>
      </c>
      <c r="G57" s="774">
        <v>3.5629079199999998</v>
      </c>
      <c r="H57" s="775"/>
      <c r="I57" s="775"/>
      <c r="J57" s="775"/>
      <c r="K57" s="57"/>
      <c r="L57" s="57"/>
    </row>
    <row r="58" spans="3:12" ht="4.5" customHeight="1">
      <c r="C58" s="770"/>
      <c r="D58" s="883"/>
      <c r="E58" s="883"/>
      <c r="F58" s="883"/>
      <c r="G58" s="883"/>
      <c r="H58" s="884"/>
      <c r="I58" s="884"/>
      <c r="J58" s="884"/>
      <c r="K58" s="57"/>
    </row>
    <row r="59" spans="3:12" s="271" customFormat="1" ht="15" customHeight="1">
      <c r="C59" s="780" t="str">
        <f>IF(Indice_index!$Z$1=1,"Despesa efetiva","Effective Expenditure")</f>
        <v>Despesa efetiva</v>
      </c>
      <c r="D59" s="885">
        <f>+D34+D49</f>
        <v>59545.45692182998</v>
      </c>
      <c r="E59" s="885">
        <f>+E34+E49</f>
        <v>60577.477117999988</v>
      </c>
      <c r="F59" s="885">
        <f>+F34+F49</f>
        <v>41599.805230879996</v>
      </c>
      <c r="G59" s="885">
        <f>+G34+G49</f>
        <v>42183.545148500001</v>
      </c>
      <c r="H59" s="781">
        <f>IFERROR(IF(G59/E59*100&lt;-500,"-",IF(G59/E59*100&gt;500,"-",G59/E59*100)),"-")</f>
        <v>69.635691605858554</v>
      </c>
      <c r="I59" s="781">
        <f>IFERROR((G59-F59)/F59*100,"-")</f>
        <v>1.4032275256584339</v>
      </c>
      <c r="J59" s="781"/>
      <c r="K59" s="273"/>
      <c r="L59" s="273"/>
    </row>
    <row r="60" spans="3:12" ht="4.5" customHeight="1">
      <c r="C60" s="886"/>
      <c r="D60" s="774"/>
      <c r="E60" s="774"/>
      <c r="F60" s="774"/>
      <c r="G60" s="774"/>
      <c r="H60" s="774"/>
      <c r="I60" s="774"/>
      <c r="J60" s="774"/>
      <c r="K60" s="57"/>
    </row>
    <row r="61" spans="3:12" s="271" customFormat="1" ht="15" customHeight="1">
      <c r="C61" s="780" t="str">
        <f>IF(Indice_index!$Z$1=1,"Saldo global","Overall Balance")</f>
        <v>Saldo global</v>
      </c>
      <c r="D61" s="781">
        <f>+D32-D59</f>
        <v>-9471.3255157399763</v>
      </c>
      <c r="E61" s="781">
        <f>+E32-E59</f>
        <v>-6859.8932199999908</v>
      </c>
      <c r="F61" s="781">
        <f>+F32-F59</f>
        <v>-5794.9928460200026</v>
      </c>
      <c r="G61" s="781">
        <f>+G32-G59</f>
        <v>1030.4949727399871</v>
      </c>
      <c r="H61" s="781"/>
      <c r="I61" s="781"/>
      <c r="J61" s="781"/>
      <c r="K61" s="273"/>
    </row>
    <row r="62" spans="3:12" ht="4.5" customHeight="1">
      <c r="C62" s="887"/>
      <c r="D62" s="887"/>
      <c r="E62" s="887"/>
      <c r="F62" s="774"/>
      <c r="H62" s="774"/>
      <c r="I62" s="774"/>
      <c r="J62" s="774"/>
      <c r="K62" s="57"/>
    </row>
    <row r="63" spans="3:12" ht="15" customHeight="1">
      <c r="C63" s="770" t="str">
        <f>IF(Indice_index!$Z$1=1,"Despesa  primária","Primary Expenditure")</f>
        <v>Despesa  primária</v>
      </c>
      <c r="D63" s="774">
        <f>+D59-D40</f>
        <v>53163.070560759981</v>
      </c>
      <c r="E63" s="774">
        <f>+E59-E40</f>
        <v>54302.152456999989</v>
      </c>
      <c r="F63" s="774">
        <f>+F59-F40</f>
        <v>37197.633260209994</v>
      </c>
      <c r="G63" s="774">
        <f>+G59-G40</f>
        <v>38154.72827336</v>
      </c>
      <c r="H63" s="775">
        <f>IFERROR(IF(G63/E63*100&lt;-500,"-",IF(G63/E63*100&gt;500,"-",G63/E63*100)),"-")</f>
        <v>70.263749311914324</v>
      </c>
      <c r="I63" s="775">
        <f t="shared" ref="I63" si="25">IF(IFERROR((G63-F63)/F63*100,"")&gt;500,"-",IFERROR((G63-F63)/F63*100,""))</f>
        <v>2.5729997563414968</v>
      </c>
      <c r="J63" s="774"/>
      <c r="K63" s="61"/>
    </row>
    <row r="64" spans="3:12" ht="15" customHeight="1">
      <c r="C64" s="888" t="str">
        <f>IF(Indice_index!$Z$1=1,"Saldo corrente","Current balance")</f>
        <v>Saldo corrente</v>
      </c>
      <c r="D64" s="774">
        <f>+D9-D34</f>
        <v>-6321.9823134799735</v>
      </c>
      <c r="E64" s="774">
        <f>+E9-E34</f>
        <v>-4127.2261309999958</v>
      </c>
      <c r="F64" s="774">
        <f>+F9-F34</f>
        <v>-3588.6345451900052</v>
      </c>
      <c r="G64" s="774">
        <f>+G9-G34</f>
        <v>2528.3894464799887</v>
      </c>
      <c r="H64" s="775"/>
      <c r="I64" s="775"/>
      <c r="J64" s="774"/>
      <c r="K64" s="57"/>
    </row>
    <row r="65" spans="3:17" ht="15" customHeight="1">
      <c r="C65" s="889" t="str">
        <f>IF(Indice_index!$Z$1=1,"Saldo de capital","Capital balance")</f>
        <v>Saldo de capital</v>
      </c>
      <c r="D65" s="784">
        <f>+D22-D49</f>
        <v>-3149.3432022599991</v>
      </c>
      <c r="E65" s="784">
        <f>+E22-E49</f>
        <v>-2732.6670889999996</v>
      </c>
      <c r="F65" s="784">
        <f>+F22-F49</f>
        <v>-2206.3583008300006</v>
      </c>
      <c r="G65" s="784">
        <f>+G22-G49</f>
        <v>-1497.8944737400002</v>
      </c>
      <c r="H65" s="775"/>
      <c r="I65" s="775"/>
      <c r="J65" s="784"/>
      <c r="K65" s="57"/>
    </row>
    <row r="66" spans="3:17" ht="15" customHeight="1">
      <c r="C66" s="888" t="str">
        <f>IF(Indice_index!$Z$1=1,"Saldo primário","Primary balance")</f>
        <v>Saldo primário</v>
      </c>
      <c r="D66" s="774">
        <f>+D61+D40</f>
        <v>-3088.9391546699762</v>
      </c>
      <c r="E66" s="774">
        <f>+E61+E40</f>
        <v>-584.56855899999118</v>
      </c>
      <c r="F66" s="774">
        <f>+F61+F40</f>
        <v>-1392.8208753499994</v>
      </c>
      <c r="G66" s="774">
        <f>+G61+G40</f>
        <v>5059.3118478799879</v>
      </c>
      <c r="H66" s="775"/>
      <c r="I66" s="775"/>
      <c r="J66" s="774"/>
      <c r="K66" s="57"/>
    </row>
    <row r="67" spans="3:17" ht="4.5" customHeight="1">
      <c r="C67" s="135"/>
      <c r="D67" s="784"/>
      <c r="E67" s="784"/>
      <c r="F67" s="784"/>
      <c r="G67" s="784"/>
      <c r="H67" s="784"/>
      <c r="I67" s="784"/>
      <c r="J67" s="784"/>
      <c r="K67" s="57"/>
    </row>
    <row r="68" spans="3:17" ht="15" customHeight="1">
      <c r="C68" s="135" t="str">
        <f>IF(Indice_index!$Z$1=1,"Ativos financeiros líquidos de reembolsos","Financial assets net of reimbursements")</f>
        <v>Ativos financeiros líquidos de reembolsos</v>
      </c>
      <c r="D68" s="774">
        <f>4944.98849095-D71-D70</f>
        <v>4301.2560277199991</v>
      </c>
      <c r="E68" s="774">
        <f>11838.23886-E71-E70</f>
        <v>8490.9918880000005</v>
      </c>
      <c r="F68" s="774">
        <f>2748.52873788-F71-F70</f>
        <v>2307.8501970499997</v>
      </c>
      <c r="G68" s="774">
        <f>1452.9582202-G71-G70</f>
        <v>1188.5065657499999</v>
      </c>
      <c r="H68" s="774"/>
      <c r="I68" s="774"/>
      <c r="J68" s="774"/>
      <c r="K68" s="57"/>
      <c r="M68" s="58"/>
      <c r="N68" s="58"/>
    </row>
    <row r="69" spans="3:17" ht="15" customHeight="1">
      <c r="C69" s="783" t="str">
        <f>IF(Indice_index!$Z$1=1,"dos quais Receitas de:","of which revenue from:")</f>
        <v>dos quais Receitas de:</v>
      </c>
      <c r="D69" s="774"/>
      <c r="E69" s="774"/>
      <c r="F69" s="784"/>
      <c r="G69" s="774"/>
      <c r="H69" s="774"/>
      <c r="I69" s="774"/>
      <c r="J69" s="774"/>
      <c r="K69" s="57"/>
      <c r="M69" s="58"/>
      <c r="N69" s="58"/>
    </row>
    <row r="70" spans="3:17" ht="15" customHeight="1">
      <c r="C70" s="785" t="str">
        <f>IF(Indice_index!$Z$1=1,"Alienação de partes de Capital","Disposal of Capital Shares")</f>
        <v>Alienação de partes de Capital</v>
      </c>
      <c r="D70" s="784">
        <f>+'8 - R_Est'!D65</f>
        <v>1.3794E-4</v>
      </c>
      <c r="E70" s="784">
        <f>+'8 - R_Est'!E65</f>
        <v>0</v>
      </c>
      <c r="F70" s="784">
        <f>+'8 - R_Est'!F65</f>
        <v>1.3794E-4</v>
      </c>
      <c r="G70" s="784">
        <f>+'8 - R_Est'!G65</f>
        <v>0</v>
      </c>
      <c r="H70" s="775"/>
      <c r="I70" s="775">
        <f t="shared" ref="I70:I71" si="26">IF(IFERROR((G70-F70)/F70*100,"")&gt;500,"-",IFERROR((G70-F70)/F70*100,""))</f>
        <v>-100</v>
      </c>
      <c r="J70" s="774"/>
      <c r="K70" s="57"/>
      <c r="M70" s="1000"/>
      <c r="N70" s="1000"/>
    </row>
    <row r="71" spans="3:17" ht="15" customHeight="1">
      <c r="C71" s="786" t="str">
        <f>IF(Indice_index!$Z$1=1,"Outros Ativos","Other Assets")</f>
        <v>Outros Ativos</v>
      </c>
      <c r="D71" s="784">
        <f>+'8 - R_Est'!D66</f>
        <v>643.73232529000006</v>
      </c>
      <c r="E71" s="784">
        <f>+'8 - R_Est'!E66</f>
        <v>3347.2469719999999</v>
      </c>
      <c r="F71" s="784">
        <f>+'8 - R_Est'!F66</f>
        <v>440.67840288999997</v>
      </c>
      <c r="G71" s="784">
        <f>+'8 - R_Est'!G66</f>
        <v>264.45165444999998</v>
      </c>
      <c r="H71" s="787"/>
      <c r="I71" s="787">
        <f t="shared" si="26"/>
        <v>-39.989876355249677</v>
      </c>
      <c r="J71" s="784"/>
      <c r="K71" s="57"/>
      <c r="M71" s="58"/>
      <c r="N71" s="58"/>
    </row>
    <row r="72" spans="3:17" ht="15" customHeight="1">
      <c r="C72" s="890" t="str">
        <f>IF(Indice_index!$Z$1=1,"Passivos financeiros líquidos de amortizações","Financial liabilities net of amortizations")</f>
        <v>Passivos financeiros líquidos de amortizações</v>
      </c>
      <c r="D72" s="891">
        <f>+'8 - R_Est'!D67-49865.83276538</f>
        <v>13779.601644429997</v>
      </c>
      <c r="E72" s="891">
        <f>+'8 - R_Est'!E67-83676</f>
        <v>15350.885108000002</v>
      </c>
      <c r="F72" s="891">
        <f>+'8 - R_Est'!F67-41035.698055</f>
        <v>4543.2571417200015</v>
      </c>
      <c r="G72" s="891">
        <f>+'8 - R_Est'!G67-38840.857778</f>
        <v>-626.86463918999652</v>
      </c>
      <c r="H72" s="891"/>
      <c r="I72" s="891"/>
      <c r="J72" s="891"/>
      <c r="K72" s="57"/>
      <c r="M72" s="58"/>
      <c r="N72" s="58"/>
    </row>
    <row r="73" spans="3:17" ht="4.5" customHeight="1">
      <c r="K73" s="57"/>
    </row>
    <row r="74" spans="3:17" ht="15" customHeight="1">
      <c r="C74" s="866" t="str">
        <f>IF(Indice_index!$Z$1=1,"Nota:","Note:")</f>
        <v>Nota:</v>
      </c>
      <c r="K74" s="57"/>
    </row>
    <row r="75" spans="3:17" s="22" customFormat="1" ht="12.75" customHeight="1">
      <c r="C75" s="1685" t="str">
        <f>+'5 - Conta AC + SS'!$C$64</f>
        <v>Os dados de 2021 são mensalmente revistos e atualizados face ao publicado nas Sínteses de Execução Orçamental de 2021.</v>
      </c>
      <c r="D75" s="1685"/>
      <c r="E75" s="1685"/>
      <c r="F75" s="1685"/>
      <c r="G75" s="1685"/>
      <c r="H75" s="1685"/>
      <c r="I75" s="1685"/>
      <c r="J75" s="1685"/>
      <c r="K75" s="62"/>
      <c r="P75" s="24"/>
      <c r="Q75" s="24"/>
    </row>
    <row r="76" spans="3:17" s="22" customFormat="1" ht="26.25" customHeight="1">
      <c r="C76" s="1674" t="str">
        <f>IF(Indice_index!$Z$1=1,C86,C87)</f>
        <v>Por motivos de ordem técnica, a execução orçamental da Força Aérea, relativa a setembro de 2022, não foi apropriada integralmente pelos sistemas orçamentais centrais, tendo a entidade enviado, posteriormente, a devida informação.</v>
      </c>
      <c r="D76" s="1674"/>
      <c r="E76" s="1674"/>
      <c r="F76" s="1674"/>
      <c r="G76" s="1674"/>
      <c r="H76" s="1674"/>
      <c r="I76" s="1674"/>
      <c r="J76" s="1674"/>
      <c r="K76" s="62"/>
      <c r="P76" s="24"/>
      <c r="Q76" s="24"/>
    </row>
    <row r="77" spans="3:17" ht="15" customHeight="1">
      <c r="C77" s="135" t="str">
        <f>IF(Indice_index!$Z$1=1,"Fonte: Direção-Geral do Orçamento","Source: Budget General Directorate")</f>
        <v>Fonte: Direção-Geral do Orçamento</v>
      </c>
      <c r="D77" s="135"/>
      <c r="E77" s="135"/>
      <c r="F77" s="892"/>
    </row>
    <row r="78" spans="3:17">
      <c r="F78" s="892"/>
      <c r="G78" s="58"/>
    </row>
    <row r="79" spans="3:17" s="378" customFormat="1" ht="11.25" customHeight="1">
      <c r="C79" s="513"/>
      <c r="D79" s="513"/>
      <c r="E79" s="513"/>
      <c r="F79" s="374"/>
      <c r="G79" s="374"/>
    </row>
    <row r="80" spans="3:17" s="101" customFormat="1">
      <c r="C80" s="105"/>
      <c r="D80" s="105"/>
      <c r="E80" s="105"/>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356"/>
      <c r="D85" s="105"/>
      <c r="E85" s="105"/>
      <c r="G85" s="374"/>
    </row>
    <row r="86" spans="2:7" s="101" customFormat="1">
      <c r="C86" s="356" t="s">
        <v>599</v>
      </c>
      <c r="D86" s="105"/>
      <c r="E86" s="105"/>
      <c r="G86" s="374"/>
    </row>
    <row r="87" spans="2:7" s="101" customFormat="1">
      <c r="C87" s="356" t="s">
        <v>600</v>
      </c>
      <c r="D87" s="105"/>
      <c r="E87" s="105"/>
      <c r="F87" s="374"/>
      <c r="G87" s="374"/>
    </row>
    <row r="88" spans="2:7" s="101" customFormat="1">
      <c r="C88" s="356"/>
      <c r="D88" s="105"/>
      <c r="E88" s="105"/>
      <c r="G88" s="374"/>
    </row>
    <row r="89" spans="2:7" s="101" customFormat="1">
      <c r="C89" s="105"/>
      <c r="D89" s="105"/>
      <c r="E89" s="105"/>
      <c r="G89" s="374"/>
    </row>
    <row r="90" spans="2:7" s="101" customFormat="1">
      <c r="C90" s="105"/>
      <c r="D90" s="105"/>
      <c r="E90" s="105"/>
      <c r="G90" s="374"/>
    </row>
    <row r="91" spans="2:7" s="101" customFormat="1">
      <c r="C91" s="105"/>
      <c r="D91" s="105"/>
      <c r="E91" s="105"/>
      <c r="G91" s="374"/>
    </row>
    <row r="92" spans="2:7" s="101" customFormat="1">
      <c r="C92" s="105"/>
      <c r="D92" s="105"/>
      <c r="E92" s="105"/>
      <c r="G92" s="374"/>
    </row>
    <row r="93" spans="2:7" s="101" customFormat="1">
      <c r="C93" s="105"/>
      <c r="D93" s="105"/>
      <c r="E93" s="105"/>
      <c r="G93" s="374"/>
    </row>
    <row r="94" spans="2:7" s="105" customFormat="1">
      <c r="B94" s="101"/>
      <c r="F94" s="101"/>
      <c r="G94" s="374"/>
    </row>
    <row r="95" spans="2:7" s="105" customFormat="1">
      <c r="B95" s="101"/>
      <c r="C95" s="461"/>
      <c r="F95" s="101"/>
      <c r="G95" s="374"/>
    </row>
    <row r="96" spans="2:7" s="101" customFormat="1">
      <c r="C96" s="105"/>
      <c r="D96" s="105"/>
      <c r="E96" s="105"/>
      <c r="G96" s="374"/>
    </row>
    <row r="97" spans="7:7">
      <c r="G97" s="58"/>
    </row>
    <row r="98" spans="7:7">
      <c r="G98" s="58"/>
    </row>
    <row r="99" spans="7:7">
      <c r="G99" s="58"/>
    </row>
    <row r="100" spans="7:7">
      <c r="G100" s="58"/>
    </row>
    <row r="101" spans="7:7">
      <c r="G101" s="58"/>
    </row>
    <row r="102" spans="7:7">
      <c r="G102" s="58"/>
    </row>
    <row r="103" spans="7:7">
      <c r="G103" s="58"/>
    </row>
    <row r="104" spans="7:7">
      <c r="G104" s="58"/>
    </row>
  </sheetData>
  <mergeCells count="4">
    <mergeCell ref="F6:G6"/>
    <mergeCell ref="I6:J6"/>
    <mergeCell ref="C75:J75"/>
    <mergeCell ref="C76:J7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3" customWidth="1"/>
    <col min="2" max="2" width="4.453125" style="63" customWidth="1"/>
    <col min="3" max="3" width="43.453125" style="63" customWidth="1"/>
    <col min="4" max="10" width="9.453125" style="63" customWidth="1"/>
    <col min="11" max="11" width="8.54296875" style="63" customWidth="1"/>
    <col min="12" max="12" width="13.81640625" style="63" customWidth="1"/>
    <col min="13" max="16384" width="9.1796875" style="63"/>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733" t="str">
        <f>+'5 - Conta AC + SS'!C5</f>
        <v>Período: janeiro a setembro</v>
      </c>
      <c r="D5" s="733"/>
      <c r="E5" s="733"/>
      <c r="F5" s="734"/>
      <c r="G5" s="271"/>
      <c r="H5" s="271"/>
      <c r="I5" s="271"/>
      <c r="J5" s="735" t="str">
        <f>IF(Indice_index!$Z$1=1,"€ Milhões","€ Millions")</f>
        <v>€ Milhões</v>
      </c>
      <c r="K5" s="272"/>
    </row>
    <row r="6" spans="2:16" ht="33" customHeight="1">
      <c r="C6" s="736"/>
      <c r="D6" s="737" t="str">
        <f>IF(Indice_index!$Z$1=1,"CGE","Final execution")</f>
        <v>CGE</v>
      </c>
      <c r="E6" s="737" t="str">
        <f>IF(Indice_index!$Z$1=1,"Orçamento Inicial","Budget")</f>
        <v>Orçamento Inicial</v>
      </c>
      <c r="F6" s="1691" t="str">
        <f>IF(Indice_index!$Z$1=1,"Execução Acumulada","Accumulated Execution")</f>
        <v>Execução Acumulada</v>
      </c>
      <c r="G6" s="1692" t="str">
        <f>IF(Indice_index!$Z$1=1,"Execução","Execution")</f>
        <v>Execução</v>
      </c>
      <c r="H6" s="737" t="str">
        <f>IF(Indice_index!$Z$1=1,"Grau de Execução (%)","Execution Degree (%)")</f>
        <v>Grau de Execução (%)</v>
      </c>
      <c r="I6" s="1687" t="str">
        <f>IF(Indice_index!$Z$1=1,"Variação Homóloga Acumulada","YOY Change Rate")</f>
        <v>Variação Homóloga Acumulada</v>
      </c>
      <c r="J6" s="1688"/>
      <c r="K6" s="55"/>
    </row>
    <row r="7" spans="2:16" ht="31.5" customHeight="1">
      <c r="C7" s="738"/>
      <c r="D7" s="739" t="s">
        <v>67</v>
      </c>
      <c r="E7" s="739" t="s">
        <v>74</v>
      </c>
      <c r="F7" s="740" t="s">
        <v>67</v>
      </c>
      <c r="G7" s="740" t="s">
        <v>74</v>
      </c>
      <c r="H7" s="741" t="s">
        <v>74</v>
      </c>
      <c r="I7" s="742" t="str">
        <f>IF(Indice_index!$Z$1=1,"Relativa (%)","Relative change (%)")</f>
        <v>Relativa (%)</v>
      </c>
      <c r="J7" s="743" t="str">
        <f>IF(Indice_index!$Z$1=1,"Contributo VHA  (p.p.)","YOY Change Rate Contrib. (p.p.)")</f>
        <v>Contributo VHA  (p.p.)</v>
      </c>
      <c r="K7" s="55"/>
    </row>
    <row r="8" spans="2:16" ht="4.5" customHeight="1">
      <c r="C8" s="66"/>
      <c r="D8" s="66"/>
      <c r="E8" s="66"/>
      <c r="F8" s="744"/>
      <c r="G8" s="744"/>
      <c r="H8" s="744"/>
      <c r="I8" s="744"/>
      <c r="J8" s="66"/>
      <c r="K8" s="66"/>
    </row>
    <row r="9" spans="2:16" s="277" customFormat="1" ht="15" customHeight="1">
      <c r="C9" s="745" t="str">
        <f>IF(Indice_index!$Z$1=1,"Receita fiscal","Tax revenue")</f>
        <v>Receita fiscal</v>
      </c>
      <c r="D9" s="278">
        <f>SUM(D10,D14)</f>
        <v>45591.223834090008</v>
      </c>
      <c r="E9" s="278">
        <f>SUM(E10,E14)</f>
        <v>48591.105513000002</v>
      </c>
      <c r="F9" s="278">
        <f>SUM(F10,F14)</f>
        <v>32762.172000079998</v>
      </c>
      <c r="G9" s="278">
        <f>SUM(G10,G14)</f>
        <v>39607.999809689994</v>
      </c>
      <c r="H9" s="278">
        <f>IFERROR(IF(G9/E9*100&lt;-500,"-",IF(G9/E9*100&gt;500,"-",G9/E9*100)),"-")</f>
        <v>81.512860000876742</v>
      </c>
      <c r="I9" s="278">
        <f t="shared" ref="I9:I22" si="0">IF(IFERROR((G9-F9)/F9*100,"")&gt;500,"-",IFERROR((G9-F9)/F9*100,""))</f>
        <v>20.895524904738551</v>
      </c>
      <c r="J9" s="278">
        <f t="shared" ref="J9:J22" si="1">IFERROR((G9-F9)/$F$62*100,"-")</f>
        <v>19.119853878929259</v>
      </c>
      <c r="K9" s="278"/>
      <c r="L9" s="279"/>
      <c r="M9" s="273"/>
      <c r="N9" s="273"/>
      <c r="O9" s="273"/>
      <c r="P9" s="273"/>
    </row>
    <row r="10" spans="2:16" ht="15" customHeight="1">
      <c r="C10" s="746" t="str">
        <f>IF(Indice_index!$Z$1=1,"Impostos Diretos","Direct taxes")</f>
        <v>Impostos Diretos</v>
      </c>
      <c r="D10" s="71">
        <f t="shared" ref="D10:G10" si="2">SUM(D11:D13)</f>
        <v>19956.94299525</v>
      </c>
      <c r="E10" s="71">
        <f t="shared" si="2"/>
        <v>20904.899710000002</v>
      </c>
      <c r="F10" s="71">
        <f t="shared" si="2"/>
        <v>14034.060857459999</v>
      </c>
      <c r="G10" s="71">
        <f t="shared" si="2"/>
        <v>18284.830825969999</v>
      </c>
      <c r="H10" s="71">
        <f t="shared" ref="H10:H60" si="3">IFERROR(IF(G10/E10*100&lt;-500,"-",IF(G10/E10*100&gt;500,"-",G10/E10*100)),"-")</f>
        <v>87.466723493647407</v>
      </c>
      <c r="I10" s="747">
        <f t="shared" si="0"/>
        <v>30.288952083676079</v>
      </c>
      <c r="J10" s="68">
        <f t="shared" si="1"/>
        <v>11.872063237810544</v>
      </c>
      <c r="K10" s="68"/>
      <c r="L10" s="69"/>
      <c r="M10" s="65"/>
      <c r="N10" s="65"/>
      <c r="O10" s="65"/>
      <c r="P10" s="65"/>
    </row>
    <row r="11" spans="2:16" ht="15" customHeight="1">
      <c r="C11" s="748" t="str">
        <f>IF(Indice_index!$Z$1=1,"Imposto sobre o Rendimento Pessoas Singulares (IRS)","Personal income tax (IRS)")</f>
        <v>Imposto sobre o Rendimento Pessoas Singulares (IRS)</v>
      </c>
      <c r="D11" s="71">
        <v>14534.07338527</v>
      </c>
      <c r="E11" s="71">
        <v>15202.600006000001</v>
      </c>
      <c r="F11" s="71">
        <v>10274.60362665</v>
      </c>
      <c r="G11" s="71">
        <v>11688.093821459999</v>
      </c>
      <c r="H11" s="71">
        <f>IFERROR(IF(G11/E11*100&lt;-500,"-",IF(G11/E11*100&gt;500,"-",G11/E11*100)),"-")</f>
        <v>76.882203155033125</v>
      </c>
      <c r="I11" s="747">
        <f t="shared" si="0"/>
        <v>13.757126271457572</v>
      </c>
      <c r="J11" s="68">
        <f t="shared" si="1"/>
        <v>3.9477659584321452</v>
      </c>
      <c r="K11" s="68"/>
      <c r="L11" s="69"/>
      <c r="M11" s="65"/>
      <c r="N11" s="65"/>
      <c r="O11" s="65"/>
      <c r="P11" s="65"/>
    </row>
    <row r="12" spans="2:16" ht="15" customHeight="1">
      <c r="C12" s="748" t="str">
        <f>IF(Indice_index!$Z$1=1,"Imposto sobre o Rendimento Pessoas Coletivas (IRC)","Corporate income tax (IRC)")</f>
        <v>Imposto sobre o Rendimento Pessoas Coletivas (IRC)</v>
      </c>
      <c r="D12" s="71">
        <v>4933.5586337100003</v>
      </c>
      <c r="E12" s="71">
        <v>5211.299704</v>
      </c>
      <c r="F12" s="71">
        <v>3438.80261746</v>
      </c>
      <c r="G12" s="71">
        <v>6225.3670233900002</v>
      </c>
      <c r="H12" s="71">
        <f t="shared" si="3"/>
        <v>119.45900978620823</v>
      </c>
      <c r="I12" s="747">
        <f t="shared" si="0"/>
        <v>81.032984905316781</v>
      </c>
      <c r="J12" s="68">
        <f t="shared" si="1"/>
        <v>7.7826532812899041</v>
      </c>
      <c r="K12" s="68"/>
      <c r="L12" s="65"/>
      <c r="M12" s="65"/>
      <c r="N12" s="65"/>
      <c r="O12" s="65"/>
      <c r="P12" s="65"/>
    </row>
    <row r="13" spans="2:16" ht="15" customHeight="1">
      <c r="C13" s="748" t="str">
        <f>IF(Indice_index!$Z$1=1,"Outros","Others")</f>
        <v>Outros</v>
      </c>
      <c r="D13" s="71">
        <v>489.31097627000003</v>
      </c>
      <c r="E13" s="71">
        <v>491</v>
      </c>
      <c r="F13" s="71">
        <v>320.65461334999998</v>
      </c>
      <c r="G13" s="71">
        <v>371.36998111999998</v>
      </c>
      <c r="H13" s="71">
        <f t="shared" si="3"/>
        <v>75.635434036659873</v>
      </c>
      <c r="I13" s="747">
        <f t="shared" si="0"/>
        <v>15.816197758752754</v>
      </c>
      <c r="J13" s="68">
        <f t="shared" si="1"/>
        <v>0.14164399808849415</v>
      </c>
      <c r="K13" s="68"/>
      <c r="L13" s="65"/>
      <c r="M13" s="65"/>
      <c r="N13" s="65"/>
      <c r="O13" s="65"/>
      <c r="P13" s="65"/>
    </row>
    <row r="14" spans="2:16" ht="15" customHeight="1">
      <c r="C14" s="746" t="str">
        <f>IF(Indice_index!$Z$1=1,"Impostos Indiretos","Indirect taxes")</f>
        <v>Impostos Indiretos</v>
      </c>
      <c r="D14" s="71">
        <f t="shared" ref="D14:E14" si="4">SUM(D15:D22)</f>
        <v>25634.280838840004</v>
      </c>
      <c r="E14" s="71">
        <f t="shared" si="4"/>
        <v>27686.205802999997</v>
      </c>
      <c r="F14" s="71">
        <f t="shared" ref="F14:G14" si="5">SUM(F15:F22)</f>
        <v>18728.11114262</v>
      </c>
      <c r="G14" s="71">
        <f t="shared" si="5"/>
        <v>21323.168983719996</v>
      </c>
      <c r="H14" s="71">
        <f t="shared" si="3"/>
        <v>77.017302896048975</v>
      </c>
      <c r="I14" s="747">
        <f t="shared" si="0"/>
        <v>13.856484625373467</v>
      </c>
      <c r="J14" s="68">
        <f t="shared" si="1"/>
        <v>7.2477906411187094</v>
      </c>
      <c r="K14" s="68"/>
      <c r="L14" s="65"/>
      <c r="M14" s="65"/>
      <c r="N14" s="65"/>
      <c r="O14" s="65"/>
      <c r="P14" s="65"/>
    </row>
    <row r="15" spans="2:16" ht="15" customHeight="1">
      <c r="C15" s="748" t="str">
        <f>IF(Indice_index!$Z$1=1,"Imposto sobre os produtos petrolíferos e energéticos (ISP)","Tax on oil and energy products (ISP)")</f>
        <v>Imposto sobre os produtos petrolíferos e energéticos (ISP)</v>
      </c>
      <c r="D15" s="749">
        <v>3364.0679735099998</v>
      </c>
      <c r="E15" s="749">
        <v>3309.6347569999998</v>
      </c>
      <c r="F15" s="71">
        <v>2476.1844674899999</v>
      </c>
      <c r="G15" s="71">
        <v>2219.5836041100001</v>
      </c>
      <c r="H15" s="71">
        <f t="shared" si="3"/>
        <v>67.064306700777138</v>
      </c>
      <c r="I15" s="747">
        <f t="shared" si="0"/>
        <v>-10.362752321118663</v>
      </c>
      <c r="J15" s="68">
        <f t="shared" si="1"/>
        <v>-0.71666585100862867</v>
      </c>
      <c r="K15" s="68"/>
      <c r="L15" s="65"/>
      <c r="M15" s="65"/>
      <c r="N15" s="65"/>
      <c r="O15" s="65"/>
      <c r="P15" s="65"/>
    </row>
    <row r="16" spans="2:16" ht="15" customHeight="1">
      <c r="C16" s="748" t="str">
        <f>IF(Indice_index!$Z$1=1,"Imposto sobre o Valor Acrescentado (IVA)","Value-added tax (IVA)")</f>
        <v>Imposto sobre o Valor Acrescentado (IVA)</v>
      </c>
      <c r="D16" s="749">
        <v>17728.253620750002</v>
      </c>
      <c r="E16" s="749">
        <v>19546.306274999999</v>
      </c>
      <c r="F16" s="71">
        <v>12812.129925220001</v>
      </c>
      <c r="G16" s="71">
        <v>15462.3854584</v>
      </c>
      <c r="H16" s="71">
        <f t="shared" si="3"/>
        <v>79.106431879544473</v>
      </c>
      <c r="I16" s="747">
        <f t="shared" si="0"/>
        <v>20.685518712724818</v>
      </c>
      <c r="J16" s="68">
        <f t="shared" si="1"/>
        <v>7.4019534153477533</v>
      </c>
      <c r="K16" s="68"/>
      <c r="L16" s="65"/>
      <c r="M16" s="65"/>
      <c r="N16" s="65"/>
      <c r="O16" s="65"/>
      <c r="P16" s="65"/>
    </row>
    <row r="17" spans="3:16" ht="15" customHeight="1">
      <c r="C17" s="748" t="str">
        <f>IF(Indice_index!$Z$1=1,"Imposto sobre Veículos (ISV)","Tax on vehicles (ISV)")</f>
        <v>Imposto sobre Veículos (ISV)</v>
      </c>
      <c r="D17" s="749">
        <v>421.86715766999998</v>
      </c>
      <c r="E17" s="749">
        <v>482.11346900000001</v>
      </c>
      <c r="F17" s="71">
        <v>323.21860318</v>
      </c>
      <c r="G17" s="71">
        <v>333.47317627000001</v>
      </c>
      <c r="H17" s="71">
        <f t="shared" si="3"/>
        <v>69.169023002342215</v>
      </c>
      <c r="I17" s="747">
        <f t="shared" si="0"/>
        <v>3.1726432170394752</v>
      </c>
      <c r="J17" s="68">
        <f t="shared" si="1"/>
        <v>2.8640208974635314E-2</v>
      </c>
      <c r="K17" s="68"/>
      <c r="L17" s="65"/>
      <c r="M17" s="65"/>
      <c r="N17" s="65"/>
      <c r="O17" s="65"/>
      <c r="P17" s="65"/>
    </row>
    <row r="18" spans="3:16" ht="15" customHeight="1">
      <c r="C18" s="748" t="str">
        <f>IF(Indice_index!$Z$1=1,"Imposto de consumo sobre o tabaco","Tax on tobacco")</f>
        <v>Imposto de consumo sobre o tabaco</v>
      </c>
      <c r="D18" s="749">
        <v>1413.60926199</v>
      </c>
      <c r="E18" s="749">
        <v>1433.6002309999999</v>
      </c>
      <c r="F18" s="71">
        <v>1108.9793261699999</v>
      </c>
      <c r="G18" s="71">
        <v>1106.4964533499999</v>
      </c>
      <c r="H18" s="71">
        <f t="shared" si="3"/>
        <v>77.183054900749383</v>
      </c>
      <c r="I18" s="747">
        <f t="shared" si="0"/>
        <v>-0.22388810696543157</v>
      </c>
      <c r="J18" s="68">
        <f t="shared" si="1"/>
        <v>-6.9344667786889174E-3</v>
      </c>
      <c r="K18" s="68"/>
      <c r="L18" s="65"/>
      <c r="M18" s="65"/>
      <c r="N18" s="65"/>
      <c r="O18" s="65"/>
      <c r="P18" s="65"/>
    </row>
    <row r="19" spans="3:16" ht="15" customHeight="1">
      <c r="C19" s="748" t="str">
        <f>IF(Indice_index!$Z$1=1,"Imposto sobre álcool e bebidas alcoólicas (IABA)","Tax on alcoholic beverages (IABA)")</f>
        <v>Imposto sobre álcool e bebidas alcoólicas (IABA)</v>
      </c>
      <c r="D19" s="749">
        <v>256.87236737000001</v>
      </c>
      <c r="E19" s="749">
        <v>286.79578700000002</v>
      </c>
      <c r="F19" s="71">
        <v>181.91214493000001</v>
      </c>
      <c r="G19" s="71">
        <v>232.21087707000001</v>
      </c>
      <c r="H19" s="71">
        <f t="shared" si="3"/>
        <v>80.967325043027913</v>
      </c>
      <c r="I19" s="747">
        <f t="shared" si="0"/>
        <v>27.650013229933059</v>
      </c>
      <c r="J19" s="68">
        <f t="shared" si="1"/>
        <v>0.14048036783253398</v>
      </c>
      <c r="K19" s="68"/>
      <c r="L19" s="65"/>
      <c r="M19" s="65"/>
      <c r="N19" s="65"/>
      <c r="O19" s="65"/>
      <c r="P19" s="65"/>
    </row>
    <row r="20" spans="3:16" ht="15" customHeight="1">
      <c r="C20" s="748" t="str">
        <f>IF(Indice_index!$Z$1=1,"Imposto do selo","Stamp tax")</f>
        <v>Imposto do selo</v>
      </c>
      <c r="D20" s="749">
        <v>1778.41239243</v>
      </c>
      <c r="E20" s="749">
        <v>1938.1549379999999</v>
      </c>
      <c r="F20" s="71">
        <v>1331.4725797900001</v>
      </c>
      <c r="G20" s="71">
        <v>1427.3494890300001</v>
      </c>
      <c r="H20" s="71">
        <f t="shared" si="3"/>
        <v>73.644756724294453</v>
      </c>
      <c r="I20" s="747">
        <f t="shared" si="0"/>
        <v>7.2008174028729703</v>
      </c>
      <c r="J20" s="68">
        <f t="shared" si="1"/>
        <v>0.26777659999844439</v>
      </c>
      <c r="K20" s="68"/>
      <c r="L20" s="65"/>
      <c r="M20" s="65"/>
      <c r="N20" s="65"/>
      <c r="O20" s="65"/>
      <c r="P20" s="65"/>
    </row>
    <row r="21" spans="3:16" ht="15" customHeight="1">
      <c r="C21" s="748" t="str">
        <f>IF(Indice_index!$Z$1=1,"Imposto Único de Circulação (IUC)","Tax on vehicle circulation (IUC)")</f>
        <v>Imposto Único de Circulação (IUC)</v>
      </c>
      <c r="D21" s="749">
        <v>401.18201901999998</v>
      </c>
      <c r="E21" s="749">
        <v>408.600346</v>
      </c>
      <c r="F21" s="71">
        <v>294.45824263999998</v>
      </c>
      <c r="G21" s="71">
        <v>331.73799200000002</v>
      </c>
      <c r="H21" s="71">
        <f t="shared" si="3"/>
        <v>81.188867128369978</v>
      </c>
      <c r="I21" s="747">
        <f t="shared" si="0"/>
        <v>12.660453660853255</v>
      </c>
      <c r="J21" s="68">
        <f t="shared" si="1"/>
        <v>0.1041193819402995</v>
      </c>
      <c r="K21" s="68"/>
      <c r="L21" s="65"/>
      <c r="M21" s="65"/>
      <c r="N21" s="65"/>
      <c r="O21" s="65"/>
      <c r="P21" s="65"/>
    </row>
    <row r="22" spans="3:16" ht="15" customHeight="1">
      <c r="C22" s="748" t="str">
        <f>IF(Indice_index!$Z$1=1,"Outros","Others")</f>
        <v>Outros</v>
      </c>
      <c r="D22" s="749">
        <v>270.0160461000001</v>
      </c>
      <c r="E22" s="749">
        <f>221.898526-E20-E21+2405.856758</f>
        <v>281</v>
      </c>
      <c r="F22" s="71">
        <v>199.75585320000008</v>
      </c>
      <c r="G22" s="71">
        <v>209.93193348999989</v>
      </c>
      <c r="H22" s="71">
        <f t="shared" si="3"/>
        <v>74.708873128113837</v>
      </c>
      <c r="I22" s="747">
        <f t="shared" si="0"/>
        <v>5.0942588800195487</v>
      </c>
      <c r="J22" s="68">
        <f t="shared" si="1"/>
        <v>2.8420984812373307E-2</v>
      </c>
      <c r="K22" s="68"/>
      <c r="L22" s="65"/>
      <c r="M22" s="65"/>
      <c r="N22" s="65"/>
      <c r="O22" s="65"/>
      <c r="P22" s="65"/>
    </row>
    <row r="23" spans="3:16" ht="4.5" customHeight="1">
      <c r="C23" s="748"/>
      <c r="D23" s="71"/>
      <c r="E23" s="71"/>
      <c r="F23" s="71"/>
      <c r="G23" s="71"/>
      <c r="H23" s="71"/>
      <c r="I23" s="750"/>
      <c r="J23" s="68"/>
      <c r="K23" s="68"/>
      <c r="L23" s="65"/>
      <c r="M23" s="65"/>
      <c r="N23" s="65"/>
      <c r="O23" s="65"/>
      <c r="P23" s="65"/>
    </row>
    <row r="24" spans="3:16" s="277" customFormat="1" ht="15" customHeight="1">
      <c r="C24" s="745" t="str">
        <f>IF(Indice_index!$Z$1=1,"Contribuições para Segurança Social, CGA e ADSE","Social security, CGA and ADSE contributions")</f>
        <v>Contribuições para Segurança Social, CGA e ADSE</v>
      </c>
      <c r="D24" s="278">
        <f>SUM(D25:D26)</f>
        <v>66.578526589999996</v>
      </c>
      <c r="E24" s="278">
        <f>SUM(E25:E26)</f>
        <v>75.073003999999997</v>
      </c>
      <c r="F24" s="278">
        <f>SUM(F25:F26)</f>
        <v>48.43034514</v>
      </c>
      <c r="G24" s="278">
        <f>SUM(G25:G26)</f>
        <v>50.946623719999998</v>
      </c>
      <c r="H24" s="278">
        <f t="shared" si="3"/>
        <v>67.862774906409769</v>
      </c>
      <c r="I24" s="278">
        <f>IF(IFERROR((G24-F24)/F24*100,"")&gt;500,"-",IFERROR((G24-F24)/F24*100,""))</f>
        <v>5.1956651820796793</v>
      </c>
      <c r="J24" s="278">
        <f>IFERROR((G24-F24)/$F$62*100,"-")</f>
        <v>7.0277664157346693E-3</v>
      </c>
      <c r="K24" s="278"/>
      <c r="L24" s="273"/>
      <c r="M24" s="273"/>
      <c r="N24" s="273"/>
      <c r="O24" s="273"/>
      <c r="P24" s="273"/>
    </row>
    <row r="25" spans="3:16" ht="15" customHeight="1">
      <c r="C25" s="748" t="str">
        <f>IF(Indice_index!$Z$1=1,"Comparticipações para a ADSE","ADSE co-payments")</f>
        <v>Comparticipações para a ADSE</v>
      </c>
      <c r="D25" s="71">
        <v>0</v>
      </c>
      <c r="E25" s="71">
        <v>0</v>
      </c>
      <c r="F25" s="71">
        <v>0</v>
      </c>
      <c r="G25" s="71">
        <v>0</v>
      </c>
      <c r="H25" s="751" t="str">
        <f t="shared" si="3"/>
        <v>-</v>
      </c>
      <c r="I25" s="750" t="str">
        <f>IF(IFERROR((G25-F25)/F25*100,"")&gt;500,"-",IFERROR((G25-F25)/F25*100,""))</f>
        <v>-</v>
      </c>
      <c r="J25" s="68">
        <f>IFERROR((G25-F25)/$F$62*100,"-")</f>
        <v>0</v>
      </c>
      <c r="K25" s="68"/>
      <c r="L25" s="65"/>
      <c r="M25" s="65"/>
      <c r="N25" s="65"/>
      <c r="O25" s="65"/>
      <c r="P25" s="65"/>
    </row>
    <row r="26" spans="3:16" ht="15" customHeight="1">
      <c r="C26" s="748" t="str">
        <f>IF(Indice_index!$Z$1=1,"Outros","Others")</f>
        <v>Outros</v>
      </c>
      <c r="D26" s="71">
        <v>66.578526589999996</v>
      </c>
      <c r="E26" s="71">
        <v>75.073003999999997</v>
      </c>
      <c r="F26" s="71">
        <v>48.43034514</v>
      </c>
      <c r="G26" s="71">
        <v>50.946623719999998</v>
      </c>
      <c r="H26" s="71">
        <f t="shared" si="3"/>
        <v>67.862774906409769</v>
      </c>
      <c r="I26" s="750">
        <f>IF(IFERROR((G26-F26)/F26*100,"")&gt;500,"-",IFERROR((G26-F26)/F26*100,""))</f>
        <v>5.1956651820796793</v>
      </c>
      <c r="J26" s="68">
        <f>IFERROR((G26-F26)/$F$62*100,"-")</f>
        <v>7.0277664157346693E-3</v>
      </c>
      <c r="K26" s="68"/>
      <c r="M26" s="65"/>
      <c r="N26" s="65"/>
      <c r="O26" s="65"/>
      <c r="P26" s="65"/>
    </row>
    <row r="27" spans="3:16" ht="4.5" customHeight="1">
      <c r="C27" s="752"/>
      <c r="D27" s="753"/>
      <c r="E27" s="753"/>
      <c r="F27" s="753"/>
      <c r="G27" s="753"/>
      <c r="H27" s="753"/>
      <c r="I27" s="747"/>
      <c r="J27" s="70"/>
      <c r="K27" s="70"/>
      <c r="M27" s="65"/>
      <c r="N27" s="65"/>
      <c r="O27" s="65"/>
      <c r="P27" s="65"/>
    </row>
    <row r="28" spans="3:16" s="277" customFormat="1" ht="15" customHeight="1">
      <c r="C28" s="745" t="str">
        <f>IF(Indice_index!$Z$1=1,"Receita não fiscal","Non-tax revenue")</f>
        <v>Receita não fiscal</v>
      </c>
      <c r="D28" s="278">
        <f>+D29+D52</f>
        <v>4416.3290454100006</v>
      </c>
      <c r="E28" s="278">
        <f>+E29+E52</f>
        <v>5051.4053809999996</v>
      </c>
      <c r="F28" s="278">
        <f>+F29+F52</f>
        <v>2994.2100396400006</v>
      </c>
      <c r="G28" s="278">
        <f>+G29+G52</f>
        <v>3555.0936878299999</v>
      </c>
      <c r="H28" s="278">
        <f t="shared" si="3"/>
        <v>70.378308998954608</v>
      </c>
      <c r="I28" s="278">
        <f t="shared" ref="I28:I50" si="6">IF(IFERROR((G28-F28)/F28*100,"")&gt;500,"-",IFERROR((G28-F28)/F28*100,""))</f>
        <v>18.732274648889877</v>
      </c>
      <c r="J28" s="278">
        <f t="shared" ref="J28:J50" si="7">IFERROR((G28-F28)/$F$62*100,"-")</f>
        <v>1.5665035251718511</v>
      </c>
      <c r="K28" s="278"/>
      <c r="L28" s="279"/>
      <c r="M28" s="273"/>
      <c r="N28" s="273"/>
      <c r="O28" s="273"/>
      <c r="P28" s="273"/>
    </row>
    <row r="29" spans="3:16" ht="15" customHeight="1">
      <c r="C29" s="746" t="str">
        <f>IF(Indice_index!$Z$1=1,"Correntes","Current")</f>
        <v>Correntes</v>
      </c>
      <c r="D29" s="71">
        <f>SUM(D30,D35,D39,D44:D45,D49:D51)</f>
        <v>4331.561351450001</v>
      </c>
      <c r="E29" s="71">
        <f>SUM(E30,E35,E39,E44:E45,E49:E51)</f>
        <v>4521.331741</v>
      </c>
      <c r="F29" s="71">
        <f>SUM(F30,F35,F39,F44:F45,F49:F51)</f>
        <v>2930.1999425700005</v>
      </c>
      <c r="G29" s="71">
        <f>SUM(G30,G35,G39,G44:G45,G49:G51)</f>
        <v>3253.7089025299997</v>
      </c>
      <c r="H29" s="71">
        <f t="shared" si="3"/>
        <v>71.963507411432829</v>
      </c>
      <c r="I29" s="750">
        <f t="shared" si="6"/>
        <v>11.040508030187798</v>
      </c>
      <c r="J29" s="68">
        <f t="shared" si="7"/>
        <v>0.90353485582511917</v>
      </c>
      <c r="K29" s="68"/>
      <c r="L29" s="67"/>
      <c r="M29" s="65"/>
      <c r="N29" s="65"/>
      <c r="O29" s="65"/>
      <c r="P29" s="65"/>
    </row>
    <row r="30" spans="3:16" ht="15" customHeight="1">
      <c r="C30" s="748" t="str">
        <f>IF(Indice_index!$Z$1=1,"Taxas, Multas e Outras Penalidades","Taxes, fines and other penalties")</f>
        <v>Taxas, Multas e Outras Penalidades</v>
      </c>
      <c r="D30" s="71">
        <f t="shared" ref="D30:G30" si="8">SUM(D31:D34)</f>
        <v>857.09185406000006</v>
      </c>
      <c r="E30" s="71">
        <f t="shared" ref="E30" si="9">SUM(E31:E34)</f>
        <v>1005.0051129999999</v>
      </c>
      <c r="F30" s="71">
        <f t="shared" si="8"/>
        <v>610.21424316000002</v>
      </c>
      <c r="G30" s="71">
        <f t="shared" si="8"/>
        <v>750.99466326000004</v>
      </c>
      <c r="H30" s="71">
        <f t="shared" si="3"/>
        <v>74.72545696988908</v>
      </c>
      <c r="I30" s="750">
        <f t="shared" si="6"/>
        <v>23.07065455748252</v>
      </c>
      <c r="J30" s="68">
        <f t="shared" si="7"/>
        <v>0.39318854288852184</v>
      </c>
      <c r="K30" s="68"/>
      <c r="M30" s="65"/>
      <c r="N30" s="65"/>
      <c r="O30" s="65"/>
      <c r="P30" s="65"/>
    </row>
    <row r="31" spans="3:16" ht="15" customHeight="1">
      <c r="C31" s="754" t="str">
        <f>IF(Indice_index!$Z$1=1,"Taxas","Taxes")</f>
        <v>Taxas</v>
      </c>
      <c r="D31" s="71">
        <v>546.63159624000002</v>
      </c>
      <c r="E31" s="71">
        <v>626.43151399999999</v>
      </c>
      <c r="F31" s="71">
        <v>401.20760612999999</v>
      </c>
      <c r="G31" s="71">
        <v>511.70882168000003</v>
      </c>
      <c r="H31" s="71">
        <f t="shared" si="3"/>
        <v>81.686315302457785</v>
      </c>
      <c r="I31" s="750">
        <f t="shared" si="6"/>
        <v>27.542153703385985</v>
      </c>
      <c r="J31" s="68">
        <f t="shared" si="7"/>
        <v>0.30862112713296974</v>
      </c>
      <c r="K31" s="68"/>
      <c r="M31" s="65"/>
      <c r="N31" s="65"/>
      <c r="O31" s="65"/>
      <c r="P31" s="65"/>
    </row>
    <row r="32" spans="3:16" ht="15" customHeight="1">
      <c r="C32" s="754" t="str">
        <f>IF(Indice_index!$Z$1=1,"Juros de mora e compensatórios","Default and compensatory interests")</f>
        <v>Juros de mora e compensatórios</v>
      </c>
      <c r="D32" s="71">
        <v>67.454711520000004</v>
      </c>
      <c r="E32" s="71">
        <v>64.604410999999999</v>
      </c>
      <c r="F32" s="71">
        <v>41.577075290000003</v>
      </c>
      <c r="G32" s="71">
        <v>64.845222179999993</v>
      </c>
      <c r="H32" s="71">
        <f t="shared" si="3"/>
        <v>100.37274727262817</v>
      </c>
      <c r="I32" s="750">
        <f t="shared" si="6"/>
        <v>55.963885693509511</v>
      </c>
      <c r="J32" s="68">
        <f t="shared" si="7"/>
        <v>6.4986088014914137E-2</v>
      </c>
      <c r="K32" s="68"/>
      <c r="M32" s="65"/>
      <c r="N32" s="65"/>
      <c r="O32" s="65"/>
      <c r="P32" s="65"/>
    </row>
    <row r="33" spans="3:16" ht="15" customHeight="1">
      <c r="C33" s="754" t="str">
        <f>IF(Indice_index!$Z$1=1,"Multas do Código da Estrada","Highway code fines")</f>
        <v>Multas do Código da Estrada</v>
      </c>
      <c r="D33" s="71">
        <v>82.447458960000006</v>
      </c>
      <c r="E33" s="71">
        <v>127.320525</v>
      </c>
      <c r="F33" s="71">
        <v>61.02218671</v>
      </c>
      <c r="G33" s="71">
        <v>55.939637249999997</v>
      </c>
      <c r="H33" s="71">
        <f t="shared" si="3"/>
        <v>43.936071776329854</v>
      </c>
      <c r="I33" s="750">
        <f t="shared" si="6"/>
        <v>-8.3290188930038802</v>
      </c>
      <c r="J33" s="68">
        <f t="shared" si="7"/>
        <v>-1.4195157358649227E-2</v>
      </c>
      <c r="K33" s="68"/>
      <c r="M33" s="65"/>
      <c r="N33" s="65"/>
      <c r="O33" s="65"/>
      <c r="P33" s="65"/>
    </row>
    <row r="34" spans="3:16" ht="15" customHeight="1">
      <c r="C34" s="754" t="str">
        <f>IF(Indice_index!$Z$1=1,"Outras multas e penalidades diversas","Other fines and diverse penalties")</f>
        <v>Outras multas e penalidades diversas</v>
      </c>
      <c r="D34" s="71">
        <v>160.55808733999999</v>
      </c>
      <c r="E34" s="71">
        <v>186.648663</v>
      </c>
      <c r="F34" s="71">
        <v>106.40737503</v>
      </c>
      <c r="G34" s="71">
        <v>118.50098215</v>
      </c>
      <c r="H34" s="71">
        <f t="shared" si="3"/>
        <v>63.488792389581704</v>
      </c>
      <c r="I34" s="750">
        <f t="shared" si="6"/>
        <v>11.365384322835128</v>
      </c>
      <c r="J34" s="68">
        <f t="shared" si="7"/>
        <v>3.3776485099287282E-2</v>
      </c>
      <c r="K34" s="68"/>
      <c r="M34" s="65"/>
      <c r="N34" s="65"/>
      <c r="O34" s="65"/>
      <c r="P34" s="65"/>
    </row>
    <row r="35" spans="3:16" ht="15" customHeight="1">
      <c r="C35" s="748" t="str">
        <f>IF(Indice_index!$Z$1=1,"Rendimentos da Propriedade","Property income")</f>
        <v>Rendimentos da Propriedade</v>
      </c>
      <c r="D35" s="71">
        <f>SUM(D36:D38)</f>
        <v>759.19899399999997</v>
      </c>
      <c r="E35" s="71">
        <f>SUM(E36:E38)</f>
        <v>694.07876799999997</v>
      </c>
      <c r="F35" s="71">
        <f>SUM(F36:F38)</f>
        <v>505.85306109999999</v>
      </c>
      <c r="G35" s="71">
        <f>SUM(G36:G38)</f>
        <v>728.71933529</v>
      </c>
      <c r="H35" s="71">
        <f t="shared" si="3"/>
        <v>104.99086975240827</v>
      </c>
      <c r="I35" s="750">
        <f t="shared" si="6"/>
        <v>44.057512216169528</v>
      </c>
      <c r="J35" s="68">
        <f t="shared" si="7"/>
        <v>0.62244782012665612</v>
      </c>
      <c r="K35" s="68"/>
      <c r="M35" s="65"/>
      <c r="N35" s="65"/>
      <c r="O35" s="65"/>
      <c r="P35" s="65"/>
    </row>
    <row r="36" spans="3:16" ht="15" customHeight="1">
      <c r="C36" s="754" t="str">
        <f>IF(Indice_index!$Z$1=1,"Juros","Interests")</f>
        <v>Juros</v>
      </c>
      <c r="D36" s="71">
        <v>110.78467236</v>
      </c>
      <c r="E36" s="71">
        <v>179.26851599999998</v>
      </c>
      <c r="F36" s="71">
        <v>99.736390069999999</v>
      </c>
      <c r="G36" s="71">
        <v>115.50085258</v>
      </c>
      <c r="H36" s="71">
        <f t="shared" si="3"/>
        <v>64.42896675733067</v>
      </c>
      <c r="I36" s="750">
        <f t="shared" si="6"/>
        <v>15.806129035686684</v>
      </c>
      <c r="J36" s="68">
        <f t="shared" si="7"/>
        <v>4.4028892933582246E-2</v>
      </c>
      <c r="K36" s="68"/>
      <c r="L36" s="71"/>
      <c r="M36" s="65"/>
      <c r="N36" s="65"/>
      <c r="O36" s="65"/>
      <c r="P36" s="65"/>
    </row>
    <row r="37" spans="3:16" ht="15" customHeight="1">
      <c r="C37" s="754" t="str">
        <f>IF(Indice_index!$Z$1=1,"Dividendos e participações nos lucros","Dividends and profit participations")</f>
        <v>Dividendos e participações nos lucros</v>
      </c>
      <c r="D37" s="751">
        <v>644.85672493000004</v>
      </c>
      <c r="E37" s="751">
        <v>511.55187100000001</v>
      </c>
      <c r="F37" s="751">
        <v>404.35137896999998</v>
      </c>
      <c r="G37" s="751">
        <v>611.12551245999998</v>
      </c>
      <c r="H37" s="751">
        <f t="shared" si="3"/>
        <v>119.46501363886127</v>
      </c>
      <c r="I37" s="750">
        <f t="shared" si="6"/>
        <v>51.137239600051224</v>
      </c>
      <c r="J37" s="68">
        <f t="shared" si="7"/>
        <v>0.5775037480085613</v>
      </c>
      <c r="K37" s="68"/>
      <c r="M37" s="65"/>
      <c r="N37" s="65"/>
      <c r="O37" s="65"/>
      <c r="P37" s="65"/>
    </row>
    <row r="38" spans="3:16" s="66" customFormat="1" ht="15" customHeight="1">
      <c r="C38" s="754" t="str">
        <f>IF(Indice_index!$Z$1=1,"Outros","Others")</f>
        <v>Outros</v>
      </c>
      <c r="D38" s="71">
        <v>3.5575967099999999</v>
      </c>
      <c r="E38" s="71">
        <v>3.258381</v>
      </c>
      <c r="F38" s="71">
        <v>1.7652920599999999</v>
      </c>
      <c r="G38" s="71">
        <v>2.09297025</v>
      </c>
      <c r="H38" s="71">
        <f t="shared" si="3"/>
        <v>64.233441393133589</v>
      </c>
      <c r="I38" s="750">
        <f t="shared" si="6"/>
        <v>18.562264988604781</v>
      </c>
      <c r="J38" s="68">
        <f t="shared" si="7"/>
        <v>9.151791845125217E-4</v>
      </c>
      <c r="K38" s="68"/>
      <c r="M38" s="65"/>
      <c r="N38" s="65"/>
      <c r="O38" s="65"/>
      <c r="P38" s="65"/>
    </row>
    <row r="39" spans="3:16" s="66" customFormat="1" ht="15" customHeight="1">
      <c r="C39" s="748" t="str">
        <f>IF(Indice_index!$Z$1=1,"Transferências Correntes","Current transfers")</f>
        <v>Transferências Correntes</v>
      </c>
      <c r="D39" s="71">
        <f>SUM(D40:D43)</f>
        <v>1214.3733370100001</v>
      </c>
      <c r="E39" s="71">
        <f>SUM(E40:E43)</f>
        <v>1338.8009099999999</v>
      </c>
      <c r="F39" s="71">
        <f>SUM(F40:F43)</f>
        <v>914.93006679999996</v>
      </c>
      <c r="G39" s="71">
        <f>SUM(G40:G43)</f>
        <v>698.64556161999985</v>
      </c>
      <c r="H39" s="71">
        <f t="shared" si="3"/>
        <v>52.184425361646923</v>
      </c>
      <c r="I39" s="750">
        <f t="shared" si="6"/>
        <v>-23.639457596629519</v>
      </c>
      <c r="J39" s="68">
        <f t="shared" si="7"/>
        <v>-0.60406546152286411</v>
      </c>
      <c r="K39" s="68"/>
      <c r="L39" s="72"/>
      <c r="M39" s="65"/>
      <c r="N39" s="65"/>
      <c r="O39" s="65"/>
      <c r="P39" s="65"/>
    </row>
    <row r="40" spans="3:16" s="66" customFormat="1" ht="15" customHeight="1">
      <c r="C40" s="754" t="str">
        <f>IF(Indice_index!$Z$1=1,"Administração Central","Central Administration")</f>
        <v>Administração Central</v>
      </c>
      <c r="D40" s="71">
        <v>528.42067895000002</v>
      </c>
      <c r="E40" s="71">
        <v>559.4232750000001</v>
      </c>
      <c r="F40" s="71">
        <v>363.80263884999999</v>
      </c>
      <c r="G40" s="71">
        <v>323.36634475999995</v>
      </c>
      <c r="H40" s="71">
        <f t="shared" si="3"/>
        <v>57.80352001979179</v>
      </c>
      <c r="I40" s="750">
        <f t="shared" si="6"/>
        <v>-11.114898511407553</v>
      </c>
      <c r="J40" s="68">
        <f t="shared" si="7"/>
        <v>-0.11293536091002802</v>
      </c>
      <c r="K40" s="68"/>
      <c r="M40" s="65"/>
      <c r="N40" s="65"/>
      <c r="O40" s="65"/>
      <c r="P40" s="65"/>
    </row>
    <row r="41" spans="3:16" ht="15" customHeight="1">
      <c r="C41" s="754" t="str">
        <f>IF(Indice_index!$Z$1=1,"Outros subsectores das AP","Other General Government subsectors")</f>
        <v>Outros subsectores das AP</v>
      </c>
      <c r="D41" s="71">
        <v>215.78015270999998</v>
      </c>
      <c r="E41" s="71">
        <v>260.91179099999999</v>
      </c>
      <c r="F41" s="71">
        <v>141.91400437999999</v>
      </c>
      <c r="G41" s="71">
        <v>194.28661489000001</v>
      </c>
      <c r="H41" s="71">
        <f t="shared" si="3"/>
        <v>74.464482477144927</v>
      </c>
      <c r="I41" s="750">
        <f t="shared" si="6"/>
        <v>36.904469533368271</v>
      </c>
      <c r="J41" s="68">
        <f t="shared" si="7"/>
        <v>0.14627254556470093</v>
      </c>
      <c r="K41" s="68"/>
      <c r="M41" s="65"/>
      <c r="N41" s="65"/>
      <c r="O41" s="65"/>
      <c r="P41" s="65"/>
    </row>
    <row r="42" spans="3:16" s="66" customFormat="1" ht="15" customHeight="1">
      <c r="C42" s="754" t="str">
        <f>IF(Indice_index!$Z$1=1,"União Europeia","European Union")</f>
        <v>União Europeia</v>
      </c>
      <c r="D42" s="71">
        <v>456.44551322000001</v>
      </c>
      <c r="E42" s="71">
        <v>485.50868800000001</v>
      </c>
      <c r="F42" s="71">
        <v>396.39448931000004</v>
      </c>
      <c r="G42" s="71">
        <v>164.51384786</v>
      </c>
      <c r="H42" s="71">
        <f t="shared" si="3"/>
        <v>33.884841183315757</v>
      </c>
      <c r="I42" s="750">
        <f t="shared" si="6"/>
        <v>-58.497443254983786</v>
      </c>
      <c r="J42" s="68">
        <f t="shared" si="7"/>
        <v>-0.64762423262424462</v>
      </c>
      <c r="K42" s="68"/>
      <c r="M42" s="65"/>
      <c r="N42" s="65"/>
      <c r="O42" s="65"/>
      <c r="P42" s="65"/>
    </row>
    <row r="43" spans="3:16" ht="15" customHeight="1">
      <c r="C43" s="754" t="str">
        <f>IF(Indice_index!$Z$1=1,"Outros","Others")</f>
        <v>Outros</v>
      </c>
      <c r="D43" s="71">
        <v>13.726992130000001</v>
      </c>
      <c r="E43" s="71">
        <v>32.957155999999998</v>
      </c>
      <c r="F43" s="71">
        <v>12.818934260000001</v>
      </c>
      <c r="G43" s="71">
        <v>16.478754110000001</v>
      </c>
      <c r="H43" s="71">
        <f t="shared" si="3"/>
        <v>50.000534360428439</v>
      </c>
      <c r="I43" s="750">
        <f t="shared" si="6"/>
        <v>28.550110139967284</v>
      </c>
      <c r="J43" s="68">
        <f t="shared" si="7"/>
        <v>1.0221586446707787E-2</v>
      </c>
      <c r="K43" s="68"/>
      <c r="M43" s="65"/>
      <c r="N43" s="65"/>
      <c r="O43" s="65"/>
      <c r="P43" s="65"/>
    </row>
    <row r="44" spans="3:16" s="66" customFormat="1" ht="15" customHeight="1">
      <c r="C44" s="748" t="str">
        <f>IF(Indice_index!$Z$1=1,"Venda de Bens e Serviços Correntes","Sale of current goods and services")</f>
        <v>Venda de Bens e Serviços Correntes</v>
      </c>
      <c r="D44" s="71">
        <v>736.75581270999999</v>
      </c>
      <c r="E44" s="71">
        <v>821.02860499999997</v>
      </c>
      <c r="F44" s="71">
        <v>282.44685572999998</v>
      </c>
      <c r="G44" s="71">
        <v>409.35075161999998</v>
      </c>
      <c r="H44" s="71">
        <f t="shared" si="3"/>
        <v>49.858281322609947</v>
      </c>
      <c r="I44" s="750">
        <f t="shared" si="6"/>
        <v>44.93018538372808</v>
      </c>
      <c r="J44" s="68">
        <f t="shared" si="7"/>
        <v>0.35443251182531293</v>
      </c>
      <c r="K44" s="68"/>
      <c r="M44" s="65"/>
      <c r="N44" s="65"/>
      <c r="O44" s="65"/>
      <c r="P44" s="65"/>
    </row>
    <row r="45" spans="3:16" ht="15" customHeight="1">
      <c r="C45" s="748" t="str">
        <f>IF(Indice_index!$Z$1=1,"Outras Receitas Correntes","Other current revenue")</f>
        <v>Outras Receitas Correntes</v>
      </c>
      <c r="D45" s="751">
        <f t="shared" ref="D45:E45" si="10">SUM(D46:D48)</f>
        <v>351.11166080999999</v>
      </c>
      <c r="E45" s="751">
        <f t="shared" si="10"/>
        <v>408.08124099999998</v>
      </c>
      <c r="F45" s="751">
        <f t="shared" ref="F45:G45" si="11">SUM(F46:F48)</f>
        <v>292.34551796</v>
      </c>
      <c r="G45" s="751">
        <f t="shared" si="11"/>
        <v>172.99524839999998</v>
      </c>
      <c r="H45" s="751">
        <f t="shared" si="3"/>
        <v>42.392355006585561</v>
      </c>
      <c r="I45" s="750">
        <f t="shared" si="6"/>
        <v>-40.825072466590726</v>
      </c>
      <c r="J45" s="68">
        <f t="shared" si="7"/>
        <v>-0.33333583284035606</v>
      </c>
      <c r="K45" s="68"/>
      <c r="M45" s="65"/>
      <c r="N45" s="65"/>
      <c r="O45" s="65"/>
      <c r="P45" s="65"/>
    </row>
    <row r="46" spans="3:16" ht="15" customHeight="1">
      <c r="C46" s="754" t="str">
        <f>IF(Indice_index!$Z$1=1,"Prémios e taxas por garantias de riscos","Premiums and rates on risk guarantees")</f>
        <v>Prémios e taxas por garantias de riscos</v>
      </c>
      <c r="D46" s="751">
        <v>31.280779299999999</v>
      </c>
      <c r="E46" s="751">
        <v>23.531946000000001</v>
      </c>
      <c r="F46" s="751">
        <v>18.134516609999999</v>
      </c>
      <c r="G46" s="751">
        <v>12.50890289</v>
      </c>
      <c r="H46" s="751">
        <f t="shared" si="3"/>
        <v>53.157111995752494</v>
      </c>
      <c r="I46" s="750">
        <f t="shared" si="6"/>
        <v>-31.021580784225815</v>
      </c>
      <c r="J46" s="68">
        <f>IFERROR((G46-F46)/$F$62*100,"-")</f>
        <v>-1.5711892746514657E-2</v>
      </c>
      <c r="K46" s="68"/>
      <c r="M46" s="65"/>
      <c r="N46" s="65"/>
      <c r="O46" s="65"/>
      <c r="P46" s="65"/>
    </row>
    <row r="47" spans="3:16" ht="15" customHeight="1">
      <c r="C47" s="754" t="str">
        <f>IF(Indice_index!$Z$1=1,"Subsídios","Subsidies")</f>
        <v>Subsídios</v>
      </c>
      <c r="D47" s="71">
        <v>252.35391096000001</v>
      </c>
      <c r="E47" s="71">
        <v>313.19213500000001</v>
      </c>
      <c r="F47" s="71">
        <v>220.53549516000001</v>
      </c>
      <c r="G47" s="71">
        <v>117.36704807</v>
      </c>
      <c r="H47" s="71">
        <f t="shared" si="3"/>
        <v>37.474455758603256</v>
      </c>
      <c r="I47" s="750">
        <f t="shared" si="6"/>
        <v>-46.780880789802389</v>
      </c>
      <c r="J47" s="68">
        <f t="shared" si="7"/>
        <v>-0.28814128665459682</v>
      </c>
      <c r="K47" s="68"/>
      <c r="M47" s="65"/>
      <c r="N47" s="65"/>
      <c r="O47" s="65"/>
      <c r="P47" s="65"/>
    </row>
    <row r="48" spans="3:16" ht="15" customHeight="1">
      <c r="C48" s="754" t="str">
        <f>IF(Indice_index!$Z$1=1,"Outras","Others")</f>
        <v>Outras</v>
      </c>
      <c r="D48" s="71">
        <v>67.476970550000004</v>
      </c>
      <c r="E48" s="71">
        <v>71.357159999999993</v>
      </c>
      <c r="F48" s="71">
        <v>53.67550619</v>
      </c>
      <c r="G48" s="71">
        <v>43.119297440000004</v>
      </c>
      <c r="H48" s="71">
        <f t="shared" si="3"/>
        <v>60.42742934275973</v>
      </c>
      <c r="I48" s="750">
        <f t="shared" si="6"/>
        <v>-19.666714856182701</v>
      </c>
      <c r="J48" s="68">
        <f t="shared" si="7"/>
        <v>-2.9482653439244586E-2</v>
      </c>
      <c r="K48" s="68"/>
      <c r="M48" s="65"/>
      <c r="N48" s="65"/>
      <c r="O48" s="65"/>
      <c r="P48" s="65"/>
    </row>
    <row r="49" spans="3:16" ht="15" customHeight="1">
      <c r="C49" s="748" t="str">
        <f>IF(Indice_index!$Z$1=1,"Recursos Próprios Comunitários","Community own resources")</f>
        <v>Recursos Próprios Comunitários</v>
      </c>
      <c r="D49" s="71">
        <v>238.33935378000001</v>
      </c>
      <c r="E49" s="71">
        <v>247.25</v>
      </c>
      <c r="F49" s="71">
        <v>161.96451189999999</v>
      </c>
      <c r="G49" s="71">
        <v>270.57706157000001</v>
      </c>
      <c r="H49" s="71">
        <f t="shared" si="3"/>
        <v>109.43460528614763</v>
      </c>
      <c r="I49" s="750">
        <f t="shared" si="6"/>
        <v>67.059473952577648</v>
      </c>
      <c r="J49" s="68">
        <f t="shared" si="7"/>
        <v>0.3033462331893873</v>
      </c>
      <c r="K49" s="68"/>
      <c r="M49" s="65"/>
      <c r="N49" s="65"/>
      <c r="O49" s="65"/>
      <c r="P49" s="65"/>
    </row>
    <row r="50" spans="3:16" ht="15" customHeight="1">
      <c r="C50" s="748" t="str">
        <f>IF(Indice_index!$Z$1=1,"Reposições Não Abatidas nos Pagamentos","Refunds not deducted from payments")</f>
        <v>Reposições Não Abatidas nos Pagamentos</v>
      </c>
      <c r="D50" s="71">
        <v>174.68589734</v>
      </c>
      <c r="E50" s="71">
        <v>5.1884009999999998</v>
      </c>
      <c r="F50" s="71">
        <v>162.44224088999999</v>
      </c>
      <c r="G50" s="71">
        <v>222.42251712000001</v>
      </c>
      <c r="H50" s="751" t="str">
        <f t="shared" si="3"/>
        <v>-</v>
      </c>
      <c r="I50" s="750">
        <f t="shared" si="6"/>
        <v>36.924063532598325</v>
      </c>
      <c r="J50" s="68">
        <f t="shared" si="7"/>
        <v>0.16752015227808478</v>
      </c>
      <c r="K50" s="68"/>
      <c r="M50" s="65"/>
      <c r="N50" s="65"/>
      <c r="O50" s="65"/>
      <c r="P50" s="65"/>
    </row>
    <row r="51" spans="3:16" ht="15" customHeight="1">
      <c r="C51" s="748" t="str">
        <f>IF(Indice_index!$Z$1=1,"Diferenças de consolidação","Consolidation differences")</f>
        <v>Diferenças de consolidação</v>
      </c>
      <c r="D51" s="71">
        <v>4.4417399999999996E-3</v>
      </c>
      <c r="E51" s="71">
        <v>1.898703</v>
      </c>
      <c r="F51" s="71">
        <v>3.44503E-3</v>
      </c>
      <c r="G51" s="71">
        <v>3.7636499999999999E-3</v>
      </c>
      <c r="H51" s="751">
        <f t="shared" si="3"/>
        <v>0.19822215480778194</v>
      </c>
      <c r="I51" s="750"/>
      <c r="J51" s="68"/>
      <c r="K51" s="68"/>
      <c r="M51" s="65"/>
      <c r="N51" s="65"/>
      <c r="O51" s="65"/>
      <c r="P51" s="65"/>
    </row>
    <row r="52" spans="3:16" ht="15" customHeight="1">
      <c r="C52" s="746" t="s">
        <v>5</v>
      </c>
      <c r="D52" s="751">
        <f>SUM(D53:D54,D59:D60)</f>
        <v>84.767693959999988</v>
      </c>
      <c r="E52" s="751">
        <f>SUM(E53:E54,E59:E60)</f>
        <v>530.07363999999995</v>
      </c>
      <c r="F52" s="751">
        <f>SUM(F53:F54,F59:F60)</f>
        <v>64.01009707</v>
      </c>
      <c r="G52" s="751">
        <f>SUM(G53:G54,G59:G60)</f>
        <v>301.38478530000003</v>
      </c>
      <c r="H52" s="751">
        <f t="shared" si="3"/>
        <v>56.857153904125482</v>
      </c>
      <c r="I52" s="750">
        <f t="shared" ref="I52:I59" si="12">IF(IFERROR((G52-F52)/F52*100,"")&gt;500,"-",IFERROR((G52-F52)/F52*100,""))</f>
        <v>370.8394442370747</v>
      </c>
      <c r="J52" s="68">
        <f t="shared" ref="J52:J59" si="13">IFERROR((G52-F52)/$F$62*100,"-")</f>
        <v>0.6629686693467316</v>
      </c>
      <c r="K52" s="68"/>
      <c r="L52" s="65"/>
      <c r="M52" s="65"/>
      <c r="N52" s="65"/>
      <c r="O52" s="65"/>
      <c r="P52" s="65"/>
    </row>
    <row r="53" spans="3:16" ht="15" customHeight="1">
      <c r="C53" s="748" t="str">
        <f>IF(Indice_index!$Z$1=1,"Venda de Bens de Investimento","Sale of investment goods")</f>
        <v>Venda de Bens de Investimento</v>
      </c>
      <c r="D53" s="71">
        <v>36.8988175</v>
      </c>
      <c r="E53" s="71">
        <v>53.822319</v>
      </c>
      <c r="F53" s="71">
        <v>36.4882171</v>
      </c>
      <c r="G53" s="71">
        <v>35.108443600000001</v>
      </c>
      <c r="H53" s="71">
        <f t="shared" si="3"/>
        <v>65.230269249453926</v>
      </c>
      <c r="I53" s="750">
        <f t="shared" si="12"/>
        <v>-3.7814220854326122</v>
      </c>
      <c r="J53" s="68">
        <f t="shared" si="13"/>
        <v>-3.8535979051336515E-3</v>
      </c>
      <c r="K53" s="68"/>
      <c r="M53" s="65"/>
      <c r="N53" s="65"/>
      <c r="O53" s="65"/>
      <c r="P53" s="65"/>
    </row>
    <row r="54" spans="3:16" ht="15" customHeight="1">
      <c r="C54" s="748" t="str">
        <f>IF(Indice_index!$Z$1=1,"Transferências de Capital","Capital transfers")</f>
        <v>Transferências de Capital</v>
      </c>
      <c r="D54" s="751">
        <f>SUM(D55:D58)</f>
        <v>45.685864639999998</v>
      </c>
      <c r="E54" s="751">
        <f>SUM(E55:E58)</f>
        <v>469.99793599999998</v>
      </c>
      <c r="F54" s="751">
        <f>SUM(F55:F58)</f>
        <v>27.331949460000001</v>
      </c>
      <c r="G54" s="751">
        <f>SUM(G55:G58)</f>
        <v>246.15676103000001</v>
      </c>
      <c r="H54" s="751">
        <f t="shared" si="3"/>
        <v>52.3740089424563</v>
      </c>
      <c r="I54" s="750" t="str">
        <f t="shared" si="12"/>
        <v>-</v>
      </c>
      <c r="J54" s="68">
        <f t="shared" si="13"/>
        <v>0.61116033570540285</v>
      </c>
      <c r="K54" s="68"/>
      <c r="M54" s="65"/>
      <c r="N54" s="65"/>
      <c r="O54" s="65"/>
      <c r="P54" s="65"/>
    </row>
    <row r="55" spans="3:16" ht="15" customHeight="1">
      <c r="C55" s="754" t="str">
        <f>IF(Indice_index!$Z$1=1,"Administração Central","Central Administration")</f>
        <v>Administração Central</v>
      </c>
      <c r="D55" s="71">
        <v>17.407786689999998</v>
      </c>
      <c r="E55" s="71">
        <v>33.988917999999998</v>
      </c>
      <c r="F55" s="71">
        <v>9.4486791200000013</v>
      </c>
      <c r="G55" s="71">
        <v>11.569955360000002</v>
      </c>
      <c r="H55" s="71">
        <f t="shared" si="3"/>
        <v>34.040375630668798</v>
      </c>
      <c r="I55" s="750">
        <f t="shared" si="12"/>
        <v>22.450505653323528</v>
      </c>
      <c r="J55" s="68">
        <f t="shared" si="13"/>
        <v>5.9245562222160347E-3</v>
      </c>
      <c r="K55" s="68"/>
      <c r="L55" s="73"/>
      <c r="M55" s="65"/>
      <c r="N55" s="65"/>
      <c r="O55" s="65"/>
      <c r="P55" s="65"/>
    </row>
    <row r="56" spans="3:16" ht="15" customHeight="1">
      <c r="C56" s="754" t="str">
        <f>IF(Indice_index!$Z$1=1,"Outros subsectores das AP","Other General Government subsectors")</f>
        <v>Outros subsectores das AP</v>
      </c>
      <c r="D56" s="71">
        <v>3.0124069999999999E-2</v>
      </c>
      <c r="E56" s="71">
        <v>0</v>
      </c>
      <c r="F56" s="71">
        <v>1.2405589999999999E-2</v>
      </c>
      <c r="G56" s="71">
        <v>1.867427E-2</v>
      </c>
      <c r="H56" s="751" t="str">
        <f>IFERROR(IF(G56/E56*100&lt;-500,"-",IF(G56/E56*100&gt;500,"-",G56/E56*100)),"-")</f>
        <v>-</v>
      </c>
      <c r="I56" s="750">
        <f t="shared" si="12"/>
        <v>50.531091225810307</v>
      </c>
      <c r="J56" s="68">
        <f t="shared" si="13"/>
        <v>1.7507925841417624E-5</v>
      </c>
      <c r="K56" s="68"/>
      <c r="L56" s="74"/>
      <c r="M56" s="65"/>
      <c r="N56" s="65"/>
      <c r="O56" s="65"/>
      <c r="P56" s="65"/>
    </row>
    <row r="57" spans="3:16" ht="15" customHeight="1">
      <c r="C57" s="754" t="str">
        <f>IF(Indice_index!$Z$1=1,"União Europeia","European Union")</f>
        <v>União Europeia</v>
      </c>
      <c r="D57" s="71">
        <v>18.856822619999999</v>
      </c>
      <c r="E57" s="71">
        <v>435.52218199999999</v>
      </c>
      <c r="F57" s="71">
        <v>9.7583209600000007</v>
      </c>
      <c r="G57" s="71">
        <v>233.16912658999999</v>
      </c>
      <c r="H57" s="71">
        <f t="shared" si="3"/>
        <v>53.537830270606058</v>
      </c>
      <c r="I57" s="750" t="str">
        <f t="shared" si="12"/>
        <v>-</v>
      </c>
      <c r="J57" s="68">
        <f t="shared" si="13"/>
        <v>0.62396865323184569</v>
      </c>
      <c r="K57" s="68"/>
      <c r="L57" s="74"/>
      <c r="M57" s="65"/>
      <c r="N57" s="65"/>
      <c r="O57" s="65"/>
      <c r="P57" s="65"/>
    </row>
    <row r="58" spans="3:16" ht="15" customHeight="1">
      <c r="C58" s="754" t="str">
        <f>IF(Indice_index!$Z$1=1,"Outros","Others")</f>
        <v>Outros</v>
      </c>
      <c r="D58" s="71">
        <v>9.3911312599999999</v>
      </c>
      <c r="E58" s="71">
        <v>0.48683600000000005</v>
      </c>
      <c r="F58" s="71">
        <v>8.1125437900000001</v>
      </c>
      <c r="G58" s="71">
        <v>1.3990048099999999</v>
      </c>
      <c r="H58" s="71">
        <f t="shared" si="3"/>
        <v>287.36675389658933</v>
      </c>
      <c r="I58" s="750">
        <f t="shared" si="12"/>
        <v>-82.755041498518679</v>
      </c>
      <c r="J58" s="68">
        <f t="shared" si="13"/>
        <v>-1.8750381674500296E-2</v>
      </c>
      <c r="K58" s="68"/>
      <c r="M58" s="65"/>
      <c r="N58" s="65"/>
      <c r="O58" s="65"/>
      <c r="P58" s="65"/>
    </row>
    <row r="59" spans="3:16" ht="15" customHeight="1">
      <c r="C59" s="748" t="str">
        <f>IF(Indice_index!$Z$1=1,"Outras Receitas de Capital","Other capital revenue")</f>
        <v>Outras Receitas de Capital</v>
      </c>
      <c r="D59" s="71">
        <v>1.50296685</v>
      </c>
      <c r="E59" s="71">
        <v>6.2533849999999997</v>
      </c>
      <c r="F59" s="71">
        <v>0.18993051</v>
      </c>
      <c r="G59" s="71">
        <v>20.119580670000001</v>
      </c>
      <c r="H59" s="71">
        <f t="shared" si="3"/>
        <v>321.73903685763793</v>
      </c>
      <c r="I59" s="750" t="str">
        <f t="shared" si="12"/>
        <v>-</v>
      </c>
      <c r="J59" s="68">
        <f t="shared" si="13"/>
        <v>5.5661931546462234E-2</v>
      </c>
      <c r="K59" s="68"/>
      <c r="M59" s="65"/>
      <c r="N59" s="65"/>
      <c r="O59" s="65"/>
      <c r="P59" s="65"/>
    </row>
    <row r="60" spans="3:16" ht="15" customHeight="1">
      <c r="C60" s="748" t="str">
        <f>IF(Indice_index!$Z$1=1,"Diferenças de consolidação","Consolidation differences")</f>
        <v>Diferenças de consolidação</v>
      </c>
      <c r="D60" s="71">
        <v>0.68004496999999997</v>
      </c>
      <c r="E60" s="71">
        <v>0</v>
      </c>
      <c r="F60" s="71">
        <v>0</v>
      </c>
      <c r="G60" s="71">
        <v>0</v>
      </c>
      <c r="H60" s="751" t="str">
        <f t="shared" si="3"/>
        <v>-</v>
      </c>
      <c r="I60" s="750"/>
      <c r="J60" s="68"/>
      <c r="K60" s="68"/>
      <c r="M60" s="65"/>
      <c r="N60" s="65"/>
      <c r="O60" s="65"/>
      <c r="P60" s="65"/>
    </row>
    <row r="61" spans="3:16" ht="4.5" customHeight="1">
      <c r="C61" s="752"/>
      <c r="D61" s="71"/>
      <c r="E61" s="71"/>
      <c r="F61" s="71"/>
      <c r="G61" s="71"/>
      <c r="H61" s="71"/>
      <c r="I61" s="747"/>
      <c r="J61" s="68"/>
      <c r="K61" s="68"/>
      <c r="M61" s="65"/>
      <c r="N61" s="65"/>
      <c r="O61" s="65"/>
      <c r="P61" s="65"/>
    </row>
    <row r="62" spans="3:16" s="277" customFormat="1" ht="15" customHeight="1">
      <c r="C62" s="755" t="str">
        <f>IF(Indice_index!$Z$1=1,"Receita efetiva","Effective Revenue")</f>
        <v>Receita efetiva</v>
      </c>
      <c r="D62" s="756">
        <f>+D9+D24+D28</f>
        <v>50074.131406090004</v>
      </c>
      <c r="E62" s="756">
        <f>+E9+E24+E28</f>
        <v>53717.583897999997</v>
      </c>
      <c r="F62" s="756">
        <f>+F9+F24+F28</f>
        <v>35804.812384859993</v>
      </c>
      <c r="G62" s="756">
        <f>+G9+G24+G28</f>
        <v>43214.040121239996</v>
      </c>
      <c r="H62" s="756">
        <f>IFERROR(IF(G62/E62*100&lt;-500,"-",IF(G62/E62*100&gt;500,"-",G62/E62*100)),"-")</f>
        <v>80.446730819643079</v>
      </c>
      <c r="I62" s="757">
        <f>IFERROR((G62-F62)/F62*100,"-")</f>
        <v>20.693385170516859</v>
      </c>
      <c r="J62" s="757"/>
      <c r="K62" s="280"/>
      <c r="L62" s="640"/>
      <c r="M62" s="273"/>
      <c r="N62" s="273"/>
      <c r="O62" s="273"/>
      <c r="P62" s="273"/>
    </row>
    <row r="63" spans="3:16" ht="15" customHeight="1">
      <c r="C63" s="758" t="str">
        <f>IF(Indice_index!$Z$1=1,"   Por memória:","   Memo item:")</f>
        <v xml:space="preserve">   Por memória:</v>
      </c>
      <c r="D63" s="759"/>
      <c r="E63" s="759"/>
      <c r="F63" s="759"/>
      <c r="G63" s="759"/>
      <c r="H63" s="759"/>
      <c r="I63" s="744"/>
      <c r="J63" s="66"/>
      <c r="K63" s="66"/>
      <c r="L63" s="69"/>
      <c r="M63" s="65"/>
      <c r="N63" s="65"/>
      <c r="O63" s="65"/>
      <c r="P63" s="65"/>
    </row>
    <row r="64" spans="3:16" ht="15" customHeight="1">
      <c r="C64" s="748" t="str">
        <f>IF(Indice_index!$Z$1=1,"Ativos Financeiros","Financial assets")</f>
        <v>Ativos Financeiros</v>
      </c>
      <c r="D64" s="71">
        <f>SUM(D65:D66)</f>
        <v>643.73246323000001</v>
      </c>
      <c r="E64" s="71">
        <f>SUM(E65:E66)</f>
        <v>3347.2469719999999</v>
      </c>
      <c r="F64" s="71">
        <f>SUM(F65:F66)</f>
        <v>440.67854082999997</v>
      </c>
      <c r="G64" s="71">
        <f>SUM(G65:G66)</f>
        <v>264.45165444999998</v>
      </c>
      <c r="H64" s="71"/>
      <c r="I64" s="747">
        <f>IF(IFERROR((G64-F64)/F64*100,"")&gt;500,"-",IFERROR((G64-F64)/F64*100,""))</f>
        <v>-39.989895139455598</v>
      </c>
      <c r="J64" s="66"/>
      <c r="K64" s="66"/>
      <c r="L64" s="67"/>
      <c r="M64" s="65"/>
      <c r="N64" s="65"/>
      <c r="O64" s="65"/>
      <c r="P64" s="65"/>
    </row>
    <row r="65" spans="3:16" ht="15" customHeight="1">
      <c r="C65" s="754" t="str">
        <f>IF(Indice_index!$Z$1=1,"Alienação de partes sociais de empresas","Divestment of company shares")</f>
        <v>Alienação de partes sociais de empresas</v>
      </c>
      <c r="D65" s="760">
        <v>1.3794E-4</v>
      </c>
      <c r="E65" s="760">
        <v>0</v>
      </c>
      <c r="F65" s="760">
        <v>1.3794E-4</v>
      </c>
      <c r="G65" s="760">
        <v>0</v>
      </c>
      <c r="H65" s="760"/>
      <c r="I65" s="747">
        <f>IF(IFERROR((G65-F65)/F65*100,"")&gt;500,"-",IFERROR((G65-F65)/F65*100,""))</f>
        <v>-100</v>
      </c>
      <c r="J65" s="66"/>
      <c r="K65" s="66"/>
      <c r="L65" s="75"/>
      <c r="M65" s="65"/>
      <c r="N65" s="65"/>
      <c r="O65" s="65"/>
      <c r="P65" s="65"/>
    </row>
    <row r="66" spans="3:16" ht="15" customHeight="1">
      <c r="C66" s="754" t="str">
        <f>IF(Indice_index!$Z$1=1,"Outros ativos","Other assets")</f>
        <v>Outros ativos</v>
      </c>
      <c r="D66" s="761">
        <v>643.73232529000006</v>
      </c>
      <c r="E66" s="761">
        <v>3347.2469719999999</v>
      </c>
      <c r="F66" s="761">
        <v>440.67840288999997</v>
      </c>
      <c r="G66" s="761">
        <v>264.45165444999998</v>
      </c>
      <c r="H66" s="761"/>
      <c r="I66" s="747">
        <f>IF(IFERROR((G66-F66)/F66*100,"")&gt;500,"-",IFERROR((G66-F66)/F66*100,""))</f>
        <v>-39.989876355249677</v>
      </c>
      <c r="J66" s="66"/>
      <c r="K66" s="66"/>
      <c r="L66" s="67"/>
      <c r="M66" s="65"/>
      <c r="N66" s="65"/>
      <c r="O66" s="65"/>
      <c r="P66" s="65"/>
    </row>
    <row r="67" spans="3:16" ht="15" customHeight="1">
      <c r="C67" s="748" t="str">
        <f>IF(Indice_index!$Z$1=1,"Passivos Financeiros","Financial liabilities")</f>
        <v>Passivos Financeiros</v>
      </c>
      <c r="D67" s="761">
        <v>63645.434409809997</v>
      </c>
      <c r="E67" s="761">
        <v>99026.885108000002</v>
      </c>
      <c r="F67" s="761">
        <v>45578.955196720002</v>
      </c>
      <c r="G67" s="761">
        <v>38213.993138810001</v>
      </c>
      <c r="H67" s="761"/>
      <c r="I67" s="747">
        <f>IF(IFERROR((G67-F67)/F67*100,"")&gt;500,"-",IFERROR((G67-F67)/F67*100,""))</f>
        <v>-16.158689961458368</v>
      </c>
      <c r="J67" s="66"/>
      <c r="K67" s="66"/>
      <c r="L67" s="75"/>
      <c r="M67" s="65"/>
      <c r="N67" s="65"/>
      <c r="O67" s="65"/>
      <c r="P67" s="65"/>
    </row>
    <row r="68" spans="3:16" ht="15" customHeight="1">
      <c r="C68" s="762" t="str">
        <f>IF(Indice_index!$Z$1=1,"Saldo da Gerência Anterior","Previous management balance")</f>
        <v>Saldo da Gerência Anterior</v>
      </c>
      <c r="D68" s="763">
        <v>-7.0201009699999997</v>
      </c>
      <c r="E68" s="763">
        <v>0</v>
      </c>
      <c r="F68" s="763">
        <v>-6.9932465099999996</v>
      </c>
      <c r="G68" s="763">
        <v>-1.3900760000000001</v>
      </c>
      <c r="H68" s="763"/>
      <c r="I68" s="764">
        <f>IF(IFERROR((G68-F68)/F68*100,"")&gt;500,"-",IFERROR((G68-F68)/F68*100,""))</f>
        <v>-80.122594019640815</v>
      </c>
      <c r="J68" s="765"/>
      <c r="K68" s="66"/>
      <c r="M68" s="65"/>
      <c r="N68" s="65"/>
      <c r="O68" s="65"/>
      <c r="P68" s="65"/>
    </row>
    <row r="69" spans="3:16" ht="4.5" customHeight="1">
      <c r="C69" s="748"/>
      <c r="D69" s="748"/>
      <c r="E69" s="748"/>
      <c r="F69" s="71"/>
      <c r="G69" s="71"/>
      <c r="H69" s="71"/>
      <c r="I69" s="744"/>
      <c r="J69" s="66"/>
      <c r="K69" s="66"/>
      <c r="L69" s="67"/>
      <c r="M69" s="65"/>
      <c r="N69" s="65"/>
      <c r="O69" s="65"/>
      <c r="P69" s="65"/>
    </row>
    <row r="70" spans="3:16" ht="15" customHeight="1">
      <c r="C70" s="766" t="str">
        <f>IF(Indice_index!$Z$1=1,"Notas:","Notes:")</f>
        <v>Notas:</v>
      </c>
      <c r="D70" s="766"/>
      <c r="E70" s="766"/>
      <c r="F70" s="76"/>
      <c r="G70" s="767"/>
      <c r="H70" s="767"/>
      <c r="I70" s="76"/>
      <c r="J70" s="76"/>
      <c r="K70" s="76"/>
    </row>
    <row r="71" spans="3:16" ht="15" customHeight="1">
      <c r="C71" s="1693" t="str">
        <f>IF(Indice_index!$Z$1=1,"Valores registados no Sistema Central de Receitas (SCR).","Amounts accounted for on the Central Revenue System (SCR).")</f>
        <v>Valores registados no Sistema Central de Receitas (SCR).</v>
      </c>
      <c r="D71" s="1693"/>
      <c r="E71" s="1693"/>
      <c r="F71" s="1693"/>
      <c r="G71" s="1693"/>
      <c r="H71" s="1693"/>
      <c r="I71" s="1693"/>
      <c r="J71" s="1693"/>
      <c r="K71" s="76"/>
    </row>
    <row r="72" spans="3:16" ht="15.75" customHeight="1">
      <c r="C72" s="169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694"/>
      <c r="E72" s="1694"/>
      <c r="F72" s="1694"/>
      <c r="G72" s="1694"/>
      <c r="H72" s="1694"/>
      <c r="I72" s="1694"/>
      <c r="J72" s="1694"/>
      <c r="K72" s="77"/>
    </row>
    <row r="73" spans="3:16" ht="4.5" customHeight="1">
      <c r="C73" s="416"/>
      <c r="D73" s="416"/>
      <c r="E73" s="416"/>
    </row>
    <row r="74" spans="3:16" ht="15" customHeight="1">
      <c r="C74" s="752" t="str">
        <f>IF(Indice_index!$Z$1=1,"Fonte: Direção-Geral do Orçamento","Source: Budget General Directorate")</f>
        <v>Fonte: Direção-Geral do Orçamento</v>
      </c>
      <c r="D74" s="752"/>
      <c r="E74" s="752"/>
      <c r="L74" s="74"/>
    </row>
    <row r="75" spans="3:16" ht="11.25" customHeight="1">
      <c r="C75" s="605"/>
      <c r="D75" s="605"/>
      <c r="E75" s="651"/>
      <c r="F75" s="605"/>
      <c r="G75" s="605"/>
      <c r="H75" s="653"/>
      <c r="I75" s="605"/>
      <c r="J75" s="605"/>
      <c r="K75" s="78"/>
      <c r="L75" s="74"/>
    </row>
    <row r="91" spans="6:6">
      <c r="F91" s="79"/>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2" customWidth="1"/>
    <col min="4" max="6" width="9.453125" style="62"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700"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00"/>
      <c r="E2" s="1700"/>
      <c r="F2" s="1700"/>
      <c r="G2" s="1700"/>
      <c r="H2" s="1700"/>
      <c r="I2" s="1700"/>
      <c r="J2" s="1700"/>
      <c r="O2" s="80"/>
      <c r="Q2" s="80"/>
    </row>
    <row r="3" spans="2:23" ht="15" customHeight="1">
      <c r="C3" s="54"/>
      <c r="D3" s="54"/>
      <c r="E3" s="54"/>
      <c r="F3" s="81"/>
      <c r="O3" s="80"/>
    </row>
    <row r="4" spans="2:23" ht="15" customHeight="1">
      <c r="C4" s="53"/>
      <c r="D4" s="53"/>
      <c r="E4" s="53"/>
    </row>
    <row r="5" spans="2:23" s="271" customFormat="1" ht="15" customHeight="1">
      <c r="C5" s="733" t="str">
        <f>+'5 - Conta AC + SS'!C5</f>
        <v>Período: janeiro a setembro</v>
      </c>
      <c r="D5" s="733"/>
      <c r="E5" s="733"/>
      <c r="F5" s="893"/>
      <c r="G5" s="893"/>
      <c r="J5" s="871" t="str">
        <f>IF(Indice_index!$Z$1=1,"€ Milhões","€ Millions")</f>
        <v>€ Milhões</v>
      </c>
      <c r="K5" s="250"/>
      <c r="O5" s="248"/>
      <c r="P5" s="248"/>
      <c r="Q5" s="248"/>
    </row>
    <row r="6" spans="2:23" ht="30.75" customHeight="1">
      <c r="C6" s="736"/>
      <c r="D6" s="737" t="str">
        <f>IF(Indice_index!$Z$1=1,"CGE","Final execution")</f>
        <v>CGE</v>
      </c>
      <c r="E6" s="737" t="str">
        <f>IF(Indice_index!$Z$1=1,"Orçamento Inicial","Budget")</f>
        <v>Orçamento Inicial</v>
      </c>
      <c r="F6" s="1701" t="str">
        <f>IF(Indice_index!$Z$1=1,"Execução Acumulada","Accumulated Execution")</f>
        <v>Execução Acumulada</v>
      </c>
      <c r="G6" s="1701"/>
      <c r="H6" s="894" t="str">
        <f>IF(Indice_index!$Z$1=1,"Grau de Execução (%)","Execution Degree (%)")</f>
        <v>Grau de Execução (%)</v>
      </c>
      <c r="I6" s="1687" t="str">
        <f>IF(Indice_index!$Z$1=1,"Variação Homóloga Acumulada","YOY Change Rate")</f>
        <v>Variação Homóloga Acumulada</v>
      </c>
      <c r="J6" s="1688"/>
      <c r="K6" s="96"/>
      <c r="M6" s="82"/>
      <c r="N6" s="82"/>
      <c r="O6" s="83"/>
      <c r="P6" s="84"/>
      <c r="Q6" s="56"/>
      <c r="R6" s="56"/>
      <c r="S6" s="84"/>
      <c r="T6" s="84"/>
      <c r="U6" s="1702"/>
      <c r="V6" s="1702"/>
      <c r="W6" s="85"/>
    </row>
    <row r="7" spans="2:23" ht="30.75" customHeight="1">
      <c r="C7" s="890"/>
      <c r="D7" s="739" t="s">
        <v>67</v>
      </c>
      <c r="E7" s="739" t="s">
        <v>74</v>
      </c>
      <c r="F7" s="740" t="s">
        <v>67</v>
      </c>
      <c r="G7" s="740" t="s">
        <v>74</v>
      </c>
      <c r="H7" s="742" t="s">
        <v>74</v>
      </c>
      <c r="I7" s="742" t="str">
        <f>IF(Indice_index!$Z$1=1,"Relativa (%)","Relative change (%)")</f>
        <v>Relativa (%)</v>
      </c>
      <c r="J7" s="743" t="str">
        <f>IF(Indice_index!$Z$1=1,"Contributo VHA (p.p.)","YOY Change Rate Contrib. (p.p.)")</f>
        <v>Contributo VHA (p.p.)</v>
      </c>
      <c r="K7" s="96"/>
      <c r="M7" s="82"/>
      <c r="N7" s="82"/>
      <c r="O7" s="83"/>
      <c r="P7" s="84"/>
      <c r="Q7" s="56"/>
      <c r="R7" s="56"/>
      <c r="S7" s="84"/>
      <c r="T7" s="84"/>
      <c r="U7" s="228"/>
      <c r="V7" s="228"/>
      <c r="W7" s="85"/>
    </row>
    <row r="8" spans="2:23" s="86" customFormat="1" ht="4.5" customHeight="1">
      <c r="C8" s="895"/>
      <c r="D8" s="895"/>
      <c r="E8" s="895"/>
      <c r="F8" s="111"/>
      <c r="G8" s="111"/>
      <c r="H8" s="111"/>
      <c r="I8" s="111"/>
      <c r="J8" s="111"/>
      <c r="K8" s="96"/>
      <c r="L8" s="87"/>
    </row>
    <row r="9" spans="2:23" s="271" customFormat="1" ht="15" customHeight="1">
      <c r="C9" s="896" t="str">
        <f>IF(Indice_index!$Z$1=1,"Receita corrente","Current revenue")</f>
        <v>Receita corrente</v>
      </c>
      <c r="D9" s="896">
        <f>SUM(D10:D21)-D10-D15</f>
        <v>33002.916678409994</v>
      </c>
      <c r="E9" s="896">
        <f>SUM(E10:E21)-E10-E15</f>
        <v>35774.327892000001</v>
      </c>
      <c r="F9" s="897">
        <f>SUM(F10:F21)-F10-F15</f>
        <v>23581.2531332</v>
      </c>
      <c r="G9" s="897">
        <f>SUM(G10:G21)-G10-G15</f>
        <v>24556.788585179998</v>
      </c>
      <c r="H9" s="281">
        <f>IFERROR(IF(G9/E9*100&lt;-500,"-",IF(G9/E9*100&gt;500,"-",G9/E9*100)),"-")</f>
        <v>68.643605714452818</v>
      </c>
      <c r="I9" s="281">
        <f>IF(IFERROR((G9-F9)/F9*100,"")&gt;500,"-",IFERROR((G9-F9)/F9*100,""))</f>
        <v>4.1369109880193093</v>
      </c>
      <c r="J9" s="278">
        <f t="shared" ref="J9:J18" si="0">IFERROR((G9-F9)/$F$32*100,"-")</f>
        <v>3.7976941983596841</v>
      </c>
      <c r="K9" s="518"/>
      <c r="L9" s="282"/>
      <c r="M9" s="282"/>
      <c r="N9" s="283"/>
      <c r="O9" s="283"/>
      <c r="P9" s="283"/>
    </row>
    <row r="10" spans="2:23" ht="15" customHeight="1">
      <c r="C10" s="898" t="str">
        <f>IF(Indice_index!$Z$1=1,"Receita Fiscal","Tax")</f>
        <v>Receita Fiscal</v>
      </c>
      <c r="D10" s="220">
        <f>D11+D12</f>
        <v>567.70099941000012</v>
      </c>
      <c r="E10" s="220">
        <f>E11+E12</f>
        <v>636.04550600000005</v>
      </c>
      <c r="F10" s="113">
        <f>F11+F12</f>
        <v>410.75917637000003</v>
      </c>
      <c r="G10" s="113">
        <f>G11+G12</f>
        <v>464.14000428000003</v>
      </c>
      <c r="H10" s="221">
        <f>IFERROR(IF(G10/E10*100&lt;-500,"-",IF(G10/E10*100&gt;500,"-",G10/E10*100)),"-")</f>
        <v>72.972766869922665</v>
      </c>
      <c r="I10" s="221">
        <f t="shared" ref="I10:I28" si="1">IF(IFERROR((G10-F10)/F10*100,"")&gt;500,"-",IFERROR((G10-F10)/F10*100,""))</f>
        <v>12.995650731833214</v>
      </c>
      <c r="J10" s="221">
        <f t="shared" si="0"/>
        <v>0.20780798898285469</v>
      </c>
      <c r="K10" s="329"/>
      <c r="L10" s="88"/>
      <c r="N10" s="89"/>
      <c r="O10" s="89"/>
      <c r="P10" s="89"/>
      <c r="Q10" s="53"/>
    </row>
    <row r="11" spans="2:23" ht="15" customHeight="1">
      <c r="C11" s="786" t="str">
        <f>IF(Indice_index!$Z$1=1,"Impostos diretos","Direct taxes")</f>
        <v>Impostos diretos</v>
      </c>
      <c r="D11" s="220">
        <v>1.5595100000000001E-3</v>
      </c>
      <c r="E11" s="220">
        <v>0</v>
      </c>
      <c r="F11" s="222">
        <v>1.5595100000000001E-3</v>
      </c>
      <c r="G11" s="222">
        <v>0</v>
      </c>
      <c r="H11" s="221" t="str">
        <f t="shared" ref="H11:H20" si="2">IFERROR(IF(G11/E11*100&lt;-500,"-",IF(G11/E11*100&gt;500,"-",G11/E11*100)),"-")</f>
        <v>-</v>
      </c>
      <c r="I11" s="221">
        <f t="shared" si="1"/>
        <v>-100</v>
      </c>
      <c r="J11" s="221">
        <f t="shared" si="0"/>
        <v>-6.0710680142512567E-6</v>
      </c>
      <c r="K11" s="329"/>
      <c r="L11" s="88"/>
      <c r="M11" s="89"/>
      <c r="N11" s="89"/>
      <c r="O11" s="89"/>
      <c r="P11" s="89"/>
      <c r="Q11" s="53"/>
    </row>
    <row r="12" spans="2:23" ht="15" customHeight="1">
      <c r="C12" s="786" t="str">
        <f>IF(Indice_index!$Z$1=1,"Impostos indiretos","Indirect taxes")</f>
        <v>Impostos indiretos</v>
      </c>
      <c r="D12" s="220">
        <v>567.69943990000013</v>
      </c>
      <c r="E12" s="220">
        <v>636.04550600000005</v>
      </c>
      <c r="F12" s="222">
        <v>410.75761686000004</v>
      </c>
      <c r="G12" s="222">
        <v>464.14000428000003</v>
      </c>
      <c r="H12" s="221">
        <f t="shared" si="2"/>
        <v>72.972766869922665</v>
      </c>
      <c r="I12" s="221">
        <f t="shared" si="1"/>
        <v>12.996079738722043</v>
      </c>
      <c r="J12" s="221">
        <f t="shared" si="0"/>
        <v>0.20781406005086889</v>
      </c>
      <c r="K12" s="329"/>
      <c r="L12" s="88"/>
      <c r="M12" s="89"/>
      <c r="N12" s="89"/>
      <c r="O12" s="89"/>
      <c r="P12" s="89"/>
      <c r="Q12" s="53"/>
    </row>
    <row r="13" spans="2:23" ht="15" customHeight="1">
      <c r="C13" s="898" t="str">
        <f>IF(Indice_index!$Z$1=1,"Contribuições para Segurança Social, CGA e ADSE","Social security, CGA and ADSE contributions")</f>
        <v>Contribuições para Segurança Social, CGA e ADSE</v>
      </c>
      <c r="D13" s="220">
        <v>4185.2423433499998</v>
      </c>
      <c r="E13" s="220">
        <v>4120.2334600000004</v>
      </c>
      <c r="F13" s="222">
        <v>2965.5383299300001</v>
      </c>
      <c r="G13" s="222">
        <v>2889.12283192</v>
      </c>
      <c r="H13" s="221">
        <f t="shared" si="2"/>
        <v>70.120367206570862</v>
      </c>
      <c r="I13" s="221">
        <f t="shared" si="1"/>
        <v>-2.576783352916701</v>
      </c>
      <c r="J13" s="221">
        <f t="shared" si="0"/>
        <v>-0.29748041741418307</v>
      </c>
      <c r="K13" s="329"/>
      <c r="L13" s="88"/>
      <c r="M13" s="89"/>
      <c r="N13" s="89"/>
      <c r="O13" s="89"/>
      <c r="P13" s="89"/>
      <c r="Q13" s="53"/>
    </row>
    <row r="14" spans="2:23" ht="15" customHeight="1">
      <c r="C14" s="898" t="str">
        <f>IF(Indice_index!$Z$1=1,"Taxas, Multas e Outras Penalidades","Taxes, fines and other penalties")</f>
        <v>Taxas, Multas e Outras Penalidades</v>
      </c>
      <c r="D14" s="220">
        <v>2476.7495912099989</v>
      </c>
      <c r="E14" s="220">
        <v>2259.533868</v>
      </c>
      <c r="F14" s="222">
        <v>1458.9195281500006</v>
      </c>
      <c r="G14" s="222">
        <v>1619.1644971700002</v>
      </c>
      <c r="H14" s="221">
        <f t="shared" si="2"/>
        <v>71.659226714896946</v>
      </c>
      <c r="I14" s="221">
        <f t="shared" si="1"/>
        <v>10.983811370542149</v>
      </c>
      <c r="J14" s="221">
        <f t="shared" si="0"/>
        <v>0.62382293532071187</v>
      </c>
      <c r="K14" s="329"/>
      <c r="L14" s="88"/>
      <c r="M14" s="89"/>
      <c r="N14" s="89"/>
      <c r="O14" s="89"/>
      <c r="P14" s="89"/>
      <c r="Q14" s="53"/>
    </row>
    <row r="15" spans="2:23" ht="15" customHeight="1">
      <c r="C15" s="898" t="str">
        <f>IF(Indice_index!$Z$1=1,"Transferências Correntes","Current transfers")</f>
        <v>Transferências Correntes</v>
      </c>
      <c r="D15" s="220">
        <f>SUM(D16:D19)</f>
        <v>22582.773708600002</v>
      </c>
      <c r="E15" s="220">
        <f>SUM(E16:E19)</f>
        <v>24412.603299999999</v>
      </c>
      <c r="F15" s="220">
        <f>SUM(F16:F19)</f>
        <v>16561.300449699993</v>
      </c>
      <c r="G15" s="220">
        <f>SUM(G16:G19)</f>
        <v>17001.284465289998</v>
      </c>
      <c r="H15" s="221">
        <f t="shared" si="2"/>
        <v>69.641423556372615</v>
      </c>
      <c r="I15" s="221">
        <f t="shared" si="1"/>
        <v>2.6566996772163254</v>
      </c>
      <c r="J15" s="221">
        <f t="shared" si="0"/>
        <v>1.7128283139129015</v>
      </c>
      <c r="K15" s="329"/>
      <c r="L15" s="90"/>
      <c r="M15" s="91"/>
      <c r="N15" s="89"/>
      <c r="O15" s="89"/>
      <c r="P15" s="89"/>
      <c r="Q15" s="53"/>
    </row>
    <row r="16" spans="2:23" ht="15" customHeight="1">
      <c r="C16" s="786" t="str">
        <f>IF(Indice_index!$Z$1=1,"Administração Central","Central Administration")</f>
        <v>Administração Central</v>
      </c>
      <c r="D16" s="220">
        <v>19688.556962950002</v>
      </c>
      <c r="E16" s="220">
        <v>20380.660312</v>
      </c>
      <c r="F16" s="113">
        <v>14475.027022889994</v>
      </c>
      <c r="G16" s="113">
        <v>15190.145778259997</v>
      </c>
      <c r="H16" s="221">
        <f t="shared" si="2"/>
        <v>74.532157180972874</v>
      </c>
      <c r="I16" s="221">
        <f t="shared" si="1"/>
        <v>4.9403621439818748</v>
      </c>
      <c r="J16" s="221">
        <f t="shared" si="0"/>
        <v>2.7839094344492814</v>
      </c>
      <c r="K16" s="329"/>
      <c r="L16" s="90"/>
      <c r="M16" s="89"/>
      <c r="N16" s="89"/>
      <c r="O16" s="89"/>
      <c r="P16" s="89"/>
      <c r="Q16" s="53"/>
    </row>
    <row r="17" spans="3:17" ht="15" customHeight="1">
      <c r="C17" s="899" t="str">
        <f>IF(Indice_index!$Z$1=1,"Outros subsectores das AP","Other General Government subsectors")</f>
        <v>Outros subsectores das AP</v>
      </c>
      <c r="D17" s="220">
        <v>1953.2891190800001</v>
      </c>
      <c r="E17" s="220">
        <v>1654.644951</v>
      </c>
      <c r="F17" s="222">
        <v>1340.3043626300002</v>
      </c>
      <c r="G17" s="222">
        <v>1182.1853826300003</v>
      </c>
      <c r="H17" s="221">
        <f t="shared" si="2"/>
        <v>71.446468435148915</v>
      </c>
      <c r="I17" s="221">
        <f t="shared" si="1"/>
        <v>-11.79724429828255</v>
      </c>
      <c r="J17" s="221">
        <f t="shared" si="0"/>
        <v>-0.61554660240975301</v>
      </c>
      <c r="K17" s="329"/>
      <c r="L17" s="90"/>
      <c r="M17" s="89"/>
      <c r="N17" s="89"/>
      <c r="O17" s="89"/>
      <c r="P17" s="89"/>
      <c r="Q17" s="53"/>
    </row>
    <row r="18" spans="3:17" ht="15" customHeight="1">
      <c r="C18" s="899" t="str">
        <f>IF(Indice_index!$Z$1=1,"União Europeia","European Union")</f>
        <v>União Europeia</v>
      </c>
      <c r="D18" s="220">
        <v>866.98542303000022</v>
      </c>
      <c r="E18" s="220">
        <v>2278.9706780000001</v>
      </c>
      <c r="F18" s="222">
        <v>700.68738530999997</v>
      </c>
      <c r="G18" s="222">
        <v>571.09295212000018</v>
      </c>
      <c r="H18" s="221">
        <f t="shared" si="2"/>
        <v>25.059249670609411</v>
      </c>
      <c r="I18" s="221">
        <f t="shared" si="1"/>
        <v>-18.495328431332368</v>
      </c>
      <c r="J18" s="221">
        <f t="shared" si="0"/>
        <v>-0.50450245151671302</v>
      </c>
      <c r="K18" s="329"/>
      <c r="L18" s="90"/>
      <c r="M18" s="89"/>
      <c r="N18" s="89"/>
      <c r="O18" s="89"/>
      <c r="P18" s="89"/>
      <c r="Q18" s="53"/>
    </row>
    <row r="19" spans="3:17" ht="15" customHeight="1">
      <c r="C19" s="899" t="str">
        <f>IF(Indice_index!$Z$1=1,"Outras transferências","Other transfers")</f>
        <v>Outras transferências</v>
      </c>
      <c r="D19" s="900">
        <v>73.942203540000037</v>
      </c>
      <c r="E19" s="900">
        <v>98.327358999999888</v>
      </c>
      <c r="F19" s="222">
        <v>45.281678870000178</v>
      </c>
      <c r="G19" s="222">
        <v>57.860352279999915</v>
      </c>
      <c r="H19" s="221">
        <f t="shared" si="2"/>
        <v>58.844611376168444</v>
      </c>
      <c r="I19" s="221">
        <f t="shared" si="1"/>
        <v>27.778725797937025</v>
      </c>
      <c r="J19" s="221">
        <f>IFERROR((G19-F19)/$F$32*100,"-")</f>
        <v>4.8967933390079051E-2</v>
      </c>
      <c r="K19" s="329"/>
      <c r="L19" s="90"/>
      <c r="M19" s="89"/>
      <c r="N19" s="89"/>
      <c r="O19" s="89"/>
      <c r="P19" s="89"/>
      <c r="Q19" s="53"/>
    </row>
    <row r="20" spans="3:17" ht="15" customHeight="1">
      <c r="C20" s="898" t="str">
        <f>IF(Indice_index!$Z$1=1,"Outras Receitas Correntes","Other current revenue")</f>
        <v>Outras Receitas Correntes</v>
      </c>
      <c r="D20" s="220">
        <v>3150.4906862000016</v>
      </c>
      <c r="E20" s="220">
        <v>4338.4852229999997</v>
      </c>
      <c r="F20" s="222">
        <v>2184.7175573500008</v>
      </c>
      <c r="G20" s="222">
        <v>2570.7960841500021</v>
      </c>
      <c r="H20" s="221">
        <f t="shared" si="2"/>
        <v>59.25561462146306</v>
      </c>
      <c r="I20" s="221">
        <f t="shared" si="1"/>
        <v>17.671782125846207</v>
      </c>
      <c r="J20" s="221">
        <f>IFERROR((G20-F20)/$F$32*100,"-")</f>
        <v>1.5029778552524411</v>
      </c>
      <c r="K20" s="329"/>
      <c r="L20" s="90"/>
      <c r="M20" s="89"/>
      <c r="N20" s="89"/>
      <c r="O20" s="89"/>
      <c r="P20" s="89"/>
      <c r="Q20" s="53"/>
    </row>
    <row r="21" spans="3:17" ht="15" customHeight="1">
      <c r="C21" s="777" t="str">
        <f>IF(Indice_index!$Z$1=1,"Diferenças de consolidação","Consolidation differences")</f>
        <v>Diferenças de consolidação</v>
      </c>
      <c r="D21" s="220">
        <v>39.959349639997612</v>
      </c>
      <c r="E21" s="220">
        <v>7.4265349999996033</v>
      </c>
      <c r="F21" s="222">
        <v>1.8091699999999971E-2</v>
      </c>
      <c r="G21" s="222">
        <v>12.280702370000419</v>
      </c>
      <c r="H21" s="221"/>
      <c r="I21" s="221"/>
      <c r="J21" s="221"/>
      <c r="K21" s="329"/>
      <c r="L21" s="90"/>
      <c r="M21" s="88"/>
      <c r="N21" s="89"/>
      <c r="O21" s="89"/>
      <c r="P21" s="89"/>
      <c r="Q21" s="53"/>
    </row>
    <row r="22" spans="3:17" s="271" customFormat="1" ht="15" customHeight="1">
      <c r="C22" s="896" t="str">
        <f>IF(Indice_index!$Z$1=1,"Receita de capital","Capital revenue")</f>
        <v>Receita de capital</v>
      </c>
      <c r="D22" s="284">
        <f>SUM(D23:D30)-D24</f>
        <v>3034.4154667399998</v>
      </c>
      <c r="E22" s="284">
        <f>SUM(E23:E30)-E24</f>
        <v>4634.738566</v>
      </c>
      <c r="F22" s="284">
        <f>SUM(F23:F30)-F24</f>
        <v>2106.3194049300005</v>
      </c>
      <c r="G22" s="284">
        <f>SUM(G23:G30)-G24</f>
        <v>1879.8041995199992</v>
      </c>
      <c r="H22" s="284">
        <f t="shared" ref="H22:H29" si="3">IFERROR(IF(G22/E22*100&lt;-500,"-",IF(G22/E22*100&gt;500,"-",G22/E22*100)),"-")</f>
        <v>40.559012612061089</v>
      </c>
      <c r="I22" s="284">
        <f t="shared" si="1"/>
        <v>-10.754076750174985</v>
      </c>
      <c r="J22" s="284">
        <f t="shared" ref="J22:J29" si="4">IFERROR((G22-F22)/$F$32*100,"-")</f>
        <v>-0.88180852851614411</v>
      </c>
      <c r="K22" s="518"/>
      <c r="L22" s="282"/>
      <c r="M22" s="282"/>
      <c r="N22" s="283"/>
      <c r="O22" s="283"/>
      <c r="P22" s="283"/>
    </row>
    <row r="23" spans="3:17" ht="15" customHeight="1">
      <c r="C23" s="898" t="str">
        <f>IF(Indice_index!$Z$1=1,"Venda de bens de investimento","Sale of investment goods")</f>
        <v>Venda de bens de investimento</v>
      </c>
      <c r="D23" s="222">
        <v>117.54567847</v>
      </c>
      <c r="E23" s="222">
        <v>128.73524900000001</v>
      </c>
      <c r="F23" s="222">
        <v>60.404606969999996</v>
      </c>
      <c r="G23" s="222">
        <v>65.747485460000007</v>
      </c>
      <c r="H23" s="222">
        <f t="shared" si="3"/>
        <v>51.071859471837435</v>
      </c>
      <c r="I23" s="222">
        <f t="shared" si="1"/>
        <v>8.8451506565609428</v>
      </c>
      <c r="J23" s="222">
        <f t="shared" si="4"/>
        <v>2.0799468233400311E-2</v>
      </c>
      <c r="K23" s="329"/>
      <c r="L23" s="88"/>
      <c r="M23" s="91"/>
      <c r="N23" s="89"/>
      <c r="O23" s="89"/>
      <c r="P23" s="89"/>
      <c r="Q23" s="53"/>
    </row>
    <row r="24" spans="3:17" ht="15" customHeight="1">
      <c r="C24" s="898" t="str">
        <f>IF(Indice_index!$Z$1=1,"Transferências de capital","Capital transfers")</f>
        <v>Transferências de capital</v>
      </c>
      <c r="D24" s="222">
        <f>SUM(D25:D28)</f>
        <v>2891.6004543500003</v>
      </c>
      <c r="E24" s="222">
        <f>SUM(E25:E28)</f>
        <v>4468.6257059999989</v>
      </c>
      <c r="F24" s="222">
        <f>SUM(F25:F28)</f>
        <v>2032.7370642500005</v>
      </c>
      <c r="G24" s="222">
        <f>SUM(G25:G28)</f>
        <v>1793.2149743199998</v>
      </c>
      <c r="H24" s="222">
        <f t="shared" si="3"/>
        <v>40.129003687023058</v>
      </c>
      <c r="I24" s="222">
        <f t="shared" si="1"/>
        <v>-11.783230312592094</v>
      </c>
      <c r="J24" s="222">
        <f t="shared" si="4"/>
        <v>-0.93244345908691828</v>
      </c>
      <c r="K24" s="329"/>
      <c r="L24" s="88"/>
      <c r="M24" s="91"/>
      <c r="N24" s="89"/>
      <c r="O24" s="89"/>
      <c r="P24" s="89"/>
      <c r="Q24" s="53"/>
    </row>
    <row r="25" spans="3:17" ht="15" customHeight="1">
      <c r="C25" s="786" t="str">
        <f>IF(Indice_index!$Z$1=1,"Administração Central","Central Administration")</f>
        <v>Administração Central</v>
      </c>
      <c r="D25" s="222">
        <v>1898.9395623700002</v>
      </c>
      <c r="E25" s="222">
        <v>1470.751487</v>
      </c>
      <c r="F25" s="222">
        <v>1342.6354648000001</v>
      </c>
      <c r="G25" s="222">
        <v>920.67006895999987</v>
      </c>
      <c r="H25" s="222">
        <f t="shared" si="3"/>
        <v>62.598615544354018</v>
      </c>
      <c r="I25" s="222">
        <f t="shared" si="1"/>
        <v>-31.428143148509523</v>
      </c>
      <c r="J25" s="222">
        <f t="shared" si="4"/>
        <v>-1.642683033648451</v>
      </c>
      <c r="K25" s="329"/>
      <c r="L25" s="88"/>
      <c r="M25" s="89"/>
      <c r="N25" s="89"/>
      <c r="O25" s="89"/>
      <c r="P25" s="89"/>
      <c r="Q25" s="53"/>
    </row>
    <row r="26" spans="3:17" ht="15" customHeight="1">
      <c r="C26" s="786" t="str">
        <f>IF(Indice_index!$Z$1=1,"Outros subsectores das AP","Other General Government subsectors")</f>
        <v>Outros subsectores das AP</v>
      </c>
      <c r="D26" s="222">
        <v>10.450267329999999</v>
      </c>
      <c r="E26" s="222">
        <v>35.408985000000001</v>
      </c>
      <c r="F26" s="222">
        <v>7.0338954300000003</v>
      </c>
      <c r="G26" s="222">
        <v>8.6352345899999996</v>
      </c>
      <c r="H26" s="222">
        <f t="shared" si="3"/>
        <v>24.387128267020362</v>
      </c>
      <c r="I26" s="222">
        <f t="shared" si="1"/>
        <v>22.766035917596792</v>
      </c>
      <c r="J26" s="222">
        <f t="shared" si="4"/>
        <v>6.2339061334931939E-3</v>
      </c>
      <c r="K26" s="329"/>
      <c r="L26" s="88"/>
      <c r="M26" s="92"/>
      <c r="N26" s="92"/>
      <c r="O26" s="89"/>
      <c r="P26" s="89"/>
      <c r="Q26" s="53"/>
    </row>
    <row r="27" spans="3:17" ht="15" customHeight="1">
      <c r="C27" s="786" t="str">
        <f>IF(Indice_index!$Z$1=1,"União Europeia","European Union")</f>
        <v>União Europeia</v>
      </c>
      <c r="D27" s="222">
        <v>765.82299568000008</v>
      </c>
      <c r="E27" s="222">
        <v>2726.0498779999998</v>
      </c>
      <c r="F27" s="222">
        <v>467.48820233000004</v>
      </c>
      <c r="G27" s="222">
        <v>615.61356777000003</v>
      </c>
      <c r="H27" s="222">
        <f t="shared" si="3"/>
        <v>22.582623037757934</v>
      </c>
      <c r="I27" s="222">
        <f t="shared" si="1"/>
        <v>31.685369748740367</v>
      </c>
      <c r="J27" s="222">
        <f t="shared" si="4"/>
        <v>0.57664213004216869</v>
      </c>
      <c r="K27" s="329"/>
      <c r="L27" s="88"/>
      <c r="M27" s="93"/>
      <c r="N27" s="89"/>
      <c r="O27" s="89"/>
      <c r="P27" s="89"/>
      <c r="Q27" s="53"/>
    </row>
    <row r="28" spans="3:17" ht="15" customHeight="1">
      <c r="C28" s="786" t="str">
        <f>IF(Indice_index!$Z$1=1,"Outras transferências","Other transfers")</f>
        <v>Outras transferências</v>
      </c>
      <c r="D28" s="222">
        <v>216.38762896999992</v>
      </c>
      <c r="E28" s="222">
        <v>236.41535599999997</v>
      </c>
      <c r="F28" s="222">
        <v>215.57950169000003</v>
      </c>
      <c r="G28" s="222">
        <v>248.2961029999999</v>
      </c>
      <c r="H28" s="222">
        <f t="shared" si="3"/>
        <v>105.02537026401954</v>
      </c>
      <c r="I28" s="222">
        <f t="shared" si="1"/>
        <v>15.176118811632582</v>
      </c>
      <c r="J28" s="222">
        <f t="shared" si="4"/>
        <v>0.12736353838587183</v>
      </c>
      <c r="K28" s="329"/>
      <c r="L28" s="88"/>
      <c r="M28" s="89"/>
      <c r="N28" s="89"/>
      <c r="O28" s="89"/>
      <c r="P28" s="89"/>
      <c r="Q28" s="53"/>
    </row>
    <row r="29" spans="3:17" ht="15" customHeight="1">
      <c r="C29" s="898" t="str">
        <f>IF(Indice_index!$Z$1=1,"Outras Receitas de Capital","Other capital revenue")</f>
        <v>Outras Receitas de Capital</v>
      </c>
      <c r="D29" s="222">
        <v>25.269333919999998</v>
      </c>
      <c r="E29" s="222">
        <v>37.377611000000002</v>
      </c>
      <c r="F29" s="222">
        <v>13.177733709999996</v>
      </c>
      <c r="G29" s="222">
        <v>20.841739740000001</v>
      </c>
      <c r="H29" s="222">
        <f t="shared" si="3"/>
        <v>55.759956782684696</v>
      </c>
      <c r="I29" s="222">
        <f>IF(IFERROR((G29-F29)/F29*100,"")&gt;500,"-",IFERROR((G29-F29)/F29*100,""))</f>
        <v>58.158756267658759</v>
      </c>
      <c r="J29" s="222">
        <f t="shared" si="4"/>
        <v>2.9835462337376342E-2</v>
      </c>
      <c r="K29" s="329"/>
      <c r="L29" s="88"/>
      <c r="M29" s="89"/>
      <c r="N29" s="89"/>
      <c r="O29" s="89"/>
      <c r="P29" s="89"/>
      <c r="Q29" s="53"/>
    </row>
    <row r="30" spans="3:17" ht="15" customHeight="1">
      <c r="C30" s="777" t="str">
        <f>IF(Indice_index!$Z$1=1,"Diferenças de consolidação","Consolidation differences")</f>
        <v>Diferenças de consolidação</v>
      </c>
      <c r="D30" s="222">
        <v>0</v>
      </c>
      <c r="E30" s="222">
        <v>0</v>
      </c>
      <c r="F30" s="222">
        <v>0</v>
      </c>
      <c r="G30" s="222">
        <v>0</v>
      </c>
      <c r="H30" s="222"/>
      <c r="I30" s="222"/>
      <c r="J30" s="222"/>
      <c r="K30" s="329"/>
      <c r="L30" s="88"/>
      <c r="M30" s="88"/>
      <c r="N30" s="89"/>
      <c r="O30" s="89"/>
      <c r="P30" s="89"/>
      <c r="Q30" s="53"/>
    </row>
    <row r="31" spans="3:17" ht="4.5" customHeight="1">
      <c r="C31" s="786"/>
      <c r="D31" s="786"/>
      <c r="E31" s="786"/>
      <c r="F31" s="223"/>
      <c r="G31" s="223"/>
      <c r="H31" s="223"/>
      <c r="I31" s="223"/>
      <c r="J31" s="223"/>
      <c r="K31" s="329"/>
      <c r="L31" s="88"/>
      <c r="M31" s="94"/>
      <c r="N31" s="89"/>
      <c r="O31" s="89"/>
      <c r="P31" s="89"/>
      <c r="Q31" s="53"/>
    </row>
    <row r="32" spans="3:17" s="271" customFormat="1" ht="15" customHeight="1">
      <c r="C32" s="901" t="str">
        <f>IF(Indice_index!$Z$1=1,"Receita efetiva","Effective revenue")</f>
        <v>Receita efetiva</v>
      </c>
      <c r="D32" s="901">
        <f>D9+D22</f>
        <v>36037.332145149994</v>
      </c>
      <c r="E32" s="901">
        <f>E9+E22</f>
        <v>40409.066458000001</v>
      </c>
      <c r="F32" s="902">
        <f>F9+F22</f>
        <v>25687.57253813</v>
      </c>
      <c r="G32" s="902">
        <f>G9+G22</f>
        <v>26436.592784699998</v>
      </c>
      <c r="H32" s="902">
        <f>IFERROR(IF(G32/E32*100&lt;-500,"-",IF(G32/E32*100&gt;500,"-",G32/E32*100)),"-")</f>
        <v>65.422428929847754</v>
      </c>
      <c r="I32" s="902">
        <f t="shared" ref="I32" si="5">IFERROR(IF(F32=0,"-",(G32-F32)/F32*100),"-")</f>
        <v>2.9158856698435454</v>
      </c>
      <c r="J32" s="902"/>
      <c r="K32" s="518"/>
      <c r="L32" s="282"/>
      <c r="M32" s="285"/>
      <c r="N32" s="283"/>
      <c r="O32" s="283"/>
      <c r="P32" s="283"/>
    </row>
    <row r="33" spans="3:17" ht="4.5" customHeight="1">
      <c r="C33" s="786"/>
      <c r="D33" s="786"/>
      <c r="E33" s="786"/>
      <c r="F33" s="787"/>
      <c r="G33" s="787"/>
      <c r="H33" s="787"/>
      <c r="I33" s="787"/>
      <c r="J33" s="903"/>
      <c r="K33" s="329"/>
      <c r="L33" s="88"/>
      <c r="M33" s="89"/>
      <c r="N33" s="89"/>
      <c r="O33" s="89"/>
      <c r="P33" s="89"/>
      <c r="Q33" s="53"/>
    </row>
    <row r="34" spans="3:17" s="271" customFormat="1" ht="15" customHeight="1">
      <c r="C34" s="896" t="str">
        <f>IF(Indice_index!$Z$1=1,"Despesa corrente","Current Expenditure")</f>
        <v>Despesa corrente</v>
      </c>
      <c r="D34" s="896">
        <f>SUM(D35:D48)-D35-D41</f>
        <v>32992.402133680058</v>
      </c>
      <c r="E34" s="896">
        <f>SUM(E35:E48)-E35-E41</f>
        <v>34862.401181999994</v>
      </c>
      <c r="F34" s="281">
        <f>SUM(F35:F48)-F35-F41</f>
        <v>22261.82704104999</v>
      </c>
      <c r="G34" s="281">
        <f>SUM(G35:G48)-G35-G41</f>
        <v>22848.743789630018</v>
      </c>
      <c r="H34" s="281">
        <f t="shared" ref="H34:H47" si="6">IFERROR(IF(G34/E34*100&lt;-500,"-",IF(G34/E34*100&gt;500,"-",G34/E34*100)),"-")</f>
        <v>65.539787894550372</v>
      </c>
      <c r="I34" s="281">
        <f t="shared" ref="I34:I56" si="7">IF(IFERROR((G34-F34)/F34*100,"")&gt;500,"-",IFERROR((G34-F34)/F34*100,""))</f>
        <v>2.6364266845563717</v>
      </c>
      <c r="J34" s="281">
        <f>IFERROR((G34-F34)/$F$59*100,"-")</f>
        <v>2.3403449423317251</v>
      </c>
      <c r="K34" s="518"/>
      <c r="L34" s="349"/>
      <c r="M34" s="282"/>
      <c r="N34" s="283"/>
      <c r="O34" s="283"/>
      <c r="P34" s="283"/>
    </row>
    <row r="35" spans="3:17" ht="15" customHeight="1">
      <c r="C35" s="898" t="str">
        <f>IF(Indice_index!$Z$1=1,"Despesas com o pessoal","Employees")</f>
        <v>Despesas com o pessoal</v>
      </c>
      <c r="D35" s="222">
        <f t="shared" ref="D35:E35" si="8">SUM(D36:D38)</f>
        <v>8526.7632711000097</v>
      </c>
      <c r="E35" s="222">
        <f t="shared" si="8"/>
        <v>8939.8323110000001</v>
      </c>
      <c r="F35" s="222">
        <f t="shared" ref="F35:G35" si="9">SUM(F36:F38)</f>
        <v>6080.6076765899998</v>
      </c>
      <c r="G35" s="222">
        <f t="shared" si="9"/>
        <v>6229.5373203900008</v>
      </c>
      <c r="H35" s="222">
        <f t="shared" si="6"/>
        <v>69.682932561552391</v>
      </c>
      <c r="I35" s="222">
        <f t="shared" si="7"/>
        <v>2.4492559250841301</v>
      </c>
      <c r="J35" s="222">
        <f t="shared" ref="J35:J47" si="10">IFERROR((G35-F35)/$F$59*100,"-")</f>
        <v>0.59386061051054206</v>
      </c>
      <c r="K35" s="329"/>
      <c r="L35" s="350"/>
      <c r="M35" s="89"/>
      <c r="N35" s="89"/>
      <c r="O35" s="89"/>
      <c r="P35" s="89"/>
      <c r="Q35" s="53"/>
    </row>
    <row r="36" spans="3:17" ht="15" customHeight="1">
      <c r="C36" s="786" t="str">
        <f>IF(Indice_index!$Z$1=1,"Remunerações Certas e Permanentes","Certain and permanent wages")</f>
        <v>Remunerações Certas e Permanentes</v>
      </c>
      <c r="D36" s="222">
        <v>5947.1170754600089</v>
      </c>
      <c r="E36" s="222">
        <v>6322.896401</v>
      </c>
      <c r="F36" s="222">
        <v>4216.1016374499995</v>
      </c>
      <c r="G36" s="222">
        <v>4355.3968809900007</v>
      </c>
      <c r="H36" s="222">
        <f t="shared" si="6"/>
        <v>68.882939159040646</v>
      </c>
      <c r="I36" s="222">
        <f t="shared" si="7"/>
        <v>3.3038872284931506</v>
      </c>
      <c r="J36" s="222">
        <f t="shared" si="10"/>
        <v>0.5554432029728601</v>
      </c>
      <c r="K36" s="329"/>
      <c r="L36" s="350"/>
      <c r="M36" s="89"/>
      <c r="N36" s="89"/>
      <c r="O36" s="89"/>
      <c r="P36" s="89"/>
      <c r="Q36" s="53"/>
    </row>
    <row r="37" spans="3:17" ht="15" customHeight="1">
      <c r="C37" s="786" t="str">
        <f>IF(Indice_index!$Z$1=1,"Abonos Variáveis ou Eventuais","Variable or contingent bonuses")</f>
        <v>Abonos Variáveis ou Eventuais</v>
      </c>
      <c r="D37" s="222">
        <v>945.06633174000035</v>
      </c>
      <c r="E37" s="222">
        <v>913.04404199999999</v>
      </c>
      <c r="F37" s="222">
        <v>709.58615932999976</v>
      </c>
      <c r="G37" s="222">
        <v>700.28141444999949</v>
      </c>
      <c r="H37" s="222">
        <f t="shared" si="6"/>
        <v>76.697440894094299</v>
      </c>
      <c r="I37" s="222">
        <f t="shared" si="7"/>
        <v>-1.3112917660042762</v>
      </c>
      <c r="J37" s="222">
        <f t="shared" si="10"/>
        <v>-3.7102898617701274E-2</v>
      </c>
      <c r="K37" s="329"/>
      <c r="L37" s="350"/>
      <c r="M37" s="89"/>
      <c r="N37" s="89"/>
      <c r="O37" s="89"/>
      <c r="P37" s="89"/>
      <c r="Q37" s="53"/>
    </row>
    <row r="38" spans="3:17" ht="15" customHeight="1">
      <c r="C38" s="786" t="str">
        <f>IF(Indice_index!$Z$1=1,"Segurança social","Social security")</f>
        <v>Segurança social</v>
      </c>
      <c r="D38" s="222">
        <v>1634.5798639000004</v>
      </c>
      <c r="E38" s="222">
        <v>1703.8918679999999</v>
      </c>
      <c r="F38" s="222">
        <v>1154.9198798100003</v>
      </c>
      <c r="G38" s="222">
        <v>1173.8590249500005</v>
      </c>
      <c r="H38" s="222">
        <f t="shared" si="6"/>
        <v>68.892812213949753</v>
      </c>
      <c r="I38" s="222">
        <f t="shared" si="7"/>
        <v>1.6398665804519621</v>
      </c>
      <c r="J38" s="222">
        <f t="shared" si="10"/>
        <v>7.5520306155383313E-2</v>
      </c>
      <c r="K38" s="329"/>
      <c r="L38" s="350"/>
      <c r="M38" s="89"/>
      <c r="N38" s="89"/>
      <c r="O38" s="89"/>
      <c r="P38" s="89"/>
      <c r="Q38" s="53"/>
    </row>
    <row r="39" spans="3:17" ht="15" customHeight="1">
      <c r="C39" s="898" t="str">
        <f>IF(Indice_index!$Z$1=1,"Aquisição de bens e serviços","Purchase of goods and services")</f>
        <v>Aquisição de bens e serviços</v>
      </c>
      <c r="D39" s="222">
        <v>9578.1575329900443</v>
      </c>
      <c r="E39" s="222">
        <v>10487.619370999999</v>
      </c>
      <c r="F39" s="222">
        <v>6281.0314681399996</v>
      </c>
      <c r="G39" s="222">
        <v>6806.5188783000076</v>
      </c>
      <c r="H39" s="222">
        <f t="shared" si="6"/>
        <v>64.900514001501207</v>
      </c>
      <c r="I39" s="222">
        <f t="shared" si="7"/>
        <v>8.3662597906967751</v>
      </c>
      <c r="J39" s="222">
        <f t="shared" si="10"/>
        <v>2.0953939474420729</v>
      </c>
      <c r="K39" s="329"/>
      <c r="L39" s="350"/>
      <c r="M39" s="89"/>
      <c r="N39" s="89"/>
      <c r="O39" s="89"/>
      <c r="P39" s="89"/>
      <c r="Q39" s="53"/>
    </row>
    <row r="40" spans="3:17" ht="15" customHeight="1">
      <c r="C40" s="898" t="str">
        <f>IF(Indice_index!$Z$1=1,"Juros e outros encargos","Interests")</f>
        <v>Juros e outros encargos</v>
      </c>
      <c r="D40" s="222">
        <v>632.00897064999992</v>
      </c>
      <c r="E40" s="222">
        <v>509.19108900000003</v>
      </c>
      <c r="F40" s="222">
        <v>325.30220679000007</v>
      </c>
      <c r="G40" s="222">
        <v>149.25097286999991</v>
      </c>
      <c r="H40" s="222">
        <f t="shared" si="6"/>
        <v>29.311387432783594</v>
      </c>
      <c r="I40" s="222">
        <f t="shared" si="7"/>
        <v>-54.119286695663462</v>
      </c>
      <c r="J40" s="222">
        <f t="shared" si="10"/>
        <v>-0.70200861688265737</v>
      </c>
      <c r="K40" s="329"/>
      <c r="L40" s="350"/>
      <c r="M40" s="89"/>
      <c r="N40" s="89"/>
      <c r="O40" s="89"/>
      <c r="P40" s="89"/>
      <c r="Q40" s="53"/>
    </row>
    <row r="41" spans="3:17" ht="15" customHeight="1">
      <c r="C41" s="898" t="str">
        <f>IF(Indice_index!$Z$1=1,"Transferências correntes","Current transfers")</f>
        <v>Transferências correntes</v>
      </c>
      <c r="D41" s="113">
        <f>SUM(D42:D45)</f>
        <v>13047.552430199996</v>
      </c>
      <c r="E41" s="113">
        <f>SUM(E42:E45)</f>
        <v>13186.266441</v>
      </c>
      <c r="F41" s="113">
        <f>SUM(F42:F45)</f>
        <v>8751.0541415400003</v>
      </c>
      <c r="G41" s="113">
        <f>SUM(G42:G45)</f>
        <v>8987.2861872700032</v>
      </c>
      <c r="H41" s="222">
        <f t="shared" si="6"/>
        <v>68.1564127911588</v>
      </c>
      <c r="I41" s="222">
        <f t="shared" si="7"/>
        <v>2.6994695942817137</v>
      </c>
      <c r="J41" s="222">
        <f t="shared" si="10"/>
        <v>0.94198108126659508</v>
      </c>
      <c r="K41" s="329"/>
      <c r="L41" s="350"/>
      <c r="M41" s="91"/>
      <c r="N41" s="89"/>
      <c r="O41" s="89"/>
      <c r="P41" s="89"/>
      <c r="Q41" s="53"/>
    </row>
    <row r="42" spans="3:17" ht="15" customHeight="1">
      <c r="C42" s="786" t="str">
        <f>IF(Indice_index!$Z$1=1,"Administração Central","Central Administration")</f>
        <v>Administração Central</v>
      </c>
      <c r="D42" s="113">
        <v>548.32511082999997</v>
      </c>
      <c r="E42" s="113">
        <v>554.51140299999997</v>
      </c>
      <c r="F42" s="222">
        <v>334.3644584299995</v>
      </c>
      <c r="G42" s="222">
        <v>316.72189828999973</v>
      </c>
      <c r="H42" s="222">
        <f t="shared" si="6"/>
        <v>57.117292192095782</v>
      </c>
      <c r="I42" s="222">
        <f t="shared" si="7"/>
        <v>-5.2764460142803467</v>
      </c>
      <c r="J42" s="222">
        <f t="shared" si="10"/>
        <v>-7.0350141639895253E-2</v>
      </c>
      <c r="K42" s="329"/>
      <c r="L42" s="350"/>
      <c r="M42" s="89"/>
      <c r="N42" s="89"/>
      <c r="O42" s="89"/>
      <c r="P42" s="89"/>
      <c r="Q42" s="53"/>
    </row>
    <row r="43" spans="3:17" ht="15" customHeight="1">
      <c r="C43" s="786" t="str">
        <f>IF(Indice_index!$Z$1=1,"Outros subsectores das AP","Other General Government subsectors")</f>
        <v>Outros subsectores das AP</v>
      </c>
      <c r="D43" s="222">
        <v>662.19723092000027</v>
      </c>
      <c r="E43" s="222">
        <v>539.51204500000006</v>
      </c>
      <c r="F43" s="222">
        <v>441.51546768999998</v>
      </c>
      <c r="G43" s="222">
        <v>412.43467890999995</v>
      </c>
      <c r="H43" s="222">
        <f t="shared" si="6"/>
        <v>76.445870436497827</v>
      </c>
      <c r="I43" s="222">
        <f t="shared" si="7"/>
        <v>-6.5865843686406134</v>
      </c>
      <c r="J43" s="222">
        <f t="shared" si="10"/>
        <v>-0.11596035912239805</v>
      </c>
      <c r="K43" s="329"/>
      <c r="L43" s="350"/>
      <c r="M43" s="89"/>
      <c r="N43" s="89"/>
      <c r="O43" s="89"/>
      <c r="P43" s="89"/>
      <c r="Q43" s="53"/>
    </row>
    <row r="44" spans="3:17" ht="15" customHeight="1">
      <c r="C44" s="786" t="str">
        <f>IF(Indice_index!$Z$1=1,"União Europeia","European Union")</f>
        <v>União Europeia</v>
      </c>
      <c r="D44" s="222">
        <v>34.313346190000004</v>
      </c>
      <c r="E44" s="222">
        <v>26.985104</v>
      </c>
      <c r="F44" s="222">
        <v>20.241452650000003</v>
      </c>
      <c r="G44" s="222">
        <v>19.657039449999999</v>
      </c>
      <c r="H44" s="222">
        <f t="shared" si="6"/>
        <v>72.844038140449626</v>
      </c>
      <c r="I44" s="222">
        <f t="shared" si="7"/>
        <v>-2.8872097774069769</v>
      </c>
      <c r="J44" s="222">
        <f t="shared" si="10"/>
        <v>-2.3303619809128917E-3</v>
      </c>
      <c r="K44" s="329"/>
      <c r="L44" s="350"/>
      <c r="M44" s="89"/>
      <c r="N44" s="89"/>
      <c r="O44" s="89"/>
      <c r="P44" s="89"/>
      <c r="Q44" s="53"/>
    </row>
    <row r="45" spans="3:17" ht="15" customHeight="1">
      <c r="C45" s="786" t="str">
        <f>IF(Indice_index!$Z$1=1,"Outras transferências","Other transfers")</f>
        <v>Outras transferências</v>
      </c>
      <c r="D45" s="222">
        <v>11802.716742259996</v>
      </c>
      <c r="E45" s="222">
        <v>12065.257889</v>
      </c>
      <c r="F45" s="222">
        <v>7954.9327627700004</v>
      </c>
      <c r="G45" s="222">
        <v>8238.4725706200043</v>
      </c>
      <c r="H45" s="222">
        <f t="shared" si="6"/>
        <v>68.282606525394627</v>
      </c>
      <c r="I45" s="222">
        <f t="shared" si="7"/>
        <v>3.5643268938362711</v>
      </c>
      <c r="J45" s="222">
        <f t="shared" si="10"/>
        <v>1.1306219440098058</v>
      </c>
      <c r="K45" s="329"/>
      <c r="L45" s="350"/>
      <c r="M45" s="89"/>
      <c r="N45" s="89"/>
      <c r="O45" s="89"/>
      <c r="P45" s="89"/>
      <c r="Q45" s="53"/>
    </row>
    <row r="46" spans="3:17" ht="15" customHeight="1">
      <c r="C46" s="898" t="str">
        <f>IF(Indice_index!$Z$1=1,"Subsídios","Subsidies")</f>
        <v>Subsídios</v>
      </c>
      <c r="D46" s="222">
        <v>966.79276689000005</v>
      </c>
      <c r="E46" s="222">
        <v>695.52698499999997</v>
      </c>
      <c r="F46" s="222">
        <v>684.93227738999985</v>
      </c>
      <c r="G46" s="222">
        <v>509.22165537000001</v>
      </c>
      <c r="H46" s="222">
        <f t="shared" si="6"/>
        <v>73.213788444167989</v>
      </c>
      <c r="I46" s="222">
        <f t="shared" si="7"/>
        <v>-25.653721954754715</v>
      </c>
      <c r="J46" s="222">
        <f t="shared" si="10"/>
        <v>-0.70065041857021804</v>
      </c>
      <c r="K46" s="329"/>
      <c r="L46" s="350"/>
      <c r="M46" s="89"/>
      <c r="N46" s="89"/>
      <c r="O46" s="89"/>
      <c r="P46" s="89"/>
      <c r="Q46" s="53"/>
    </row>
    <row r="47" spans="3:17" ht="15" customHeight="1">
      <c r="C47" s="898" t="str">
        <f>IF(Indice_index!$Z$1=1,"Outras despesas correntes","Other current expenditure")</f>
        <v>Outras despesas correntes</v>
      </c>
      <c r="D47" s="222">
        <v>234.45030436999991</v>
      </c>
      <c r="E47" s="222">
        <v>1043.964984</v>
      </c>
      <c r="F47" s="222">
        <v>134.10577386999995</v>
      </c>
      <c r="G47" s="222">
        <v>151.8925007</v>
      </c>
      <c r="H47" s="222">
        <f t="shared" si="6"/>
        <v>14.549578101558241</v>
      </c>
      <c r="I47" s="222">
        <f t="shared" si="7"/>
        <v>13.263207330090221</v>
      </c>
      <c r="J47" s="222">
        <f t="shared" si="10"/>
        <v>7.0925009855210525E-2</v>
      </c>
      <c r="K47" s="329"/>
      <c r="L47" s="350"/>
      <c r="M47" s="89"/>
      <c r="N47" s="89"/>
      <c r="O47" s="89"/>
      <c r="P47" s="89"/>
      <c r="Q47" s="53"/>
    </row>
    <row r="48" spans="3:17" ht="15" customHeight="1">
      <c r="C48" s="777" t="str">
        <f>IF(Indice_index!$Z$1=1,"Diferenças de consolidação","Consolidation differences")</f>
        <v>Diferenças de consolidação</v>
      </c>
      <c r="D48" s="222">
        <v>6.6768574800071292</v>
      </c>
      <c r="E48" s="222">
        <v>9.999994290410541E-7</v>
      </c>
      <c r="F48" s="222">
        <v>4.7934967299990658</v>
      </c>
      <c r="G48" s="222">
        <v>15.036274730000972</v>
      </c>
      <c r="H48" s="222"/>
      <c r="I48" s="222"/>
      <c r="J48" s="222"/>
      <c r="K48" s="329"/>
      <c r="L48" s="350"/>
      <c r="M48" s="88"/>
      <c r="N48" s="89"/>
      <c r="O48" s="89"/>
      <c r="P48" s="89"/>
      <c r="Q48" s="53"/>
    </row>
    <row r="49" spans="3:17" s="271" customFormat="1" ht="15" customHeight="1">
      <c r="C49" s="896" t="str">
        <f>IF(Indice_index!$Z$1=1,"Despesa de capital","Capital expenditure")</f>
        <v>Despesa de capital</v>
      </c>
      <c r="D49" s="281">
        <f>SUM(D50:D57)-D51</f>
        <v>4196.3242257499969</v>
      </c>
      <c r="E49" s="281">
        <f>SUM(E50:E57)-E51</f>
        <v>6456.354714000001</v>
      </c>
      <c r="F49" s="281">
        <f>SUM(F50:F57)-F51</f>
        <v>2816.3884802600005</v>
      </c>
      <c r="G49" s="281">
        <f>SUM(G50:G57)-G51</f>
        <v>2600.0817295899983</v>
      </c>
      <c r="H49" s="281">
        <f t="shared" ref="H49:H56" si="11">IFERROR(IF(G49/E49*100&lt;-500,"-",IF(G49/E49*100&gt;500,"-",G49/E49*100)),"-")</f>
        <v>40.271667911181588</v>
      </c>
      <c r="I49" s="281">
        <f t="shared" si="7"/>
        <v>-7.6802881486730632</v>
      </c>
      <c r="J49" s="281">
        <f t="shared" ref="J49:J56" si="12">IFERROR((G49-F49)/$F$59*100,"-")</f>
        <v>-0.86252847809764399</v>
      </c>
      <c r="K49" s="518"/>
      <c r="L49" s="349"/>
      <c r="M49" s="282"/>
      <c r="N49" s="283"/>
      <c r="O49" s="283"/>
      <c r="P49" s="283"/>
    </row>
    <row r="50" spans="3:17" ht="15" customHeight="1">
      <c r="C50" s="898" t="str">
        <f>IF(Indice_index!$Z$1=1,"Investimento","Investment")</f>
        <v>Investimento</v>
      </c>
      <c r="D50" s="222">
        <v>2743.4523255899981</v>
      </c>
      <c r="E50" s="222">
        <v>4535.5566200000003</v>
      </c>
      <c r="F50" s="222">
        <v>1896.0942548500002</v>
      </c>
      <c r="G50" s="222">
        <v>1935.3375898599984</v>
      </c>
      <c r="H50" s="222">
        <f t="shared" si="11"/>
        <v>42.670343510340707</v>
      </c>
      <c r="I50" s="222">
        <f t="shared" si="7"/>
        <v>2.069693260744716</v>
      </c>
      <c r="J50" s="222">
        <f t="shared" si="12"/>
        <v>0.15648376168013836</v>
      </c>
      <c r="K50" s="329"/>
      <c r="L50" s="350"/>
      <c r="M50" s="89"/>
      <c r="N50" s="89"/>
      <c r="O50" s="89"/>
      <c r="P50" s="89"/>
      <c r="Q50" s="53"/>
    </row>
    <row r="51" spans="3:17" ht="15" customHeight="1">
      <c r="C51" s="898" t="str">
        <f>IF(Indice_index!$Z$1=1,"Transferências de capital","Capital transfers")</f>
        <v>Transferências de capital</v>
      </c>
      <c r="D51" s="222">
        <f>SUM(D52:D55)</f>
        <v>1285.30045563</v>
      </c>
      <c r="E51" s="222">
        <f>SUM(E52:E55)</f>
        <v>1702.7385810000001</v>
      </c>
      <c r="F51" s="222">
        <f>SUM(F52:F55)</f>
        <v>897.96388386999979</v>
      </c>
      <c r="G51" s="222">
        <f>SUM(G52:G55)</f>
        <v>537.59857483999997</v>
      </c>
      <c r="H51" s="222">
        <f t="shared" si="11"/>
        <v>31.572584355507711</v>
      </c>
      <c r="I51" s="222">
        <f t="shared" si="7"/>
        <v>-40.131381172805689</v>
      </c>
      <c r="J51" s="222">
        <f t="shared" si="12"/>
        <v>-1.436965515842954</v>
      </c>
      <c r="K51" s="329"/>
      <c r="L51" s="350"/>
      <c r="M51" s="91"/>
      <c r="N51" s="89"/>
      <c r="O51" s="89"/>
      <c r="P51" s="89"/>
      <c r="Q51" s="53"/>
    </row>
    <row r="52" spans="3:17" ht="15" customHeight="1">
      <c r="C52" s="786" t="str">
        <f>IF(Indice_index!$Z$1=1,"Administração Central","Central Administration")</f>
        <v>Administração Central</v>
      </c>
      <c r="D52" s="113">
        <v>13.090126160000001</v>
      </c>
      <c r="E52" s="113">
        <v>38.736918000000003</v>
      </c>
      <c r="F52" s="222">
        <v>9.8098380799999969</v>
      </c>
      <c r="G52" s="222">
        <v>11.87408783999995</v>
      </c>
      <c r="H52" s="222">
        <f t="shared" si="11"/>
        <v>30.653155834441836</v>
      </c>
      <c r="I52" s="222">
        <f t="shared" si="7"/>
        <v>21.042648646856705</v>
      </c>
      <c r="J52" s="222">
        <f t="shared" si="12"/>
        <v>8.23124659027623E-3</v>
      </c>
      <c r="K52" s="329"/>
      <c r="L52" s="350"/>
      <c r="M52" s="89"/>
      <c r="N52" s="89"/>
      <c r="O52" s="89"/>
      <c r="P52" s="89"/>
      <c r="Q52" s="53"/>
    </row>
    <row r="53" spans="3:17" ht="15" customHeight="1">
      <c r="C53" s="786" t="str">
        <f>IF(Indice_index!$Z$1=1,"Outros subsectores das AP","Other General Government subsectors")</f>
        <v>Outros subsectores das AP</v>
      </c>
      <c r="D53" s="222">
        <v>43.079640700000013</v>
      </c>
      <c r="E53" s="222">
        <v>171.27997500000001</v>
      </c>
      <c r="F53" s="222">
        <v>15.070056930000002</v>
      </c>
      <c r="G53" s="222">
        <v>25.009714360000004</v>
      </c>
      <c r="H53" s="222">
        <f t="shared" si="11"/>
        <v>14.60165694209145</v>
      </c>
      <c r="I53" s="222">
        <f t="shared" si="7"/>
        <v>65.956336304298219</v>
      </c>
      <c r="J53" s="222">
        <f t="shared" si="12"/>
        <v>3.9634627996373455E-2</v>
      </c>
      <c r="K53" s="329"/>
      <c r="L53" s="351"/>
      <c r="M53" s="89"/>
      <c r="N53" s="89"/>
      <c r="O53" s="89"/>
      <c r="P53" s="89"/>
      <c r="Q53" s="53"/>
    </row>
    <row r="54" spans="3:17" ht="15" customHeight="1">
      <c r="C54" s="786" t="str">
        <f>IF(Indice_index!$Z$1=1,"União Europeia","European Union")</f>
        <v>União Europeia</v>
      </c>
      <c r="D54" s="222">
        <v>140.22973721</v>
      </c>
      <c r="E54" s="222">
        <v>135.72310200000001</v>
      </c>
      <c r="F54" s="222">
        <v>140.17176920999998</v>
      </c>
      <c r="G54" s="222">
        <v>166.99289367</v>
      </c>
      <c r="H54" s="222">
        <f t="shared" si="11"/>
        <v>123.03940243717682</v>
      </c>
      <c r="I54" s="222">
        <f t="shared" si="7"/>
        <v>19.13446952347276</v>
      </c>
      <c r="J54" s="222">
        <f t="shared" si="12"/>
        <v>0.1069498921771727</v>
      </c>
      <c r="K54" s="329"/>
      <c r="L54" s="351"/>
      <c r="M54" s="89"/>
      <c r="N54" s="89"/>
      <c r="O54" s="89"/>
      <c r="P54" s="89"/>
      <c r="Q54" s="53"/>
    </row>
    <row r="55" spans="3:17" ht="15" customHeight="1">
      <c r="C55" s="786" t="str">
        <f>IF(Indice_index!$Z$1=1,"Outras transferências","Other transfers")</f>
        <v>Outras transferências</v>
      </c>
      <c r="D55" s="222">
        <v>1088.9009515600001</v>
      </c>
      <c r="E55" s="222">
        <v>1356.9985860000002</v>
      </c>
      <c r="F55" s="222">
        <v>732.91221964999988</v>
      </c>
      <c r="G55" s="222">
        <v>333.72187897000003</v>
      </c>
      <c r="H55" s="222">
        <f t="shared" si="11"/>
        <v>24.592647509951053</v>
      </c>
      <c r="I55" s="222">
        <f t="shared" si="7"/>
        <v>-54.466323521066698</v>
      </c>
      <c r="J55" s="222">
        <f t="shared" si="12"/>
        <v>-1.5917812826067763</v>
      </c>
      <c r="K55" s="329"/>
      <c r="L55" s="351"/>
      <c r="M55" s="89"/>
      <c r="N55" s="89"/>
      <c r="O55" s="89"/>
      <c r="P55" s="89"/>
      <c r="Q55" s="53"/>
    </row>
    <row r="56" spans="3:17" ht="15" customHeight="1">
      <c r="C56" s="898" t="str">
        <f>IF(Indice_index!$Z$1=1,"Outras despesas de capital","Other capital expenditure")</f>
        <v>Outras despesas de capital</v>
      </c>
      <c r="D56" s="222">
        <v>115.82734792000001</v>
      </c>
      <c r="E56" s="222">
        <v>215.53838999999999</v>
      </c>
      <c r="F56" s="222">
        <v>16.384662979999998</v>
      </c>
      <c r="G56" s="222">
        <v>87.125990540000004</v>
      </c>
      <c r="H56" s="222">
        <f t="shared" si="11"/>
        <v>40.422492967494101</v>
      </c>
      <c r="I56" s="222">
        <f t="shared" si="7"/>
        <v>431.75332715937265</v>
      </c>
      <c r="J56" s="222">
        <f t="shared" si="12"/>
        <v>0.28208278017185151</v>
      </c>
      <c r="K56" s="329"/>
      <c r="L56" s="350"/>
      <c r="M56" s="91"/>
      <c r="N56" s="89"/>
      <c r="O56" s="89"/>
      <c r="P56" s="89"/>
      <c r="Q56" s="53"/>
    </row>
    <row r="57" spans="3:17" ht="15" customHeight="1">
      <c r="C57" s="777" t="str">
        <f>IF(Indice_index!$Z$1=1,"Diferenças de consolidação","Consolidation differences")</f>
        <v>Diferenças de consolidação</v>
      </c>
      <c r="D57" s="222">
        <v>51.744096609999815</v>
      </c>
      <c r="E57" s="222">
        <v>2.5211229999999887</v>
      </c>
      <c r="F57" s="222">
        <v>5.9456785600000019</v>
      </c>
      <c r="G57" s="222">
        <v>40.019574350000056</v>
      </c>
      <c r="H57" s="222"/>
      <c r="I57" s="222"/>
      <c r="J57" s="222"/>
      <c r="K57" s="329"/>
      <c r="L57" s="350"/>
      <c r="M57" s="88"/>
      <c r="N57" s="89"/>
      <c r="O57" s="89"/>
      <c r="P57" s="89"/>
      <c r="Q57" s="53"/>
    </row>
    <row r="58" spans="3:17" ht="4.5" customHeight="1">
      <c r="C58" s="898"/>
      <c r="D58" s="898"/>
      <c r="E58" s="898"/>
      <c r="F58" s="223"/>
      <c r="G58" s="223"/>
      <c r="H58" s="223"/>
      <c r="I58" s="223"/>
      <c r="J58" s="223"/>
      <c r="K58" s="329"/>
      <c r="L58" s="89"/>
      <c r="M58" s="89"/>
      <c r="N58" s="95"/>
      <c r="O58" s="89"/>
      <c r="P58" s="89"/>
      <c r="Q58" s="53"/>
    </row>
    <row r="59" spans="3:17" s="271" customFormat="1" ht="15" customHeight="1">
      <c r="C59" s="901" t="str">
        <f>IF(Indice_index!$Z$1=1,"Despesa efetiva","Effective Expenditure")</f>
        <v>Despesa efetiva</v>
      </c>
      <c r="D59" s="901">
        <f>+D34+D49</f>
        <v>37188.726359430053</v>
      </c>
      <c r="E59" s="901">
        <f>+E34+E49</f>
        <v>41318.755895999995</v>
      </c>
      <c r="F59" s="902">
        <f>+F34+F49</f>
        <v>25078.21552130999</v>
      </c>
      <c r="G59" s="902">
        <f>+G34+G49</f>
        <v>25448.825519220016</v>
      </c>
      <c r="H59" s="902">
        <f>IFERROR(IF(G59/E59*100&lt;-500,"-",IF(G59/E59*100&gt;500,"-",G59/E59*100)),"-")</f>
        <v>61.591461231976922</v>
      </c>
      <c r="I59" s="902">
        <f t="shared" ref="I59" si="13">IFERROR(IF(F59=0,"-",(G59-F59)/F59*100),"-")</f>
        <v>1.4778164642340794</v>
      </c>
      <c r="J59" s="902"/>
      <c r="K59" s="518"/>
      <c r="L59" s="352"/>
      <c r="M59" s="282"/>
      <c r="N59" s="283"/>
      <c r="O59" s="283"/>
      <c r="P59" s="283"/>
    </row>
    <row r="60" spans="3:17" ht="4.5" customHeight="1">
      <c r="C60" s="904"/>
      <c r="D60" s="904"/>
      <c r="E60" s="904"/>
      <c r="F60" s="787"/>
      <c r="G60" s="787"/>
      <c r="H60" s="111"/>
      <c r="I60" s="111"/>
      <c r="J60" s="111"/>
      <c r="K60" s="329"/>
      <c r="L60" s="353"/>
      <c r="M60" s="89"/>
      <c r="N60" s="89"/>
      <c r="O60" s="89"/>
      <c r="P60" s="89"/>
      <c r="Q60" s="53"/>
    </row>
    <row r="61" spans="3:17" s="271" customFormat="1" ht="15" customHeight="1">
      <c r="C61" s="780" t="str">
        <f>IF(Indice_index!$Z$1=1,"Saldo global","Overall Balance")</f>
        <v>Saldo global</v>
      </c>
      <c r="D61" s="780">
        <f>+(D9+D22)-(D34+D49)</f>
        <v>-1151.3942142800588</v>
      </c>
      <c r="E61" s="780">
        <f>+(E9+E22)-(E34+E49)</f>
        <v>-909.68943799999397</v>
      </c>
      <c r="F61" s="781">
        <f>+(F9+F22)-(F34+F49)</f>
        <v>609.35701682000945</v>
      </c>
      <c r="G61" s="781">
        <f>+(G9+G22)-(G34+G49)</f>
        <v>987.7672654799826</v>
      </c>
      <c r="H61" s="781"/>
      <c r="I61" s="781"/>
      <c r="J61" s="781"/>
      <c r="K61" s="518"/>
      <c r="L61" s="352"/>
      <c r="M61" s="286"/>
      <c r="N61" s="287"/>
      <c r="O61" s="283"/>
      <c r="P61" s="283"/>
    </row>
    <row r="62" spans="3:17" ht="4.5" customHeight="1">
      <c r="C62" s="905"/>
      <c r="D62" s="905"/>
      <c r="E62" s="905"/>
      <c r="F62" s="906"/>
      <c r="G62" s="222"/>
      <c r="H62" s="224"/>
      <c r="I62" s="224"/>
      <c r="J62" s="224"/>
      <c r="K62" s="329"/>
      <c r="L62" s="353"/>
      <c r="M62" s="89"/>
      <c r="N62" s="89"/>
      <c r="O62" s="89"/>
      <c r="P62" s="89"/>
      <c r="Q62" s="53"/>
    </row>
    <row r="63" spans="3:17" ht="15" customHeight="1">
      <c r="C63" s="898" t="str">
        <f>IF(Indice_index!$Z$1=1,"Despesa  primária","Primary Expenditure")</f>
        <v>Despesa  primária</v>
      </c>
      <c r="D63" s="113">
        <f>D59-D40</f>
        <v>36556.717388780053</v>
      </c>
      <c r="E63" s="113">
        <f>E59-E40</f>
        <v>40809.564806999995</v>
      </c>
      <c r="F63" s="113">
        <f>F59-F40</f>
        <v>24752.913314519992</v>
      </c>
      <c r="G63" s="113">
        <f>G59-G40</f>
        <v>25299.574546350017</v>
      </c>
      <c r="H63" s="222">
        <f>IFERROR(IF(G63/E63*100&lt;-500,"-",IF(G63/E63*100&gt;500,"-",G63/E63*100)),"-")</f>
        <v>61.994227740479168</v>
      </c>
      <c r="I63" s="222">
        <f t="shared" ref="I63" si="14">IFERROR(IF(F63=0,"-",(G63-F63)/F63*100),"-")</f>
        <v>2.2084722912569443</v>
      </c>
      <c r="J63" s="222"/>
      <c r="K63" s="329"/>
      <c r="L63" s="353"/>
      <c r="M63" s="89"/>
      <c r="N63" s="89"/>
      <c r="O63" s="89"/>
      <c r="P63" s="89"/>
      <c r="Q63" s="53"/>
    </row>
    <row r="64" spans="3:17" ht="15" customHeight="1">
      <c r="C64" s="889" t="str">
        <f>IF(Indice_index!$Z$1=1,"Saldo corrente","Current balance")</f>
        <v>Saldo corrente</v>
      </c>
      <c r="D64" s="113">
        <f>+D9-D34</f>
        <v>10.51454472993646</v>
      </c>
      <c r="E64" s="113">
        <f>+E9-E34</f>
        <v>911.92671000000701</v>
      </c>
      <c r="F64" s="113">
        <f>+F9-F34</f>
        <v>1319.4260921500099</v>
      </c>
      <c r="G64" s="113">
        <f>+G9-G34</f>
        <v>1708.0447955499803</v>
      </c>
      <c r="H64" s="224"/>
      <c r="I64" s="224"/>
      <c r="J64" s="224"/>
      <c r="K64" s="329"/>
      <c r="L64" s="353"/>
      <c r="M64" s="96"/>
      <c r="N64" s="89"/>
      <c r="O64" s="89"/>
      <c r="P64" s="89"/>
      <c r="Q64" s="53"/>
    </row>
    <row r="65" spans="3:19" ht="15" customHeight="1">
      <c r="C65" s="889" t="str">
        <f>IF(Indice_index!$Z$1=1,"Saldo de capital","Capital balance")</f>
        <v>Saldo de capital</v>
      </c>
      <c r="D65" s="113">
        <f>D22-D49</f>
        <v>-1161.9087590099971</v>
      </c>
      <c r="E65" s="113">
        <f>E22-E49</f>
        <v>-1821.616148000001</v>
      </c>
      <c r="F65" s="113">
        <f>F22-F49</f>
        <v>-710.06907533000003</v>
      </c>
      <c r="G65" s="113">
        <f>G22-G49</f>
        <v>-720.2775300699991</v>
      </c>
      <c r="H65" s="224"/>
      <c r="I65" s="224"/>
      <c r="J65" s="224"/>
      <c r="K65" s="329"/>
      <c r="L65" s="353"/>
      <c r="M65" s="96"/>
      <c r="N65" s="89"/>
      <c r="O65" s="89"/>
      <c r="P65" s="89"/>
      <c r="Q65" s="53"/>
    </row>
    <row r="66" spans="3:19" ht="15" customHeight="1">
      <c r="C66" s="889" t="str">
        <f>IF(Indice_index!$Z$1=1,"Saldo primário","Primary balance")</f>
        <v>Saldo primário</v>
      </c>
      <c r="D66" s="113">
        <f>D61+D40</f>
        <v>-519.38524363005888</v>
      </c>
      <c r="E66" s="113">
        <f>E61+E40</f>
        <v>-400.49834899999394</v>
      </c>
      <c r="F66" s="113">
        <f>F61+F40</f>
        <v>934.65922361000958</v>
      </c>
      <c r="G66" s="113">
        <f>G61+G40</f>
        <v>1137.0182383499825</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Ativos financeiros líquidos de reembolsos</v>
      </c>
      <c r="D68" s="135">
        <v>3783.0859037799974</v>
      </c>
      <c r="E68" s="135">
        <v>2345.1231200000002</v>
      </c>
      <c r="F68" s="113">
        <v>-1512.3133494100002</v>
      </c>
      <c r="G68" s="113">
        <v>-3994.3522328399999</v>
      </c>
      <c r="H68" s="907"/>
      <c r="I68" s="907"/>
      <c r="J68" s="224"/>
      <c r="K68" s="519"/>
      <c r="L68" s="353"/>
      <c r="M68" s="89"/>
      <c r="N68" s="89"/>
      <c r="O68" s="89"/>
      <c r="P68" s="89"/>
      <c r="Q68" s="53"/>
    </row>
    <row r="69" spans="3:19" ht="15" customHeight="1">
      <c r="C69" s="908" t="str">
        <f>IF(Indice_index!$Z$1=1,"dos quais Receitas de:","of which revenue from:")</f>
        <v>dos quais Receitas de:</v>
      </c>
      <c r="D69" s="908"/>
      <c r="E69" s="908"/>
      <c r="F69" s="113"/>
      <c r="G69" s="113"/>
      <c r="H69" s="113"/>
      <c r="I69" s="113"/>
      <c r="J69" s="224"/>
      <c r="K69" s="329"/>
      <c r="L69" s="353"/>
      <c r="M69" s="89"/>
      <c r="N69" s="89"/>
      <c r="O69" s="89"/>
      <c r="P69" s="89"/>
      <c r="Q69" s="53"/>
    </row>
    <row r="70" spans="3:19" ht="15" customHeight="1">
      <c r="C70" s="785" t="str">
        <f>IF(Indice_index!$Z$1=1,"Alienação de partes de Capital","Disposal of Capital Shares")</f>
        <v>Alienação de partes de Capital</v>
      </c>
      <c r="D70" s="113">
        <v>0</v>
      </c>
      <c r="E70" s="113">
        <v>0</v>
      </c>
      <c r="F70" s="113">
        <v>0</v>
      </c>
      <c r="G70" s="113">
        <v>0</v>
      </c>
      <c r="H70" s="222"/>
      <c r="I70" s="222" t="str">
        <f>IF(F70=0,"-",(G70-F70)/F70*100)</f>
        <v>-</v>
      </c>
      <c r="J70" s="224"/>
      <c r="K70" s="329"/>
      <c r="L70" s="353"/>
      <c r="M70" s="89"/>
      <c r="N70" s="89"/>
      <c r="O70" s="89"/>
      <c r="P70" s="89"/>
      <c r="Q70" s="53"/>
    </row>
    <row r="71" spans="3:19" ht="15" customHeight="1">
      <c r="C71" s="786" t="str">
        <f>IF(Indice_index!$Z$1=1,"Outros Ativos","Other Assets")</f>
        <v>Outros Ativos</v>
      </c>
      <c r="D71" s="113">
        <v>2588.6264850300013</v>
      </c>
      <c r="E71" s="113">
        <v>7202.56185</v>
      </c>
      <c r="F71" s="113">
        <v>2626.1578424700001</v>
      </c>
      <c r="G71" s="113">
        <v>5441.4373570999996</v>
      </c>
      <c r="H71" s="222"/>
      <c r="I71" s="222">
        <f>IF(IFERROR((G71-F71)/F71*100,"")&gt;500,"-",IFERROR((G71-F71)/F71*100,""))</f>
        <v>107.20145869001246</v>
      </c>
      <c r="J71" s="224"/>
      <c r="K71" s="329"/>
      <c r="L71" s="353"/>
      <c r="M71" s="89"/>
      <c r="N71" s="89"/>
      <c r="O71" s="89"/>
      <c r="P71" s="89"/>
      <c r="Q71" s="53"/>
    </row>
    <row r="72" spans="3:19" ht="15" customHeight="1">
      <c r="C72" s="135" t="str">
        <f>IF(Indice_index!$Z$1=1,"Passivos financeiros líquidos de amortizações","Financial liabilities net of amortizations")</f>
        <v>Passivos financeiros líquidos de amortizações</v>
      </c>
      <c r="D72" s="135">
        <v>1925.5570962700008</v>
      </c>
      <c r="E72" s="135">
        <v>3270.0491839999995</v>
      </c>
      <c r="F72" s="113">
        <v>1023.3524894300012</v>
      </c>
      <c r="G72" s="113">
        <v>1265.8959030200003</v>
      </c>
      <c r="H72" s="113"/>
      <c r="I72" s="113"/>
      <c r="J72" s="224"/>
      <c r="K72" s="329"/>
      <c r="L72" s="353"/>
      <c r="M72" s="89"/>
      <c r="N72" s="89"/>
      <c r="O72" s="89"/>
      <c r="P72" s="89"/>
      <c r="Q72" s="53"/>
    </row>
    <row r="73" spans="3:19" ht="15" customHeight="1">
      <c r="C73" s="890" t="str">
        <f>IF(Indice_index!$Z$1=1,"Poupança (+) / Utilização (-) de saldo da gerência anterior","Saving (+) / Usage (-) of balance from previous management")</f>
        <v>Poupança (+) / Utilização (-) de saldo da gerência anterior</v>
      </c>
      <c r="D73" s="890">
        <f>D61-D68+D72</f>
        <v>-3008.9230217900554</v>
      </c>
      <c r="E73" s="890">
        <f>E61-E68+E72</f>
        <v>15.236626000005344</v>
      </c>
      <c r="F73" s="865">
        <v>3145.0228556600014</v>
      </c>
      <c r="G73" s="865">
        <v>6248.0154013399815</v>
      </c>
      <c r="H73" s="865"/>
      <c r="I73" s="865"/>
      <c r="J73" s="865"/>
      <c r="K73" s="329"/>
      <c r="L73" s="353"/>
      <c r="M73" s="58"/>
      <c r="N73" s="58"/>
      <c r="O73" s="58"/>
      <c r="Q73" s="53"/>
    </row>
    <row r="74" spans="3:19" ht="4.5" customHeight="1">
      <c r="F74" s="784"/>
      <c r="K74" s="329"/>
    </row>
    <row r="75" spans="3:19" ht="15" customHeight="1">
      <c r="C75" s="766" t="str">
        <f>IF(Indice_index!$Z$1=1,"Notas:","Notes:")</f>
        <v>Notas:</v>
      </c>
      <c r="D75" s="766"/>
      <c r="E75" s="766"/>
      <c r="F75" s="58"/>
      <c r="G75" s="58"/>
    </row>
    <row r="76" spans="3:19" s="22" customFormat="1" ht="15" customHeight="1">
      <c r="C76" s="1685" t="str">
        <f>+'5 - Conta AC + SS'!$C$64</f>
        <v>Os dados de 2021 são mensalmente revistos e atualizados face ao publicado nas Sínteses de Execução Orçamental de 2021.</v>
      </c>
      <c r="D76" s="1685"/>
      <c r="E76" s="1685"/>
      <c r="F76" s="1685"/>
      <c r="G76" s="1685"/>
      <c r="H76" s="1685"/>
      <c r="I76" s="1685"/>
      <c r="J76" s="1685"/>
      <c r="K76" s="62"/>
      <c r="R76" s="24"/>
      <c r="S76" s="24"/>
    </row>
    <row r="77" spans="3:19" s="62" customFormat="1" ht="4.5" customHeight="1">
      <c r="C77" s="774"/>
      <c r="D77" s="774"/>
      <c r="E77" s="774"/>
      <c r="F77" s="653"/>
      <c r="G77" s="653"/>
      <c r="H77" s="653"/>
      <c r="I77" s="653"/>
      <c r="J77" s="653"/>
      <c r="K77" s="78"/>
      <c r="L77" s="53"/>
      <c r="O77" s="97"/>
      <c r="P77" s="97"/>
    </row>
    <row r="78" spans="3:19" ht="15" customHeight="1">
      <c r="C78" s="1696" t="str">
        <f>IF(Indice_index!$Z$1=1,"Entidades em incumprimento no reporte de execução orçamental no mês em análise:","Non reporting entities are identified below:")</f>
        <v>Entidades em incumprimento no reporte de execução orçamental no mês em análise:</v>
      </c>
      <c r="D78" s="1696"/>
      <c r="E78" s="1696"/>
      <c r="F78" s="1696"/>
      <c r="G78" s="1696"/>
      <c r="H78" s="1696"/>
      <c r="I78" s="1696"/>
      <c r="J78" s="1696"/>
    </row>
    <row r="79" spans="3:19" ht="15" hidden="1" customHeight="1">
      <c r="C79" s="909" t="s">
        <v>67</v>
      </c>
      <c r="D79" s="910"/>
      <c r="E79" s="910"/>
      <c r="F79" s="911"/>
      <c r="G79" s="911"/>
      <c r="H79" s="911"/>
      <c r="I79" s="911"/>
      <c r="J79" s="911"/>
      <c r="K79" s="216"/>
      <c r="M79" s="50"/>
      <c r="N79" s="50"/>
      <c r="P79" s="53"/>
      <c r="Q79" s="53"/>
    </row>
    <row r="80" spans="3:19" ht="15" hidden="1" customHeight="1">
      <c r="C80" s="1698"/>
      <c r="D80" s="1698"/>
      <c r="E80" s="1698"/>
      <c r="F80" s="1698"/>
      <c r="G80" s="1698"/>
      <c r="H80" s="1698"/>
      <c r="I80" s="1698"/>
      <c r="J80" s="1698"/>
      <c r="K80" s="219"/>
      <c r="L80" s="219"/>
      <c r="M80" s="50"/>
      <c r="N80" s="50"/>
      <c r="P80" s="53"/>
      <c r="Q80" s="53"/>
    </row>
    <row r="81" spans="3:22" ht="12.75" customHeight="1">
      <c r="C81" s="909" t="s">
        <v>74</v>
      </c>
      <c r="D81" s="910"/>
      <c r="E81" s="910"/>
      <c r="F81" s="911"/>
      <c r="G81" s="911"/>
      <c r="H81" s="911"/>
      <c r="I81" s="911"/>
      <c r="J81" s="911"/>
      <c r="K81" s="216"/>
    </row>
    <row r="82" spans="3:22" ht="15.75" customHeight="1">
      <c r="C82" s="1698" t="s">
        <v>598</v>
      </c>
      <c r="D82" s="1698"/>
      <c r="E82" s="1698"/>
      <c r="F82" s="1698"/>
      <c r="G82" s="1698"/>
      <c r="H82" s="1698"/>
      <c r="I82" s="1698"/>
      <c r="J82" s="1698"/>
      <c r="K82" s="218"/>
      <c r="L82" s="218"/>
    </row>
    <row r="83" spans="3:22" ht="4.5" customHeight="1">
      <c r="C83" s="520"/>
      <c r="D83" s="520"/>
      <c r="E83" s="520"/>
      <c r="F83" s="520"/>
      <c r="G83" s="520"/>
      <c r="H83" s="520"/>
      <c r="I83" s="520"/>
      <c r="J83" s="520"/>
      <c r="K83" s="520"/>
    </row>
    <row r="84" spans="3:22" ht="24.75" customHeight="1">
      <c r="C84" s="1699" t="str">
        <f>+'10 - EPR'!C84:J84</f>
        <v>Para as entidades identificadas considera-se na execução orçamental uma estimativa de execução para os meses em falta, esta estimativa consiste na correspondente previsão mensal.</v>
      </c>
      <c r="D84" s="1699"/>
      <c r="E84" s="1699"/>
      <c r="F84" s="1699"/>
      <c r="G84" s="1699"/>
      <c r="H84" s="1699"/>
      <c r="I84" s="1699"/>
      <c r="J84" s="1699"/>
      <c r="K84" s="218"/>
      <c r="M84" s="98"/>
      <c r="N84" s="98"/>
      <c r="O84" s="53"/>
      <c r="P84" s="53"/>
      <c r="Q84" s="53"/>
      <c r="T84" s="50"/>
      <c r="U84" s="50"/>
      <c r="V84" s="50"/>
    </row>
    <row r="85" spans="3:22" s="99" customFormat="1" ht="4.5" customHeight="1">
      <c r="C85" s="521"/>
      <c r="D85" s="521"/>
      <c r="E85" s="521"/>
      <c r="F85" s="521"/>
      <c r="G85" s="521"/>
      <c r="H85" s="521"/>
      <c r="I85" s="521"/>
      <c r="J85" s="521"/>
      <c r="K85" s="521"/>
      <c r="M85" s="445"/>
      <c r="N85" s="445"/>
      <c r="T85" s="103"/>
      <c r="U85" s="103"/>
      <c r="V85" s="103"/>
    </row>
    <row r="86" spans="3:22" ht="18" customHeight="1">
      <c r="C86" s="1698" t="str">
        <f>+'10 - EPR'!C86:J86</f>
        <v>Esta estimativa apenas é utilizada para os meses em que haja falta de reporte. Nos restantes meses, é utilizada a informação efetivamente reportada pelas entidades.</v>
      </c>
      <c r="D86" s="1698"/>
      <c r="E86" s="1698"/>
      <c r="F86" s="1698"/>
      <c r="G86" s="1698"/>
      <c r="H86" s="1698"/>
      <c r="I86" s="1698"/>
      <c r="J86" s="1698"/>
      <c r="K86" s="218"/>
      <c r="L86" s="98"/>
      <c r="M86" s="98"/>
      <c r="N86" s="98"/>
      <c r="O86" s="53"/>
      <c r="P86" s="53"/>
      <c r="Q86" s="53"/>
      <c r="T86" s="50"/>
      <c r="U86" s="50"/>
      <c r="V86" s="50"/>
    </row>
    <row r="87" spans="3:22" s="341" customFormat="1" ht="4.5" customHeight="1">
      <c r="C87" s="642"/>
      <c r="D87" s="642"/>
      <c r="E87" s="642"/>
      <c r="F87" s="642"/>
      <c r="G87" s="642"/>
      <c r="H87" s="851"/>
      <c r="I87" s="642"/>
      <c r="J87" s="642"/>
      <c r="K87" s="340"/>
      <c r="L87" s="340"/>
      <c r="M87" s="340"/>
      <c r="N87" s="340"/>
      <c r="O87" s="340"/>
      <c r="P87" s="340"/>
      <c r="T87" s="342"/>
      <c r="U87" s="342"/>
      <c r="V87" s="342"/>
    </row>
    <row r="88" spans="3:22">
      <c r="C88" s="752" t="str">
        <f>IF(Indice_index!$Z$1=1,"Fonte: Direção-Geral do Orçamento","Source: Budget General Directorate")</f>
        <v>Fonte: Direção-Geral do Orçamento</v>
      </c>
      <c r="D88" s="752"/>
      <c r="E88" s="752"/>
      <c r="F88" s="643"/>
      <c r="G88" s="643"/>
      <c r="H88" s="643"/>
      <c r="I88" s="643"/>
      <c r="J88" s="643"/>
    </row>
    <row r="89" spans="3:22" s="341" customFormat="1" ht="12.75" customHeight="1">
      <c r="C89" s="644"/>
      <c r="D89" s="644"/>
      <c r="E89" s="644"/>
      <c r="F89" s="370"/>
      <c r="G89" s="645"/>
      <c r="H89" s="642"/>
      <c r="I89" s="101"/>
      <c r="J89" s="101"/>
      <c r="K89" s="376"/>
      <c r="L89" s="343"/>
      <c r="M89" s="343"/>
      <c r="N89" s="343"/>
      <c r="O89" s="343"/>
      <c r="P89" s="343"/>
      <c r="Q89" s="343"/>
      <c r="R89" s="343"/>
      <c r="S89" s="343"/>
    </row>
    <row r="90" spans="3:22" s="341" customFormat="1" ht="12.75" customHeight="1">
      <c r="C90" s="371"/>
      <c r="D90" s="371"/>
      <c r="E90" s="371"/>
      <c r="F90" s="370"/>
      <c r="G90" s="101"/>
      <c r="H90" s="643"/>
      <c r="I90" s="372"/>
      <c r="J90" s="101"/>
      <c r="K90" s="101"/>
      <c r="O90" s="342"/>
      <c r="P90" s="342"/>
      <c r="Q90" s="342"/>
    </row>
    <row r="91" spans="3:22" s="341" customFormat="1" ht="12.75" customHeight="1">
      <c r="C91" s="1695"/>
      <c r="D91" s="1695"/>
      <c r="E91" s="1695"/>
      <c r="F91" s="1695"/>
      <c r="G91" s="1695"/>
      <c r="H91" s="1695"/>
      <c r="I91" s="1695"/>
      <c r="J91" s="1695"/>
      <c r="K91" s="1695"/>
      <c r="O91" s="342"/>
      <c r="P91" s="342"/>
      <c r="Q91" s="342"/>
    </row>
    <row r="92" spans="3:22" s="341" customFormat="1" ht="12.75" customHeight="1">
      <c r="C92" s="1695"/>
      <c r="D92" s="1695"/>
      <c r="E92" s="1695"/>
      <c r="F92" s="1695"/>
      <c r="G92" s="1695"/>
      <c r="H92" s="1695"/>
      <c r="I92" s="1695"/>
      <c r="J92" s="1695"/>
      <c r="K92" s="1695"/>
      <c r="O92" s="342"/>
      <c r="P92" s="342"/>
      <c r="Q92" s="342"/>
    </row>
    <row r="93" spans="3:22" s="341" customFormat="1" ht="12.75" customHeight="1">
      <c r="C93" s="1695"/>
      <c r="D93" s="1695"/>
      <c r="E93" s="1695"/>
      <c r="F93" s="1695"/>
      <c r="G93" s="1695"/>
      <c r="H93" s="1695"/>
      <c r="I93" s="1695"/>
      <c r="J93" s="1695"/>
      <c r="K93" s="1695"/>
      <c r="O93" s="342"/>
      <c r="P93" s="342"/>
      <c r="Q93" s="342"/>
    </row>
    <row r="94" spans="3:22" s="341" customFormat="1" ht="12.75" customHeight="1">
      <c r="C94" s="1695"/>
      <c r="D94" s="1695"/>
      <c r="E94" s="1695"/>
      <c r="F94" s="1695"/>
      <c r="G94" s="1695"/>
      <c r="H94" s="1695"/>
      <c r="I94" s="1695"/>
      <c r="J94" s="1695"/>
      <c r="K94" s="1695"/>
      <c r="O94" s="342"/>
      <c r="P94" s="342"/>
      <c r="Q94" s="342"/>
    </row>
    <row r="95" spans="3:22" s="341" customFormat="1" ht="12.75" customHeight="1">
      <c r="C95" s="1697"/>
      <c r="D95" s="1697"/>
      <c r="E95" s="1697"/>
      <c r="F95" s="1697"/>
      <c r="G95" s="1697"/>
      <c r="H95" s="1697"/>
      <c r="I95" s="1697"/>
      <c r="J95" s="1697"/>
      <c r="K95" s="1697"/>
      <c r="O95" s="342"/>
      <c r="P95" s="342"/>
      <c r="Q95" s="342"/>
    </row>
    <row r="96" spans="3:22" s="341" customFormat="1" ht="12.75" customHeight="1">
      <c r="C96" s="1697"/>
      <c r="D96" s="1697"/>
      <c r="E96" s="1697"/>
      <c r="F96" s="1697"/>
      <c r="G96" s="1697"/>
      <c r="H96" s="1697"/>
      <c r="I96" s="1697"/>
      <c r="J96" s="1697"/>
      <c r="K96" s="1697"/>
      <c r="O96" s="342"/>
      <c r="P96" s="342"/>
      <c r="Q96" s="342"/>
    </row>
    <row r="97" spans="3:18" s="99" customFormat="1">
      <c r="C97" s="1695"/>
      <c r="D97" s="1695"/>
      <c r="E97" s="1695"/>
      <c r="F97" s="1695"/>
      <c r="G97" s="1695"/>
      <c r="H97" s="1695"/>
      <c r="I97" s="1695"/>
      <c r="J97" s="1695"/>
      <c r="K97" s="1695"/>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4.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J5 D10 D58:D67 G6 J6 I7 I6 J7 D73 D6:E6 E8:E14 H10:H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dimension ref="B1:AC112"/>
  <sheetViews>
    <sheetView showGridLines="0" zoomScaleNormal="100" zoomScaleSheetLayoutView="100" workbookViewId="0">
      <selection activeCell="B2" sqref="B2"/>
    </sheetView>
  </sheetViews>
  <sheetFormatPr defaultColWidth="9.1796875" defaultRowHeight="12"/>
  <cols>
    <col min="1" max="1" width="2.453125" style="109" customWidth="1"/>
    <col min="2" max="2" width="4.453125" style="109" customWidth="1"/>
    <col min="3" max="3" width="39.54296875" style="62" customWidth="1"/>
    <col min="4" max="5" width="9.453125" style="62" customWidth="1"/>
    <col min="6" max="6" width="9.453125" style="110" customWidth="1"/>
    <col min="7" max="7" width="9.453125" style="62" customWidth="1"/>
    <col min="8" max="10" width="9.453125" style="53" customWidth="1"/>
    <col min="11" max="11" width="16.54296875" style="109" customWidth="1"/>
    <col min="12" max="14" width="8.54296875" style="109" customWidth="1"/>
    <col min="15" max="15" width="9.1796875" style="109"/>
    <col min="16" max="16" width="9.54296875" style="109" bestFit="1" customWidth="1"/>
    <col min="17" max="17" width="9.54296875" style="50" bestFit="1" customWidth="1"/>
    <col min="18" max="19" width="9.1796875" style="50" customWidth="1"/>
    <col min="20" max="16384" width="9.179687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733" t="str">
        <f>+'5 - Conta AC + SS'!C5</f>
        <v>Período: janeiro a setembro</v>
      </c>
      <c r="D5" s="733"/>
      <c r="E5" s="733"/>
      <c r="F5" s="912"/>
      <c r="G5" s="913"/>
      <c r="H5" s="271"/>
      <c r="I5" s="271"/>
      <c r="J5" s="871" t="str">
        <f>IF(Indice_index!$Z$1=1,"€ Milhões","€ Millions")</f>
        <v>€ Milhões</v>
      </c>
      <c r="Q5" s="248"/>
      <c r="R5" s="248"/>
      <c r="S5" s="248"/>
    </row>
    <row r="6" spans="2:29" ht="31.5" customHeight="1">
      <c r="C6" s="736"/>
      <c r="D6" s="737" t="str">
        <f>IF(Indice_index!$Z$1=1,"CGE","Final execution")</f>
        <v>CGE</v>
      </c>
      <c r="E6" s="737" t="str">
        <f>IF(Indice_index!$Z$1=1,"Orçamento Inicial","Budget")</f>
        <v>Orçamento Inicial</v>
      </c>
      <c r="F6" s="1707" t="str">
        <f>IF(Indice_index!$Z$1=1,"Execução Acumulada","Accumulated Execution")</f>
        <v>Execução Acumulada</v>
      </c>
      <c r="G6" s="1707"/>
      <c r="H6" s="914" t="str">
        <f>IF(Indice_index!$Z$1=1,"Grau de Execução (%)","Execution Degree (%)")</f>
        <v>Grau de Execução (%)</v>
      </c>
      <c r="I6" s="1687" t="str">
        <f>IF(Indice_index!$Z$1=1,"Variação Homóloga Acumulada","YOY Change Rate")</f>
        <v>Variação Homóloga Acumulada</v>
      </c>
      <c r="J6" s="1688"/>
      <c r="K6" s="55"/>
    </row>
    <row r="7" spans="2:29" ht="33.75" customHeight="1">
      <c r="C7" s="890"/>
      <c r="D7" s="739" t="s">
        <v>67</v>
      </c>
      <c r="E7" s="739" t="s">
        <v>74</v>
      </c>
      <c r="F7" s="740" t="s">
        <v>67</v>
      </c>
      <c r="G7" s="740" t="s">
        <v>74</v>
      </c>
      <c r="H7" s="742" t="s">
        <v>74</v>
      </c>
      <c r="I7" s="742" t="str">
        <f>IF(Indice_index!$Z$1=1,"Relativa (%)","Relative change (%)")</f>
        <v>Relativa (%)</v>
      </c>
      <c r="J7" s="743" t="str">
        <f>IF(Indice_index!$Z$1=1,"Contributo VHA (p.p.)","YOY Change Rate Contrib. (p.p.)")</f>
        <v>Contributo VHA (p.p.)</v>
      </c>
      <c r="K7" s="55"/>
    </row>
    <row r="8" spans="2:29" s="86" customFormat="1" ht="4.5" customHeight="1">
      <c r="C8" s="895"/>
      <c r="D8" s="895"/>
      <c r="E8" s="895"/>
      <c r="F8" s="915"/>
      <c r="G8" s="895"/>
      <c r="H8" s="111"/>
      <c r="I8" s="111"/>
      <c r="J8" s="111"/>
      <c r="K8" s="111"/>
      <c r="N8" s="87"/>
    </row>
    <row r="9" spans="2:29" s="288" customFormat="1" ht="15" customHeight="1">
      <c r="C9" s="896" t="str">
        <f>IF(Indice_index!$Z$1=1,"Receita corrente","Current revenue")</f>
        <v>Receita corrente</v>
      </c>
      <c r="D9" s="896">
        <f>SUM(D10:D21)-D10-D15</f>
        <v>9396.7781400300009</v>
      </c>
      <c r="E9" s="896">
        <f>SUM(E10:E21)-E10-E15</f>
        <v>11262.551622999999</v>
      </c>
      <c r="F9" s="897">
        <f>SUM(F10:F21)-F10-F15</f>
        <v>7033.2533034099997</v>
      </c>
      <c r="G9" s="897">
        <f>SUM(G10:G21)-G10-G15</f>
        <v>7438.6697112799957</v>
      </c>
      <c r="H9" s="897">
        <f t="shared" ref="H9:H20" si="0">IFERROR(IF(G9/E9*100&lt;-500,"-",IF(G9/E9*100&gt;500,"-",G9/E9*100)),"-")</f>
        <v>66.047819004789261</v>
      </c>
      <c r="I9" s="897">
        <f>IF(IFERROR((G9-F9)/F9*100,"")&gt;500,"-",IFERROR((G9-F9)/F9*100,""))</f>
        <v>5.7642799196985273</v>
      </c>
      <c r="J9" s="278">
        <f>IFERROR((G9-F9)/$F$32*100,"-")</f>
        <v>4.7709773841186767</v>
      </c>
      <c r="K9" s="278"/>
      <c r="L9" s="273"/>
      <c r="M9" s="289"/>
      <c r="N9" s="289"/>
      <c r="O9" s="289"/>
      <c r="P9" s="289"/>
      <c r="Q9" s="289"/>
      <c r="R9" s="289"/>
      <c r="S9" s="289"/>
      <c r="T9" s="289"/>
      <c r="U9" s="289"/>
      <c r="V9" s="289"/>
      <c r="W9" s="289"/>
      <c r="X9" s="289"/>
      <c r="Y9" s="289"/>
      <c r="Z9" s="289"/>
      <c r="AA9" s="289"/>
      <c r="AB9" s="289"/>
      <c r="AC9" s="289"/>
    </row>
    <row r="10" spans="2:29" ht="15" customHeight="1">
      <c r="C10" s="898" t="str">
        <f>IF(Indice_index!$Z$1=1,"Receita Fiscal","Tax")</f>
        <v>Receita Fiscal</v>
      </c>
      <c r="D10" s="220">
        <f>D11+D12</f>
        <v>185.15344694000001</v>
      </c>
      <c r="E10" s="220">
        <f>E11+E12</f>
        <v>208.52782999999999</v>
      </c>
      <c r="F10" s="784">
        <f>F11+F12</f>
        <v>138.21083844999998</v>
      </c>
      <c r="G10" s="784">
        <f>G11+G12</f>
        <v>149.73356367</v>
      </c>
      <c r="H10" s="916">
        <f t="shared" si="0"/>
        <v>71.80507449293458</v>
      </c>
      <c r="I10" s="916">
        <f t="shared" ref="I10:I29" si="1">IF(IFERROR((G10-F10)/F10*100,"")&gt;500,"-",IFERROR((G10-F10)/F10*100,""))</f>
        <v>8.3370633947557913</v>
      </c>
      <c r="J10" s="916">
        <f t="shared" ref="J10:J20" si="2">IFERROR((G10-F10)/$F$32*100,"-")</f>
        <v>0.13560048473830533</v>
      </c>
      <c r="K10" s="220"/>
      <c r="L10" s="57"/>
      <c r="N10" s="112"/>
      <c r="O10" s="112"/>
      <c r="P10" s="112"/>
      <c r="Q10" s="112"/>
      <c r="R10" s="112"/>
      <c r="S10" s="112"/>
      <c r="T10" s="112"/>
      <c r="U10" s="112"/>
      <c r="V10" s="112"/>
      <c r="W10" s="112"/>
      <c r="X10" s="112"/>
      <c r="Y10" s="112"/>
      <c r="Z10" s="112"/>
      <c r="AA10" s="112"/>
      <c r="AB10" s="112"/>
      <c r="AC10" s="112"/>
    </row>
    <row r="11" spans="2:29" ht="15" customHeight="1">
      <c r="C11" s="786" t="str">
        <f>IF(Indice_index!$Z$1=1,"Impostos diretos","Direct taxes")</f>
        <v>Impostos diretos</v>
      </c>
      <c r="D11" s="220">
        <v>1.5595100000000001E-3</v>
      </c>
      <c r="E11" s="220">
        <v>0</v>
      </c>
      <c r="F11" s="787">
        <v>1.5595100000000001E-3</v>
      </c>
      <c r="G11" s="787">
        <v>0</v>
      </c>
      <c r="H11" s="917" t="str">
        <f t="shared" si="0"/>
        <v>-</v>
      </c>
      <c r="I11" s="917">
        <f t="shared" si="1"/>
        <v>-100</v>
      </c>
      <c r="J11" s="917">
        <f t="shared" si="2"/>
        <v>-1.835245637787016E-5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786" t="str">
        <f>IF(Indice_index!$Z$1=1,"Impostos indiretos","Indirect taxes")</f>
        <v>Impostos indiretos</v>
      </c>
      <c r="D12" s="220">
        <v>185.15188743000002</v>
      </c>
      <c r="E12" s="220">
        <v>208.52782999999999</v>
      </c>
      <c r="F12" s="787">
        <v>138.20927893999999</v>
      </c>
      <c r="G12" s="787">
        <v>149.73356367</v>
      </c>
      <c r="H12" s="916">
        <f t="shared" si="0"/>
        <v>71.80507449293458</v>
      </c>
      <c r="I12" s="916">
        <f t="shared" si="1"/>
        <v>8.3382858360783274</v>
      </c>
      <c r="J12" s="916">
        <f t="shared" si="2"/>
        <v>0.13561883719468312</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898" t="str">
        <f>IF(Indice_index!$Z$1=1,"Contribuições para Segurança Social, CGA e ADSE","Social security, CGA and ADSE contributions")</f>
        <v>Contribuições para Segurança Social, CGA e ADSE</v>
      </c>
      <c r="D13" s="220">
        <v>0</v>
      </c>
      <c r="E13" s="220">
        <v>0</v>
      </c>
      <c r="F13" s="787">
        <v>0</v>
      </c>
      <c r="G13" s="787">
        <v>0</v>
      </c>
      <c r="H13" s="917" t="str">
        <f t="shared" si="0"/>
        <v>-</v>
      </c>
      <c r="I13" s="917" t="str">
        <f t="shared" si="1"/>
        <v>-</v>
      </c>
      <c r="J13" s="916">
        <f t="shared" si="2"/>
        <v>0</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898" t="str">
        <f>IF(Indice_index!$Z$1=1,"Taxas, Multas e Outras Penalidades","Taxes, fines and other penalties")</f>
        <v>Taxas, Multas e Outras Penalidades</v>
      </c>
      <c r="D14" s="220">
        <v>472.01967056000001</v>
      </c>
      <c r="E14" s="220">
        <v>509.13782900000001</v>
      </c>
      <c r="F14" s="787">
        <v>344.04828253999995</v>
      </c>
      <c r="G14" s="787">
        <v>364.36574801000017</v>
      </c>
      <c r="H14" s="916">
        <f t="shared" si="0"/>
        <v>71.565247611958554</v>
      </c>
      <c r="I14" s="916">
        <f t="shared" si="1"/>
        <v>5.9054111010241908</v>
      </c>
      <c r="J14" s="916">
        <f t="shared" si="2"/>
        <v>0.23909779273429632</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898" t="str">
        <f>IF(Indice_index!$Z$1=1,"Transferências Correntes","Current transfers")</f>
        <v>Transferências Correntes</v>
      </c>
      <c r="D15" s="220">
        <f>SUM(D16:D19)</f>
        <v>1329.0158478599999</v>
      </c>
      <c r="E15" s="220">
        <f>SUM(E16:E19)</f>
        <v>1572.3849380000001</v>
      </c>
      <c r="F15" s="916">
        <f>SUM(F16:F19)</f>
        <v>1004.37275899</v>
      </c>
      <c r="G15" s="916">
        <f>SUM(G16:G19)</f>
        <v>786.60206661999996</v>
      </c>
      <c r="H15" s="916">
        <f t="shared" si="0"/>
        <v>50.02604944947646</v>
      </c>
      <c r="I15" s="916">
        <f t="shared" si="1"/>
        <v>-21.682257948631623</v>
      </c>
      <c r="J15" s="916">
        <f t="shared" si="2"/>
        <v>-2.5627454342062617</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786" t="str">
        <f>IF(Indice_index!$Z$1=1,"Administração Central","Central Administration")</f>
        <v>Administração Central</v>
      </c>
      <c r="D16" s="220">
        <v>1133.9538990599999</v>
      </c>
      <c r="E16" s="220">
        <v>1005.919393</v>
      </c>
      <c r="F16" s="784">
        <v>843.52237140999989</v>
      </c>
      <c r="G16" s="784">
        <v>661.41980236999996</v>
      </c>
      <c r="H16" s="916">
        <f t="shared" si="0"/>
        <v>65.752763787306762</v>
      </c>
      <c r="I16" s="916">
        <f t="shared" si="1"/>
        <v>-21.588350850209721</v>
      </c>
      <c r="J16" s="916">
        <f t="shared" si="2"/>
        <v>-2.1429996951636654</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899" t="str">
        <f>IF(Indice_index!$Z$1=1,"Outros subsectores das AP","Other General Government subsectors")</f>
        <v>Outros subsectores das AP</v>
      </c>
      <c r="D17" s="220">
        <v>90.66560720999999</v>
      </c>
      <c r="E17" s="220">
        <v>87.270737999999994</v>
      </c>
      <c r="F17" s="787">
        <v>55.181288899999998</v>
      </c>
      <c r="G17" s="787">
        <v>52.619628640000002</v>
      </c>
      <c r="H17" s="916">
        <f t="shared" si="0"/>
        <v>60.294698825624693</v>
      </c>
      <c r="I17" s="916">
        <f t="shared" si="1"/>
        <v>-4.6422624608175767</v>
      </c>
      <c r="J17" s="916">
        <f t="shared" si="2"/>
        <v>-3.0145852336037261E-2</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899" t="str">
        <f>IF(Indice_index!$Z$1=1,"União Europeia","European Union")</f>
        <v>União Europeia</v>
      </c>
      <c r="D18" s="220">
        <v>94.205071340000018</v>
      </c>
      <c r="E18" s="220">
        <v>462.52905199999998</v>
      </c>
      <c r="F18" s="787">
        <v>99.804278830000001</v>
      </c>
      <c r="G18" s="787">
        <v>62.70712309999999</v>
      </c>
      <c r="H18" s="916">
        <f t="shared" si="0"/>
        <v>13.557445273729529</v>
      </c>
      <c r="I18" s="916">
        <f t="shared" si="1"/>
        <v>-37.169905103155799</v>
      </c>
      <c r="J18" s="916">
        <f t="shared" si="2"/>
        <v>-0.43656272308473892</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899" t="str">
        <f>IF(Indice_index!$Z$1=1,"Outras transferências","Other transfers")</f>
        <v>Outras transferências</v>
      </c>
      <c r="D19" s="900">
        <v>10.191270250000017</v>
      </c>
      <c r="E19" s="900">
        <v>16.665755000000047</v>
      </c>
      <c r="F19" s="787">
        <v>5.8648198500000177</v>
      </c>
      <c r="G19" s="787">
        <v>9.8555125100000112</v>
      </c>
      <c r="H19" s="916">
        <f t="shared" si="0"/>
        <v>59.136309816146849</v>
      </c>
      <c r="I19" s="916">
        <f t="shared" si="1"/>
        <v>68.044590662064095</v>
      </c>
      <c r="J19" s="916">
        <f t="shared" si="2"/>
        <v>4.6962836378180654E-2</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898" t="str">
        <f>IF(Indice_index!$Z$1=1,"Outras Receitas Correntes","Other current revenue")</f>
        <v>Outras Receitas Correntes</v>
      </c>
      <c r="D20" s="220">
        <v>7410.1790191700011</v>
      </c>
      <c r="E20" s="220">
        <v>8972.4691379999986</v>
      </c>
      <c r="F20" s="787">
        <v>5544.7012265599997</v>
      </c>
      <c r="G20" s="787">
        <v>6137.9208119099949</v>
      </c>
      <c r="H20" s="916">
        <f t="shared" si="0"/>
        <v>68.408380318799999</v>
      </c>
      <c r="I20" s="916">
        <f t="shared" si="1"/>
        <v>10.698855738310645</v>
      </c>
      <c r="J20" s="916">
        <f t="shared" si="2"/>
        <v>6.9810623610198146</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777" t="str">
        <f>IF(Indice_index!$Z$1=1,"Diferenças de consolidação","Consolidation differences")</f>
        <v>Diferenças de consolidação</v>
      </c>
      <c r="D21" s="220">
        <v>0.4101554999999999</v>
      </c>
      <c r="E21" s="220">
        <v>3.1887999999999916E-2</v>
      </c>
      <c r="F21" s="787">
        <v>1.9201968700000003</v>
      </c>
      <c r="G21" s="787">
        <v>4.7521069999999978E-2</v>
      </c>
      <c r="H21" s="916"/>
      <c r="I21" s="916"/>
      <c r="J21" s="916"/>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896" t="str">
        <f>IF(Indice_index!$Z$1=1,"Receita de capital","Capital revenue")</f>
        <v>Receita de capital</v>
      </c>
      <c r="D22" s="284">
        <f>SUM(D23:D30)-D24</f>
        <v>2002.4088529700009</v>
      </c>
      <c r="E22" s="284">
        <f>SUM(E23:E30)-E24</f>
        <v>2290.3525120000004</v>
      </c>
      <c r="F22" s="281">
        <f>SUM(F23:F30)-F24</f>
        <v>1464.3012903199997</v>
      </c>
      <c r="G22" s="281">
        <f>SUM(G23:G30)-G24</f>
        <v>1205.3257860099998</v>
      </c>
      <c r="H22" s="281">
        <f t="shared" ref="H22:H29" si="3">IFERROR(IF(G22/E22*100&lt;-500,"-",IF(G22/E22*100&gt;500,"-",G22/E22*100)),"-")</f>
        <v>52.626212763967729</v>
      </c>
      <c r="I22" s="281">
        <f t="shared" si="1"/>
        <v>-17.685943871114457</v>
      </c>
      <c r="J22" s="281">
        <f t="shared" ref="J22:J29" si="4">IFERROR((G22-F22)/$F$32*100,"-")</f>
        <v>-3.0476474314279476</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898" t="str">
        <f>IF(Indice_index!$Z$1=1,"Venda de bens de investimento","Sale of investment goods")</f>
        <v>Venda de bens de investimento</v>
      </c>
      <c r="D23" s="222">
        <v>113.09758594000002</v>
      </c>
      <c r="E23" s="222">
        <v>112.002539</v>
      </c>
      <c r="F23" s="787">
        <v>57.737733820000003</v>
      </c>
      <c r="G23" s="787">
        <v>64.785331479999996</v>
      </c>
      <c r="H23" s="787">
        <f t="shared" si="3"/>
        <v>57.842734690148404</v>
      </c>
      <c r="I23" s="787">
        <f t="shared" si="1"/>
        <v>12.206224930772652</v>
      </c>
      <c r="J23" s="787">
        <f t="shared" si="4"/>
        <v>8.2936774130290727E-2</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898" t="str">
        <f>IF(Indice_index!$Z$1=1,"Transferências de capital","Capital transfers")</f>
        <v>Transferências de capital</v>
      </c>
      <c r="D24" s="222">
        <f>SUM(D25:D28)</f>
        <v>1866.4416001300003</v>
      </c>
      <c r="E24" s="222">
        <f>SUM(E25:E28)</f>
        <v>2147.5588120000002</v>
      </c>
      <c r="F24" s="787">
        <f>SUM(F25:F28)</f>
        <v>1394.5214977400001</v>
      </c>
      <c r="G24" s="787">
        <f>SUM(G25:G28)</f>
        <v>1127.70140713</v>
      </c>
      <c r="H24" s="787">
        <f t="shared" si="3"/>
        <v>52.510850963833811</v>
      </c>
      <c r="I24" s="787">
        <f t="shared" si="1"/>
        <v>-19.133451226274822</v>
      </c>
      <c r="J24" s="787">
        <f t="shared" si="4"/>
        <v>-3.1399632407996036</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786" t="str">
        <f>IF(Indice_index!$Z$1=1,"Administração Central","Central Administration")</f>
        <v>Administração Central</v>
      </c>
      <c r="D25" s="222">
        <v>1459.4761759100004</v>
      </c>
      <c r="E25" s="222">
        <v>1172.833402</v>
      </c>
      <c r="F25" s="787">
        <v>1070.33850306</v>
      </c>
      <c r="G25" s="787">
        <v>672.1574028</v>
      </c>
      <c r="H25" s="787">
        <f t="shared" si="3"/>
        <v>57.310561044201911</v>
      </c>
      <c r="I25" s="787">
        <f t="shared" si="1"/>
        <v>-37.201417973999497</v>
      </c>
      <c r="J25" s="787">
        <f t="shared" si="4"/>
        <v>-4.6858316221210474</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786" t="str">
        <f>IF(Indice_index!$Z$1=1,"Outros subsectores das AP","Other General Government subsectors")</f>
        <v>Outros subsectores das AP</v>
      </c>
      <c r="D26" s="222">
        <v>3.2427105000000003</v>
      </c>
      <c r="E26" s="222">
        <v>2.5241949999999997</v>
      </c>
      <c r="F26" s="787">
        <v>2.9019448400000001</v>
      </c>
      <c r="G26" s="787">
        <v>2.0380116400000001</v>
      </c>
      <c r="H26" s="787">
        <f t="shared" si="3"/>
        <v>80.739072852929354</v>
      </c>
      <c r="I26" s="787">
        <f t="shared" si="1"/>
        <v>-29.77083465170206</v>
      </c>
      <c r="J26" s="787">
        <f t="shared" si="4"/>
        <v>-1.0166844948986396E-2</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786" t="str">
        <f>IF(Indice_index!$Z$1=1,"União Europeia","European Union")</f>
        <v>União Europeia</v>
      </c>
      <c r="D27" s="222">
        <v>189.50044813999997</v>
      </c>
      <c r="E27" s="222">
        <v>746.14160300000003</v>
      </c>
      <c r="F27" s="787">
        <v>107.32611648000001</v>
      </c>
      <c r="G27" s="787">
        <v>206.65194389000001</v>
      </c>
      <c r="H27" s="787">
        <f t="shared" si="3"/>
        <v>27.696075793001988</v>
      </c>
      <c r="I27" s="787">
        <f t="shared" si="1"/>
        <v>92.545813328211835</v>
      </c>
      <c r="J27" s="787">
        <f t="shared" si="4"/>
        <v>1.1688754254463807</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786" t="str">
        <f>IF(Indice_index!$Z$1=1,"Outras transferências","Other transfers")</f>
        <v>Outras transferências</v>
      </c>
      <c r="D28" s="222">
        <v>214.22226558000003</v>
      </c>
      <c r="E28" s="222">
        <v>226.05961200000002</v>
      </c>
      <c r="F28" s="787">
        <v>213.95493336000004</v>
      </c>
      <c r="G28" s="787">
        <v>246.85404880000007</v>
      </c>
      <c r="H28" s="787">
        <f t="shared" si="3"/>
        <v>109.19865190249023</v>
      </c>
      <c r="I28" s="787">
        <f t="shared" si="1"/>
        <v>15.376656627330046</v>
      </c>
      <c r="J28" s="787">
        <f t="shared" si="4"/>
        <v>0.38715980082405066</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898" t="str">
        <f>IF(Indice_index!$Z$1=1,"Outras Receitas de Capital","Other capital revenue")</f>
        <v>Outras Receitas de Capital</v>
      </c>
      <c r="D29" s="222">
        <v>22.869666899999999</v>
      </c>
      <c r="E29" s="222">
        <v>30.791160999999999</v>
      </c>
      <c r="F29" s="787">
        <v>12.042058759999998</v>
      </c>
      <c r="G29" s="787">
        <v>12.839047399999998</v>
      </c>
      <c r="H29" s="787">
        <f t="shared" si="3"/>
        <v>41.697185111012864</v>
      </c>
      <c r="I29" s="787">
        <f t="shared" si="1"/>
        <v>6.6183752785474743</v>
      </c>
      <c r="J29" s="787">
        <f t="shared" si="4"/>
        <v>9.379035241363038E-3</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777" t="str">
        <f>IF(Indice_index!$Z$1=1,"Diferenças de consolidação","Consolidation differences")</f>
        <v>Diferenças de consolidação</v>
      </c>
      <c r="D30" s="222">
        <v>0</v>
      </c>
      <c r="E30" s="222">
        <v>0</v>
      </c>
      <c r="F30" s="787">
        <v>0</v>
      </c>
      <c r="G30" s="787">
        <v>0</v>
      </c>
      <c r="H30" s="787"/>
      <c r="I30" s="787"/>
      <c r="J30" s="787"/>
      <c r="K30" s="222"/>
      <c r="L30" s="57"/>
      <c r="M30" s="112"/>
      <c r="N30" s="112"/>
      <c r="O30" s="112"/>
      <c r="P30" s="112"/>
      <c r="Q30" s="112"/>
      <c r="R30" s="112"/>
      <c r="S30" s="112"/>
      <c r="T30" s="112"/>
      <c r="U30" s="112"/>
      <c r="V30" s="112"/>
      <c r="W30" s="112"/>
      <c r="X30" s="112"/>
      <c r="Y30" s="112"/>
      <c r="Z30" s="112"/>
      <c r="AA30" s="112"/>
      <c r="AB30" s="112"/>
      <c r="AC30" s="112"/>
    </row>
    <row r="31" spans="3:29" ht="4.5" customHeight="1">
      <c r="C31" s="786"/>
      <c r="D31" s="786"/>
      <c r="E31" s="786"/>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901" t="str">
        <f>IF(Indice_index!$Z$1=1,"Receita efetiva","Effective revenue")</f>
        <v>Receita efetiva</v>
      </c>
      <c r="D32" s="901">
        <f>+D9+D22</f>
        <v>11399.186993000001</v>
      </c>
      <c r="E32" s="901">
        <f>+E9+E22</f>
        <v>13552.904135000001</v>
      </c>
      <c r="F32" s="902">
        <f>+F9+F22</f>
        <v>8497.5545937299994</v>
      </c>
      <c r="G32" s="902">
        <f>+G9+G22</f>
        <v>8643.9954972899959</v>
      </c>
      <c r="H32" s="902">
        <f>IFERROR(IF(G32/E32*100&lt;-500,"-",IF(G32/E32*100&gt;500,"-",G32/E32*100)),"-")</f>
        <v>63.779654981599961</v>
      </c>
      <c r="I32" s="902">
        <f t="shared" ref="I32" si="5">IFERROR(IF(F32=0,"-",(G32-F32)/F32*100),"-")</f>
        <v>1.7233299526907342</v>
      </c>
      <c r="J32" s="902"/>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786"/>
      <c r="D33" s="786"/>
      <c r="E33" s="786"/>
      <c r="F33" s="787"/>
      <c r="G33" s="787"/>
      <c r="H33" s="787"/>
      <c r="I33" s="787"/>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896" t="str">
        <f>IF(Indice_index!$Z$1=1,"Despesa corrente","Current Expenditure")</f>
        <v>Despesa corrente</v>
      </c>
      <c r="D34" s="896">
        <f>SUM(D35:D48)-D35-D41</f>
        <v>10465.24084210999</v>
      </c>
      <c r="E34" s="896">
        <f>SUM(E35:E48)-E35-E41</f>
        <v>11155.835802999998</v>
      </c>
      <c r="F34" s="281">
        <f>SUM(F35:F48)-F35-F41</f>
        <v>6935.4103700200012</v>
      </c>
      <c r="G34" s="281">
        <f>SUM(G35:G48)-G35-G41</f>
        <v>6981.8939319600013</v>
      </c>
      <c r="H34" s="281">
        <f t="shared" ref="H34:H47" si="6">IFERROR(IF(G34/E34*100&lt;-500,"-",IF(G34/E34*100&gt;500,"-",G34/E34*100)),"-")</f>
        <v>62.585126343312162</v>
      </c>
      <c r="I34" s="281">
        <f t="shared" ref="I34:I56" si="7">IF(IFERROR((G34-F34)/F34*100,"")&gt;500,"-",IFERROR((G34-F34)/F34*100,""))</f>
        <v>0.67023520541677784</v>
      </c>
      <c r="J34" s="281">
        <f>IFERROR((G34-F34)/$F$59*100,"-")</f>
        <v>0.50747207301973107</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898" t="str">
        <f>IF(Indice_index!$Z$1=1,"Despesas com o pessoal","Employees")</f>
        <v>Despesas com o pessoal</v>
      </c>
      <c r="D35" s="222">
        <f t="shared" ref="D35:G35" si="8">SUM(D36:D38)</f>
        <v>5038.6905779799999</v>
      </c>
      <c r="E35" s="222">
        <f t="shared" ref="E35" si="9">SUM(E36:E38)</f>
        <v>5260.8019539999996</v>
      </c>
      <c r="F35" s="787">
        <f>SUM(F36:F38)</f>
        <v>3613.7726502200003</v>
      </c>
      <c r="G35" s="787">
        <f t="shared" si="8"/>
        <v>3695.5822290700003</v>
      </c>
      <c r="H35" s="787">
        <f t="shared" si="6"/>
        <v>70.247507155446144</v>
      </c>
      <c r="I35" s="787">
        <f t="shared" si="7"/>
        <v>2.2638274946549153</v>
      </c>
      <c r="J35" s="787">
        <f t="shared" ref="J35:J47" si="10">IFERROR((G35-F35)/$F$59*100,"-")</f>
        <v>0.89313458003645785</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786" t="str">
        <f>IF(Indice_index!$Z$1=1,"Remunerações Certas e Permanentes","Certain and permanent wages")</f>
        <v>Remunerações Certas e Permanentes</v>
      </c>
      <c r="D36" s="222">
        <v>3313.24489253</v>
      </c>
      <c r="E36" s="222">
        <v>3507.0217859999998</v>
      </c>
      <c r="F36" s="787">
        <v>2358.1829570200002</v>
      </c>
      <c r="G36" s="787">
        <v>2431.0763891700008</v>
      </c>
      <c r="H36" s="787">
        <f t="shared" si="6"/>
        <v>69.320253409170036</v>
      </c>
      <c r="I36" s="787">
        <f t="shared" si="7"/>
        <v>3.0910846816616324</v>
      </c>
      <c r="J36" s="787">
        <f t="shared" si="10"/>
        <v>0.79579489133021952</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786" t="str">
        <f>IF(Indice_index!$Z$1=1,"Abonos Variáveis ou Eventuais","Variable or contingent bonuses")</f>
        <v>Abonos Variáveis ou Eventuais</v>
      </c>
      <c r="D37" s="222">
        <v>759.07758084000011</v>
      </c>
      <c r="E37" s="222">
        <v>734.76929399999995</v>
      </c>
      <c r="F37" s="787">
        <v>568.76988150999966</v>
      </c>
      <c r="G37" s="787">
        <v>572.20917551999958</v>
      </c>
      <c r="H37" s="787">
        <f t="shared" si="6"/>
        <v>77.876032680265979</v>
      </c>
      <c r="I37" s="787">
        <f t="shared" si="7"/>
        <v>0.60468989688221475</v>
      </c>
      <c r="J37" s="787">
        <f t="shared" si="10"/>
        <v>3.7547588612762764E-2</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786" t="str">
        <f>IF(Indice_index!$Z$1=1,"Segurança social","Social security")</f>
        <v>Segurança social</v>
      </c>
      <c r="D38" s="222">
        <v>966.36810461000027</v>
      </c>
      <c r="E38" s="222">
        <v>1019.0108739999999</v>
      </c>
      <c r="F38" s="787">
        <v>686.81981169000028</v>
      </c>
      <c r="G38" s="787">
        <v>692.29666438000004</v>
      </c>
      <c r="H38" s="787">
        <f t="shared" si="6"/>
        <v>67.938103708596941</v>
      </c>
      <c r="I38" s="787">
        <f t="shared" si="7"/>
        <v>0.79742205987380077</v>
      </c>
      <c r="J38" s="787">
        <f>IFERROR((G38-F38)/$F$59*100,"-")</f>
        <v>5.9792100093477997E-2</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898" t="str">
        <f>IF(Indice_index!$Z$1=1,"Aquisição de bens e serviços","Purchase of goods and services")</f>
        <v>Aquisição de bens e serviços</v>
      </c>
      <c r="D39" s="222">
        <v>4566.1307005299896</v>
      </c>
      <c r="E39" s="222">
        <v>4853.3923489999997</v>
      </c>
      <c r="F39" s="787">
        <v>2845.5023154899995</v>
      </c>
      <c r="G39" s="787">
        <v>2972.5244273099979</v>
      </c>
      <c r="H39" s="787">
        <f t="shared" si="6"/>
        <v>61.246324499655614</v>
      </c>
      <c r="I39" s="787">
        <f t="shared" si="7"/>
        <v>4.4639609368275979</v>
      </c>
      <c r="J39" s="787">
        <f t="shared" si="10"/>
        <v>1.386730528263785</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898" t="str">
        <f>IF(Indice_index!$Z$1=1,"Juros e outros encargos","Interests")</f>
        <v>Juros e outros encargos</v>
      </c>
      <c r="D40" s="222">
        <v>619.68711370999995</v>
      </c>
      <c r="E40" s="222">
        <v>484.836139</v>
      </c>
      <c r="F40" s="787">
        <v>315.83266749999996</v>
      </c>
      <c r="G40" s="787">
        <v>135.81849373</v>
      </c>
      <c r="H40" s="787">
        <f t="shared" si="6"/>
        <v>28.013277642655265</v>
      </c>
      <c r="I40" s="787">
        <f t="shared" si="7"/>
        <v>-56.996692329174593</v>
      </c>
      <c r="J40" s="787">
        <f t="shared" si="10"/>
        <v>-1.9652574399077096</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898" t="str">
        <f>IF(Indice_index!$Z$1=1,"Transferências correntes","Current transfers")</f>
        <v>Transferências correntes</v>
      </c>
      <c r="D41" s="113">
        <f>SUM(D42:D45)</f>
        <v>51.248088850000002</v>
      </c>
      <c r="E41" s="113">
        <f>SUM(E42:E45)</f>
        <v>75.475421999999995</v>
      </c>
      <c r="F41" s="784">
        <f>SUM(F42:F45)</f>
        <v>35.633557350000004</v>
      </c>
      <c r="G41" s="784">
        <f>SUM(G42:G45)</f>
        <v>47.665210580000007</v>
      </c>
      <c r="H41" s="784">
        <f t="shared" si="6"/>
        <v>63.153287940543088</v>
      </c>
      <c r="I41" s="784">
        <f t="shared" si="7"/>
        <v>33.764951143728574</v>
      </c>
      <c r="J41" s="784">
        <f t="shared" si="10"/>
        <v>0.13135241258756764</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786" t="str">
        <f>IF(Indice_index!$Z$1=1,"Administração Central","Central Administration")</f>
        <v>Administração Central</v>
      </c>
      <c r="D42" s="113">
        <v>0.70975048000000018</v>
      </c>
      <c r="E42" s="113">
        <v>0.69647999999999988</v>
      </c>
      <c r="F42" s="787">
        <v>0.47014765000000008</v>
      </c>
      <c r="G42" s="787">
        <v>0.54929525000000012</v>
      </c>
      <c r="H42" s="787">
        <f t="shared" si="6"/>
        <v>78.86734005283715</v>
      </c>
      <c r="I42" s="787">
        <f t="shared" si="7"/>
        <v>16.834626313669766</v>
      </c>
      <c r="J42" s="784">
        <f t="shared" si="10"/>
        <v>8.6407312542831414E-4</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786" t="str">
        <f>IF(Indice_index!$Z$1=1,"Outros subsectores das AP","Other General Government subsectors")</f>
        <v>Outros subsectores das AP</v>
      </c>
      <c r="D43" s="222">
        <v>0.29586607999999998</v>
      </c>
      <c r="E43" s="222">
        <v>3.1758000000000002E-2</v>
      </c>
      <c r="F43" s="787">
        <v>7.8420399999999998E-3</v>
      </c>
      <c r="G43" s="787">
        <v>0.53253803</v>
      </c>
      <c r="H43" s="787" t="str">
        <f t="shared" si="6"/>
        <v>-</v>
      </c>
      <c r="I43" s="787" t="str">
        <f t="shared" si="7"/>
        <v>-</v>
      </c>
      <c r="J43" s="787">
        <f t="shared" si="10"/>
        <v>5.728230596745868E-3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786" t="str">
        <f>IF(Indice_index!$Z$1=1,"União Europeia","European Union")</f>
        <v>União Europeia</v>
      </c>
      <c r="D44" s="222">
        <v>1.54922659</v>
      </c>
      <c r="E44" s="222">
        <v>2.3817749999999998</v>
      </c>
      <c r="F44" s="787">
        <v>1.25385981</v>
      </c>
      <c r="G44" s="787">
        <v>1.09201394</v>
      </c>
      <c r="H44" s="787">
        <f t="shared" si="6"/>
        <v>45.848744738692787</v>
      </c>
      <c r="I44" s="787">
        <f t="shared" si="7"/>
        <v>-12.907812237797147</v>
      </c>
      <c r="J44" s="787">
        <f t="shared" si="10"/>
        <v>-1.7669097575740086E-3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786" t="str">
        <f>IF(Indice_index!$Z$1=1,"Outras transferências","Other transfers")</f>
        <v>Outras transferências</v>
      </c>
      <c r="D45" s="222">
        <v>48.693245700000006</v>
      </c>
      <c r="E45" s="222">
        <v>72.365409</v>
      </c>
      <c r="F45" s="787">
        <v>33.901707850000001</v>
      </c>
      <c r="G45" s="787">
        <v>45.491363360000008</v>
      </c>
      <c r="H45" s="787">
        <f t="shared" si="6"/>
        <v>62.863409450225049</v>
      </c>
      <c r="I45" s="787">
        <f t="shared" si="7"/>
        <v>34.186052104746715</v>
      </c>
      <c r="J45" s="787">
        <f t="shared" si="10"/>
        <v>0.1265270186229675</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898" t="str">
        <f>IF(Indice_index!$Z$1=1,"Subsídios","Subsidies")</f>
        <v>Subsídios</v>
      </c>
      <c r="D46" s="222">
        <v>35.056839529999998</v>
      </c>
      <c r="E46" s="222">
        <v>35.490586999999998</v>
      </c>
      <c r="F46" s="787">
        <v>26.521864679999997</v>
      </c>
      <c r="G46" s="787">
        <v>23.70284161</v>
      </c>
      <c r="H46" s="787">
        <f t="shared" si="6"/>
        <v>66.786276625968469</v>
      </c>
      <c r="I46" s="787">
        <f t="shared" si="7"/>
        <v>-10.629053062493783</v>
      </c>
      <c r="J46" s="787">
        <f t="shared" si="10"/>
        <v>-3.0775943613570302E-2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898" t="str">
        <f>IF(Indice_index!$Z$1=1,"Outras despesas correntes","Other current expenditure")</f>
        <v>Outras despesas correntes</v>
      </c>
      <c r="D47" s="222">
        <v>139.86708230999997</v>
      </c>
      <c r="E47" s="222">
        <v>445.83935100000002</v>
      </c>
      <c r="F47" s="787">
        <v>89.311432809999999</v>
      </c>
      <c r="G47" s="787">
        <v>105.70708818000008</v>
      </c>
      <c r="H47" s="787">
        <f t="shared" si="6"/>
        <v>23.709681064020767</v>
      </c>
      <c r="I47" s="787">
        <f t="shared" si="7"/>
        <v>18.357846083244453</v>
      </c>
      <c r="J47" s="787">
        <f t="shared" si="10"/>
        <v>0.17899525922455625</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777" t="str">
        <f>IF(Indice_index!$Z$1=1,"Diferenças de consolidação","Consolidation differences")</f>
        <v>Diferenças de consolidação</v>
      </c>
      <c r="D48" s="222">
        <v>14.560439200000019</v>
      </c>
      <c r="E48" s="222">
        <v>9.9999999747524271E-7</v>
      </c>
      <c r="F48" s="787">
        <v>8.8358819700000133</v>
      </c>
      <c r="G48" s="787">
        <v>0.89364148000000421</v>
      </c>
      <c r="H48" s="787"/>
      <c r="I48" s="787"/>
      <c r="J48" s="787"/>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896" t="str">
        <f>IF(Indice_index!$Z$1=1,"Despesa de capital","Capital expenditure")</f>
        <v>Despesa de capital</v>
      </c>
      <c r="D49" s="281">
        <f>SUM(D50:D57)-D51</f>
        <v>3046.2541082200014</v>
      </c>
      <c r="E49" s="281">
        <f>SUM(E50:E57)-E51</f>
        <v>3797.4409329999999</v>
      </c>
      <c r="F49" s="281">
        <f>SUM(F50:F57)-F51</f>
        <v>2224.4162315499998</v>
      </c>
      <c r="G49" s="281">
        <f>SUM(G50:G57)-G51</f>
        <v>1921.1254836999997</v>
      </c>
      <c r="H49" s="281">
        <f t="shared" ref="H49:H56" si="11">IFERROR(IF(G49/E49*100&lt;-500,"-",IF(G49/E49*100&gt;500,"-",G49/E49*100)),"-")</f>
        <v>50.59000304666489</v>
      </c>
      <c r="I49" s="281">
        <f t="shared" si="7"/>
        <v>-13.634622133586191</v>
      </c>
      <c r="J49" s="281">
        <f t="shared" ref="J49:J56" si="12">IFERROR((G49-F49)/$F$59*100,"-")</f>
        <v>-3.311097044107973</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898" t="str">
        <f>IF(Indice_index!$Z$1=1,"Investimento","Investment")</f>
        <v>Investimento</v>
      </c>
      <c r="D50" s="222">
        <v>2474.2748304400011</v>
      </c>
      <c r="E50" s="222">
        <v>3650.564069</v>
      </c>
      <c r="F50" s="787">
        <v>1768.9332816699996</v>
      </c>
      <c r="G50" s="787">
        <v>1755.6835011299997</v>
      </c>
      <c r="H50" s="787">
        <f t="shared" si="11"/>
        <v>48.093485498281765</v>
      </c>
      <c r="I50" s="787">
        <f t="shared" si="7"/>
        <v>-0.74902658439956005</v>
      </c>
      <c r="J50" s="787">
        <f t="shared" si="12"/>
        <v>-0.14465099740784201</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898" t="str">
        <f>IF(Indice_index!$Z$1=1,"Transferências de capital","Capital transfers")</f>
        <v>Transferências de capital</v>
      </c>
      <c r="D51" s="222">
        <f>SUM(D52:D55)</f>
        <v>568.08653376000007</v>
      </c>
      <c r="E51" s="222">
        <f>SUM(E52:E55)</f>
        <v>140.15186399999999</v>
      </c>
      <c r="F51" s="787">
        <f>SUM(F52:F55)</f>
        <v>455.43606388000001</v>
      </c>
      <c r="G51" s="787">
        <f>SUM(G52:G55)</f>
        <v>165.39277757000002</v>
      </c>
      <c r="H51" s="787">
        <f t="shared" si="11"/>
        <v>118.00968809804773</v>
      </c>
      <c r="I51" s="787">
        <f t="shared" si="7"/>
        <v>-63.684742889931009</v>
      </c>
      <c r="J51" s="784">
        <f t="shared" si="12"/>
        <v>-3.1664713637732653</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786" t="str">
        <f>IF(Indice_index!$Z$1=1,"Administração Central","Central Administration")</f>
        <v>Administração Central</v>
      </c>
      <c r="D52" s="113">
        <v>0.6399155299999999</v>
      </c>
      <c r="E52" s="113">
        <v>0.118834</v>
      </c>
      <c r="F52" s="787">
        <v>0.52648567000000002</v>
      </c>
      <c r="G52" s="787">
        <v>0.21335665000000004</v>
      </c>
      <c r="H52" s="787">
        <f t="shared" si="11"/>
        <v>179.54175572647563</v>
      </c>
      <c r="I52" s="787">
        <f t="shared" si="7"/>
        <v>-59.475316773579031</v>
      </c>
      <c r="J52" s="787">
        <f t="shared" si="12"/>
        <v>-3.4185037951081892E-3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786" t="str">
        <f>IF(Indice_index!$Z$1=1,"Outros subsectores das AP","Other General Government subsectors")</f>
        <v>Outros subsectores das AP</v>
      </c>
      <c r="D53" s="222">
        <v>0</v>
      </c>
      <c r="E53" s="222">
        <v>0</v>
      </c>
      <c r="F53" s="787">
        <v>0</v>
      </c>
      <c r="G53" s="787">
        <v>0</v>
      </c>
      <c r="H53" s="787" t="str">
        <f t="shared" si="11"/>
        <v>-</v>
      </c>
      <c r="I53" s="787" t="str">
        <f t="shared" si="7"/>
        <v>-</v>
      </c>
      <c r="J53" s="787">
        <f t="shared" si="12"/>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786" t="str">
        <f>IF(Indice_index!$Z$1=1,"União Europeia","European Union")</f>
        <v>União Europeia</v>
      </c>
      <c r="D54" s="222">
        <v>133.12369321</v>
      </c>
      <c r="E54" s="222">
        <v>135.72310200000001</v>
      </c>
      <c r="F54" s="787">
        <v>133.06572520999998</v>
      </c>
      <c r="G54" s="787">
        <v>159.70507691999998</v>
      </c>
      <c r="H54" s="787">
        <f t="shared" si="11"/>
        <v>117.66978102224628</v>
      </c>
      <c r="I54" s="787">
        <f t="shared" si="7"/>
        <v>20.019694529119835</v>
      </c>
      <c r="J54" s="787">
        <f t="shared" si="12"/>
        <v>0.2908281222860048</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786" t="str">
        <f>IF(Indice_index!$Z$1=1,"Outras transferências","Other transfers")</f>
        <v>Outras transferências</v>
      </c>
      <c r="D55" s="222">
        <v>434.32292502000001</v>
      </c>
      <c r="E55" s="222">
        <v>4.3099279999999851</v>
      </c>
      <c r="F55" s="787">
        <v>321.84385300000002</v>
      </c>
      <c r="G55" s="787">
        <v>5.4743440000000305</v>
      </c>
      <c r="H55" s="787">
        <f t="shared" si="11"/>
        <v>127.01706385814448</v>
      </c>
      <c r="I55" s="787">
        <f t="shared" si="7"/>
        <v>-98.299068337340572</v>
      </c>
      <c r="J55" s="787">
        <f t="shared" si="12"/>
        <v>-3.4538809822641623</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898" t="str">
        <f>IF(Indice_index!$Z$1=1,"Outras despesas de capital","Other capital expenditure")</f>
        <v>Outras despesas de capital</v>
      </c>
      <c r="D56" s="222">
        <v>3.8170452699999999</v>
      </c>
      <c r="E56" s="222">
        <v>6.7249999999999996</v>
      </c>
      <c r="F56" s="787">
        <v>0</v>
      </c>
      <c r="G56" s="787">
        <v>0</v>
      </c>
      <c r="H56" s="787">
        <f t="shared" si="11"/>
        <v>0</v>
      </c>
      <c r="I56" s="787" t="str">
        <f t="shared" si="7"/>
        <v>-</v>
      </c>
      <c r="J56" s="787">
        <f t="shared" si="12"/>
        <v>0</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777" t="str">
        <f>IF(Indice_index!$Z$1=1,"Diferenças de consolidação","Consolidation differences")</f>
        <v>Diferenças de consolidação</v>
      </c>
      <c r="D57" s="222">
        <v>7.5698749999999995E-2</v>
      </c>
      <c r="E57" s="222">
        <v>0</v>
      </c>
      <c r="F57" s="787">
        <v>4.6885999999999997E-2</v>
      </c>
      <c r="G57" s="787">
        <v>4.9204999999999999E-2</v>
      </c>
      <c r="H57" s="787"/>
      <c r="I57" s="787"/>
      <c r="J57" s="787"/>
      <c r="K57" s="222"/>
      <c r="L57" s="57"/>
      <c r="M57" s="112"/>
      <c r="N57" s="112"/>
      <c r="O57" s="112"/>
      <c r="P57" s="112"/>
      <c r="Q57" s="112"/>
      <c r="R57" s="112"/>
      <c r="S57" s="112"/>
      <c r="T57" s="112"/>
      <c r="U57" s="112"/>
      <c r="V57" s="112"/>
      <c r="W57" s="112"/>
      <c r="X57" s="112"/>
      <c r="Y57" s="112"/>
      <c r="Z57" s="112"/>
      <c r="AA57" s="112"/>
      <c r="AB57" s="112"/>
      <c r="AC57" s="112"/>
    </row>
    <row r="58" spans="3:29" ht="4.5" customHeight="1">
      <c r="C58" s="898"/>
      <c r="D58" s="898"/>
      <c r="E58" s="898"/>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901" t="str">
        <f>IF(Indice_index!$Z$1=1,"Despesa efetiva","Effective Expenditure")</f>
        <v>Despesa efetiva</v>
      </c>
      <c r="D59" s="901">
        <f>+D34+D49</f>
        <v>13511.49495032999</v>
      </c>
      <c r="E59" s="901">
        <f>+E34+E49</f>
        <v>14953.276735999998</v>
      </c>
      <c r="F59" s="902">
        <f>+F34+F49</f>
        <v>9159.826601570001</v>
      </c>
      <c r="G59" s="902">
        <f>+G34+G49</f>
        <v>8903.019415660001</v>
      </c>
      <c r="H59" s="902">
        <f>IFERROR(IF(G59/E59*100&lt;-500,"-",IF(G59/E59*100&gt;500,"-",G59/E59*100)),"-")</f>
        <v>59.538919615029876</v>
      </c>
      <c r="I59" s="902">
        <f t="shared" ref="I59" si="13">IF(F59=0,"-",(G59-F59)/F59*100)</f>
        <v>-2.8036249710882419</v>
      </c>
      <c r="J59" s="902"/>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904"/>
      <c r="D60" s="904"/>
      <c r="E60" s="904"/>
      <c r="F60" s="787"/>
      <c r="G60" s="787"/>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780" t="str">
        <f>IF(Indice_index!$Z$1=1,"Saldo global","Overall Balance")</f>
        <v>Saldo global</v>
      </c>
      <c r="D61" s="780">
        <f>+(D9+D22)-(D34+D49)</f>
        <v>-2112.3079573299892</v>
      </c>
      <c r="E61" s="780">
        <f>+(E9+E22)-(E34+E49)</f>
        <v>-1400.3726009999973</v>
      </c>
      <c r="F61" s="781">
        <f>+(F9+F22)-(F34+F49)</f>
        <v>-662.27200784000161</v>
      </c>
      <c r="G61" s="781">
        <f>+(G9+G22)-(G34+G49)</f>
        <v>-259.02391837000505</v>
      </c>
      <c r="H61" s="781"/>
      <c r="I61" s="781"/>
      <c r="J61" s="781"/>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905"/>
      <c r="D62" s="905"/>
      <c r="E62" s="905"/>
      <c r="F62" s="918"/>
      <c r="G62" s="918"/>
      <c r="H62" s="111"/>
      <c r="I62" s="111"/>
      <c r="J62" s="111"/>
      <c r="K62" s="224"/>
      <c r="L62" s="57"/>
      <c r="M62" s="112"/>
      <c r="N62" s="112"/>
      <c r="O62" s="112"/>
      <c r="P62" s="112"/>
      <c r="Q62" s="112"/>
      <c r="R62" s="112"/>
      <c r="S62" s="112"/>
      <c r="T62" s="112"/>
      <c r="U62" s="112"/>
      <c r="V62" s="112"/>
      <c r="W62" s="112"/>
      <c r="X62" s="112"/>
      <c r="Y62" s="112"/>
    </row>
    <row r="63" spans="3:29" ht="15" customHeight="1">
      <c r="C63" s="898" t="str">
        <f>IF(Indice_index!$Z$1=1,"Despesa  primária","Primary Expenditure")</f>
        <v>Despesa  primária</v>
      </c>
      <c r="D63" s="113">
        <f>D59-D40</f>
        <v>12891.80783661999</v>
      </c>
      <c r="E63" s="113">
        <f>E59-E40</f>
        <v>14468.440596999997</v>
      </c>
      <c r="F63" s="784">
        <f>F59-F40</f>
        <v>8843.9939340700003</v>
      </c>
      <c r="G63" s="784">
        <f>G59-G40</f>
        <v>8767.2009219300016</v>
      </c>
      <c r="H63" s="787">
        <f>IFERROR(IF(G63/E63*100&lt;-500,"-",IF(G63/E63*100&gt;500,"-",G63/E63*100)),"-")</f>
        <v>60.595341033143981</v>
      </c>
      <c r="I63" s="787">
        <f>IF(F63=0,"-",(G63-F63)/F63*100)</f>
        <v>-0.86830692911453089</v>
      </c>
      <c r="J63" s="787"/>
      <c r="K63" s="222"/>
      <c r="L63" s="57"/>
      <c r="M63" s="112"/>
      <c r="N63" s="112"/>
      <c r="O63" s="112"/>
      <c r="P63" s="112"/>
      <c r="Q63" s="112"/>
      <c r="R63" s="112"/>
      <c r="S63" s="112"/>
      <c r="T63" s="112"/>
      <c r="U63" s="112"/>
      <c r="V63" s="112"/>
      <c r="W63" s="112"/>
      <c r="X63" s="112"/>
      <c r="Y63" s="112"/>
    </row>
    <row r="64" spans="3:29" ht="15" customHeight="1">
      <c r="C64" s="889" t="str">
        <f>IF(Indice_index!$Z$1=1,"Saldo corrente","Current balance")</f>
        <v>Saldo corrente</v>
      </c>
      <c r="D64" s="113">
        <f>+D9-D34</f>
        <v>-1068.462702079989</v>
      </c>
      <c r="E64" s="113">
        <f>+E9-E34</f>
        <v>106.71582000000126</v>
      </c>
      <c r="F64" s="784">
        <f>+F9-F34</f>
        <v>97.842933389998507</v>
      </c>
      <c r="G64" s="784">
        <f>+G9-G34</f>
        <v>456.7757793199944</v>
      </c>
      <c r="H64" s="111"/>
      <c r="I64" s="111"/>
      <c r="J64" s="111"/>
      <c r="K64" s="224"/>
      <c r="L64" s="57"/>
      <c r="M64" s="112"/>
      <c r="N64" s="112"/>
      <c r="O64" s="112"/>
      <c r="P64" s="112"/>
      <c r="Q64" s="112"/>
      <c r="R64" s="112"/>
      <c r="S64" s="112"/>
      <c r="T64" s="112"/>
      <c r="U64" s="112"/>
      <c r="V64" s="112"/>
      <c r="W64" s="112"/>
      <c r="X64" s="112"/>
      <c r="Y64" s="112"/>
    </row>
    <row r="65" spans="3:25" ht="15" customHeight="1">
      <c r="C65" s="889" t="str">
        <f>IF(Indice_index!$Z$1=1,"Saldo de capital","Capital balance")</f>
        <v>Saldo de capital</v>
      </c>
      <c r="D65" s="113">
        <f>D22-D49</f>
        <v>-1043.8452552500005</v>
      </c>
      <c r="E65" s="113">
        <f>E22-E49</f>
        <v>-1507.0884209999995</v>
      </c>
      <c r="F65" s="784">
        <f>F22-F49</f>
        <v>-760.11494123000011</v>
      </c>
      <c r="G65" s="784">
        <f>G22-G49</f>
        <v>-715.7996976899999</v>
      </c>
      <c r="H65" s="111"/>
      <c r="I65" s="111"/>
      <c r="J65" s="111"/>
      <c r="K65" s="224"/>
      <c r="L65" s="57"/>
      <c r="M65" s="112"/>
      <c r="N65" s="112"/>
      <c r="O65" s="112"/>
      <c r="P65" s="112"/>
      <c r="Q65" s="112"/>
      <c r="R65" s="112"/>
      <c r="S65" s="112"/>
      <c r="T65" s="112"/>
      <c r="U65" s="112"/>
      <c r="V65" s="112"/>
      <c r="W65" s="112"/>
      <c r="X65" s="112"/>
      <c r="Y65" s="112"/>
    </row>
    <row r="66" spans="3:25" ht="15" customHeight="1">
      <c r="C66" s="889" t="str">
        <f>IF(Indice_index!$Z$1=1,"Saldo primário","Primary balance")</f>
        <v>Saldo primário</v>
      </c>
      <c r="D66" s="113">
        <f>D61+D40</f>
        <v>-1492.6208436199893</v>
      </c>
      <c r="E66" s="113">
        <f>E61+E40</f>
        <v>-915.5364619999973</v>
      </c>
      <c r="F66" s="784">
        <f>F61+F40</f>
        <v>-346.43934034000165</v>
      </c>
      <c r="G66" s="784">
        <f>G61+G40</f>
        <v>-123.20542464000505</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784"/>
      <c r="G67" s="784"/>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Ativos financeiros líquidos de reembolsos</v>
      </c>
      <c r="D68" s="135">
        <v>482.44470149000017</v>
      </c>
      <c r="E68" s="135">
        <v>867.68834500000048</v>
      </c>
      <c r="F68" s="784">
        <v>-795.03715174000001</v>
      </c>
      <c r="G68" s="784">
        <v>-802.36066460999973</v>
      </c>
      <c r="H68" s="784"/>
      <c r="I68" s="784"/>
      <c r="J68" s="111"/>
      <c r="K68" s="224"/>
      <c r="L68" s="57"/>
      <c r="M68" s="112"/>
      <c r="N68" s="112"/>
      <c r="O68" s="112"/>
      <c r="P68" s="112"/>
      <c r="Q68" s="112"/>
      <c r="R68" s="112"/>
      <c r="S68" s="112"/>
      <c r="T68" s="112"/>
      <c r="U68" s="112"/>
      <c r="V68" s="112"/>
      <c r="W68" s="112"/>
      <c r="X68" s="112"/>
      <c r="Y68" s="112"/>
    </row>
    <row r="69" spans="3:25" ht="15" customHeight="1">
      <c r="C69" s="908" t="str">
        <f>IF(Indice_index!$Z$1=1,"dos quais Receitas de:","of which revenue from:")</f>
        <v>dos quais Receitas de:</v>
      </c>
      <c r="D69" s="908"/>
      <c r="E69" s="908"/>
      <c r="F69" s="784"/>
      <c r="G69" s="784"/>
      <c r="H69" s="784"/>
      <c r="I69" s="784"/>
      <c r="J69" s="111"/>
      <c r="K69" s="224"/>
      <c r="L69" s="57"/>
      <c r="M69" s="112"/>
      <c r="N69" s="112"/>
      <c r="O69" s="112"/>
      <c r="P69" s="112"/>
      <c r="Q69" s="112"/>
      <c r="R69" s="112"/>
      <c r="S69" s="112"/>
      <c r="T69" s="112"/>
      <c r="U69" s="112"/>
      <c r="V69" s="112"/>
      <c r="W69" s="112"/>
      <c r="X69" s="112"/>
      <c r="Y69" s="112"/>
    </row>
    <row r="70" spans="3:25" ht="15" customHeight="1">
      <c r="C70" s="785" t="str">
        <f>IF(Indice_index!$Z$1=1,"Alienação de partes de Capital","Disposal of Capital Shares")</f>
        <v>Alienação de partes de Capital</v>
      </c>
      <c r="D70" s="113">
        <v>0</v>
      </c>
      <c r="E70" s="113">
        <v>0</v>
      </c>
      <c r="F70" s="784">
        <v>0</v>
      </c>
      <c r="G70" s="784">
        <v>0</v>
      </c>
      <c r="H70" s="787"/>
      <c r="I70" s="787" t="str">
        <f t="shared" ref="I70:I71" si="14">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786" t="str">
        <f>IF(Indice_index!$Z$1=1,"Outros Ativos","Other Assets")</f>
        <v>Outros Ativos</v>
      </c>
      <c r="D71" s="113">
        <v>1366.74815977</v>
      </c>
      <c r="E71" s="113">
        <v>5394.3613129999994</v>
      </c>
      <c r="F71" s="784">
        <v>1565.1990144000001</v>
      </c>
      <c r="G71" s="784">
        <v>1742.9008503699999</v>
      </c>
      <c r="H71" s="787"/>
      <c r="I71" s="787">
        <f t="shared" si="14"/>
        <v>11.35330615053573</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Passivos financeiros líquidos de amortizações</v>
      </c>
      <c r="D72" s="135">
        <v>2015.7860917899998</v>
      </c>
      <c r="E72" s="135">
        <v>2301.8138350000004</v>
      </c>
      <c r="F72" s="784">
        <v>1044.3177070799998</v>
      </c>
      <c r="G72" s="784">
        <v>1025.9548977300001</v>
      </c>
      <c r="H72" s="784"/>
      <c r="I72" s="784"/>
      <c r="J72" s="111"/>
      <c r="K72" s="224"/>
      <c r="L72" s="57"/>
      <c r="M72" s="112"/>
      <c r="N72" s="112"/>
      <c r="O72" s="112"/>
      <c r="P72" s="112"/>
      <c r="Q72" s="112"/>
      <c r="R72" s="112"/>
      <c r="S72" s="112"/>
      <c r="T72" s="112"/>
      <c r="U72" s="112"/>
      <c r="V72" s="112"/>
      <c r="W72" s="112"/>
      <c r="X72" s="112"/>
      <c r="Y72" s="112"/>
    </row>
    <row r="73" spans="3:25" ht="15" customHeight="1">
      <c r="C73" s="890" t="str">
        <f>IF(Indice_index!$Z$1=1,"Poupança (+) / Utilização (-) de saldo da gerência anterior","Saving (+) / Usage (-) of balance from previous management")</f>
        <v>Poupança (+) / Utilização (-) de saldo da gerência anterior</v>
      </c>
      <c r="D73" s="890">
        <f>D61-D68+D72</f>
        <v>-578.96656702998962</v>
      </c>
      <c r="E73" s="890">
        <f>E61-E68+E72</f>
        <v>33.752889000002597</v>
      </c>
      <c r="F73" s="891">
        <v>1177.0828509799981</v>
      </c>
      <c r="G73" s="891">
        <v>1569.2916439699948</v>
      </c>
      <c r="H73" s="891"/>
      <c r="I73" s="891"/>
      <c r="J73" s="891"/>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919"/>
      <c r="G74" s="464"/>
      <c r="H74" s="464"/>
      <c r="I74" s="464"/>
      <c r="J74" s="464"/>
      <c r="K74" s="57"/>
      <c r="L74" s="58"/>
      <c r="P74" s="50"/>
      <c r="Q74" s="50"/>
      <c r="R74" s="50"/>
    </row>
    <row r="75" spans="3:25" s="53" customFormat="1" ht="15" customHeight="1">
      <c r="C75" s="766" t="str">
        <f>IF(Indice_index!$Z$1=1,"Notas:","Notes:")</f>
        <v>Notas:</v>
      </c>
      <c r="D75" s="766"/>
      <c r="E75" s="766"/>
      <c r="F75" s="58"/>
      <c r="L75" s="58"/>
      <c r="M75" s="50"/>
      <c r="N75" s="50"/>
      <c r="O75" s="50"/>
    </row>
    <row r="76" spans="3:25" s="22" customFormat="1" ht="15" customHeight="1">
      <c r="C76" s="1685" t="str">
        <f>+'5 - Conta AC + SS'!$C$64</f>
        <v>Os dados de 2021 são mensalmente revistos e atualizados face ao publicado nas Sínteses de Execução Orçamental de 2021.</v>
      </c>
      <c r="D76" s="1685"/>
      <c r="E76" s="1685"/>
      <c r="F76" s="1685"/>
      <c r="G76" s="1685"/>
      <c r="H76" s="1685"/>
      <c r="I76" s="1685"/>
      <c r="J76" s="1685"/>
      <c r="K76" s="62"/>
      <c r="R76" s="24"/>
      <c r="S76" s="24"/>
    </row>
    <row r="77" spans="3:25" s="62" customFormat="1" ht="4.5" customHeight="1">
      <c r="C77" s="653"/>
      <c r="D77" s="653"/>
      <c r="E77" s="653"/>
      <c r="F77" s="653"/>
      <c r="G77" s="653"/>
      <c r="H77" s="653"/>
      <c r="I77" s="653"/>
      <c r="J77" s="653"/>
      <c r="L77" s="58"/>
      <c r="M77" s="97"/>
      <c r="N77" s="97"/>
    </row>
    <row r="78" spans="3:25" s="53" customFormat="1" ht="15" customHeight="1">
      <c r="C78" s="1696" t="str">
        <f>IF(Indice_index!$Z$1=1,"Entidades em incumprimento no reporte de execução orçamental no mês em análise:","Non reporting entities are identified below ")</f>
        <v>Entidades em incumprimento no reporte de execução orçamental no mês em análise:</v>
      </c>
      <c r="D78" s="1696"/>
      <c r="E78" s="1696"/>
      <c r="F78" s="1696"/>
      <c r="G78" s="1696"/>
      <c r="H78" s="1696"/>
      <c r="I78" s="1696"/>
      <c r="J78" s="1696"/>
      <c r="L78" s="58"/>
      <c r="M78" s="50"/>
      <c r="N78" s="50"/>
      <c r="O78" s="50"/>
    </row>
    <row r="79" spans="3:25" s="53" customFormat="1" ht="12.75" hidden="1" customHeight="1">
      <c r="C79" s="909" t="s">
        <v>67</v>
      </c>
      <c r="D79" s="910"/>
      <c r="E79" s="910"/>
      <c r="F79" s="911"/>
      <c r="G79" s="911"/>
      <c r="H79" s="911"/>
      <c r="I79" s="911"/>
      <c r="J79" s="911"/>
      <c r="K79" s="216"/>
      <c r="M79" s="50"/>
      <c r="N79" s="50"/>
      <c r="O79" s="50"/>
    </row>
    <row r="80" spans="3:25" s="53" customFormat="1" ht="12.65" hidden="1" customHeight="1">
      <c r="C80" s="1698"/>
      <c r="D80" s="1698"/>
      <c r="E80" s="1698"/>
      <c r="F80" s="1698"/>
      <c r="G80" s="1698"/>
      <c r="H80" s="1698"/>
      <c r="I80" s="1698"/>
      <c r="J80" s="1698"/>
      <c r="K80" s="219"/>
      <c r="M80" s="50"/>
      <c r="N80" s="50"/>
      <c r="O80" s="50"/>
    </row>
    <row r="81" spans="3:22" s="53" customFormat="1" ht="15" customHeight="1">
      <c r="C81" s="909" t="s">
        <v>74</v>
      </c>
      <c r="D81" s="910"/>
      <c r="E81" s="910"/>
      <c r="F81" s="911"/>
      <c r="G81" s="911"/>
      <c r="H81" s="911"/>
      <c r="I81" s="911"/>
      <c r="J81" s="911"/>
      <c r="K81" s="216"/>
      <c r="M81" s="50"/>
      <c r="N81" s="50"/>
      <c r="O81" s="50"/>
    </row>
    <row r="82" spans="3:22" s="53" customFormat="1" ht="20.25" customHeight="1">
      <c r="C82" s="1698" t="s">
        <v>598</v>
      </c>
      <c r="D82" s="1698"/>
      <c r="E82" s="1698"/>
      <c r="F82" s="1698"/>
      <c r="G82" s="1698"/>
      <c r="H82" s="1698"/>
      <c r="I82" s="1698"/>
      <c r="J82" s="1698"/>
      <c r="K82" s="218"/>
      <c r="L82" s="1703"/>
      <c r="M82" s="1703"/>
      <c r="N82" s="1703"/>
      <c r="O82" s="1703"/>
      <c r="P82" s="1703"/>
      <c r="Q82" s="1703"/>
      <c r="R82" s="1703"/>
      <c r="S82" s="1703"/>
      <c r="T82" s="1703"/>
      <c r="U82" s="1703"/>
    </row>
    <row r="83" spans="3:22" s="99" customFormat="1" ht="4.5" customHeight="1">
      <c r="C83" s="225"/>
      <c r="D83" s="225"/>
      <c r="E83" s="225"/>
      <c r="F83" s="225"/>
      <c r="G83" s="225"/>
      <c r="H83" s="225"/>
      <c r="I83" s="225"/>
      <c r="J83" s="225"/>
      <c r="K83" s="225"/>
      <c r="M83" s="103"/>
      <c r="N83" s="103"/>
      <c r="O83" s="103"/>
    </row>
    <row r="84" spans="3:22" s="53" customFormat="1" ht="25.5" customHeight="1">
      <c r="C84" s="1699" t="str">
        <f>IF(Indice_index!$Z$1=1,C101,C102)</f>
        <v>Para as entidades identificadas considera-se na execução orçamental uma estimativa de execução para os meses em falta, esta estimativa consiste na correspondente previsão mensal.</v>
      </c>
      <c r="D84" s="1699"/>
      <c r="E84" s="1699"/>
      <c r="F84" s="1699"/>
      <c r="G84" s="1699"/>
      <c r="H84" s="1699"/>
      <c r="I84" s="1699"/>
      <c r="J84" s="1699"/>
      <c r="K84" s="218"/>
      <c r="M84" s="50"/>
      <c r="N84" s="50"/>
      <c r="O84" s="50"/>
    </row>
    <row r="85" spans="3:22" s="53" customFormat="1" ht="4.5" customHeight="1">
      <c r="C85" s="920"/>
      <c r="D85" s="920"/>
      <c r="E85" s="920"/>
      <c r="F85" s="920"/>
      <c r="G85" s="920"/>
      <c r="H85" s="920"/>
      <c r="I85" s="920"/>
      <c r="J85" s="920"/>
      <c r="K85" s="218"/>
      <c r="M85" s="50"/>
      <c r="N85" s="50"/>
      <c r="O85" s="50"/>
    </row>
    <row r="86" spans="3:22" s="53" customFormat="1" ht="17.5" customHeight="1">
      <c r="C86" s="1698"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698"/>
      <c r="E86" s="1698"/>
      <c r="F86" s="1698"/>
      <c r="G86" s="1698"/>
      <c r="H86" s="1698"/>
      <c r="I86" s="1698"/>
      <c r="J86" s="1698"/>
      <c r="K86" s="226"/>
      <c r="M86" s="50"/>
      <c r="N86" s="50"/>
      <c r="O86" s="50"/>
    </row>
    <row r="87" spans="3:22" s="341" customFormat="1" ht="4.5" customHeight="1">
      <c r="C87" s="642"/>
      <c r="D87" s="642"/>
      <c r="E87" s="642"/>
      <c r="F87" s="642"/>
      <c r="G87" s="642"/>
      <c r="H87" s="921"/>
      <c r="I87" s="642"/>
      <c r="J87" s="642"/>
      <c r="K87" s="340"/>
      <c r="L87" s="340"/>
      <c r="M87" s="340"/>
      <c r="N87" s="340"/>
      <c r="O87" s="340"/>
      <c r="P87" s="340"/>
      <c r="T87" s="342"/>
      <c r="U87" s="342"/>
      <c r="V87" s="342"/>
    </row>
    <row r="88" spans="3:22" s="53" customFormat="1" ht="15" customHeight="1">
      <c r="C88" s="752" t="str">
        <f>IF(Indice_index!$Z$1=1,"Fonte: Direção-Geral do Orçamento","Source: Budget General Directorate")</f>
        <v>Fonte: Direção-Geral do Orçamento</v>
      </c>
      <c r="D88" s="752"/>
      <c r="E88" s="752"/>
      <c r="K88" s="100"/>
      <c r="L88" s="100"/>
      <c r="M88" s="100"/>
      <c r="N88" s="100"/>
      <c r="O88" s="100"/>
      <c r="P88" s="100"/>
      <c r="Q88" s="100"/>
    </row>
    <row r="89" spans="3:22" s="106" customFormat="1" ht="12.75" customHeight="1">
      <c r="C89" s="105"/>
      <c r="D89" s="105"/>
      <c r="E89" s="105"/>
      <c r="F89" s="115"/>
      <c r="G89" s="105"/>
      <c r="H89" s="642"/>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695"/>
      <c r="D92" s="1695"/>
      <c r="E92" s="1695"/>
      <c r="F92" s="1695"/>
      <c r="G92" s="1695"/>
      <c r="H92" s="1695"/>
      <c r="I92" s="1695"/>
      <c r="J92" s="1695"/>
      <c r="K92" s="850"/>
      <c r="O92" s="102"/>
      <c r="P92" s="102"/>
      <c r="Q92" s="102"/>
    </row>
    <row r="93" spans="3:22" s="101" customFormat="1" ht="12.75" customHeight="1">
      <c r="C93" s="1695"/>
      <c r="D93" s="1695"/>
      <c r="E93" s="1695"/>
      <c r="F93" s="1695"/>
      <c r="G93" s="1695"/>
      <c r="H93" s="1695"/>
      <c r="I93" s="1695"/>
      <c r="J93" s="1695"/>
      <c r="K93" s="850"/>
      <c r="O93" s="102"/>
      <c r="P93" s="102"/>
      <c r="Q93" s="102"/>
    </row>
    <row r="94" spans="3:22" s="101" customFormat="1" ht="26.25" customHeight="1">
      <c r="C94" s="1695"/>
      <c r="D94" s="1695"/>
      <c r="E94" s="1695"/>
      <c r="F94" s="1695"/>
      <c r="G94" s="1695"/>
      <c r="H94" s="1695"/>
      <c r="I94" s="1695"/>
      <c r="J94" s="1695"/>
      <c r="K94" s="850"/>
      <c r="O94" s="102"/>
      <c r="P94" s="102"/>
      <c r="Q94" s="102"/>
    </row>
    <row r="95" spans="3:22" s="101" customFormat="1" ht="24.75" customHeight="1">
      <c r="C95" s="1695"/>
      <c r="D95" s="1695"/>
      <c r="E95" s="1695"/>
      <c r="F95" s="1695"/>
      <c r="G95" s="1695"/>
      <c r="H95" s="1695"/>
      <c r="I95" s="1695"/>
      <c r="J95" s="1695"/>
      <c r="K95" s="850"/>
      <c r="O95" s="102"/>
      <c r="P95" s="102"/>
      <c r="Q95" s="102"/>
    </row>
    <row r="96" spans="3:22" s="101" customFormat="1" ht="12.75" customHeight="1">
      <c r="C96" s="1695"/>
      <c r="D96" s="1695"/>
      <c r="E96" s="1695"/>
      <c r="F96" s="1695"/>
      <c r="G96" s="1695"/>
      <c r="H96" s="1695"/>
      <c r="I96" s="1695"/>
      <c r="J96" s="1695"/>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04"/>
      <c r="D100" s="1704"/>
      <c r="E100" s="1704"/>
      <c r="F100" s="1704"/>
      <c r="G100" s="1704"/>
      <c r="H100" s="1704"/>
      <c r="I100" s="1704"/>
      <c r="J100" s="1704"/>
      <c r="K100" s="348"/>
      <c r="Q100" s="102"/>
      <c r="R100" s="102"/>
      <c r="S100" s="102"/>
    </row>
    <row r="101" spans="3:19" s="422" customFormat="1">
      <c r="C101" s="1705" t="s">
        <v>75</v>
      </c>
      <c r="D101" s="1706"/>
      <c r="E101" s="1706"/>
      <c r="F101" s="1706"/>
      <c r="G101" s="1706"/>
      <c r="H101" s="1706"/>
      <c r="I101" s="1706"/>
      <c r="J101" s="1706"/>
      <c r="K101" s="515"/>
      <c r="Q101" s="103"/>
      <c r="R101" s="103"/>
      <c r="S101" s="103"/>
    </row>
    <row r="102" spans="3:19" s="422" customFormat="1">
      <c r="C102" s="1697" t="s">
        <v>76</v>
      </c>
      <c r="D102" s="1697"/>
      <c r="E102" s="1697"/>
      <c r="F102" s="1697"/>
      <c r="G102" s="1697"/>
      <c r="H102" s="1697"/>
      <c r="I102" s="1697"/>
      <c r="J102" s="1697"/>
      <c r="Q102" s="103"/>
      <c r="R102" s="103"/>
      <c r="S102" s="103"/>
    </row>
    <row r="103" spans="3:19" s="106" customFormat="1">
      <c r="C103" s="1697" t="s">
        <v>6</v>
      </c>
      <c r="D103" s="1697"/>
      <c r="E103" s="1697"/>
      <c r="F103" s="1697"/>
      <c r="G103" s="1697"/>
      <c r="H103" s="1697"/>
      <c r="I103" s="1697"/>
      <c r="J103" s="1697"/>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7" customWidth="1"/>
    <col min="2" max="2" width="4.453125" style="117" customWidth="1"/>
    <col min="3" max="3" width="40.81640625" style="117" customWidth="1"/>
    <col min="4" max="10" width="9.453125" style="117" customWidth="1"/>
    <col min="11" max="11" width="8.54296875" style="118" customWidth="1"/>
    <col min="12" max="12" width="9.54296875" style="117" bestFit="1" customWidth="1"/>
    <col min="13" max="14" width="8.54296875" style="117" customWidth="1"/>
    <col min="15" max="15" width="9.81640625" style="117" bestFit="1" customWidth="1"/>
    <col min="16" max="16" width="10.1796875" style="117" customWidth="1"/>
    <col min="17" max="17" width="14.54296875" style="117" bestFit="1" customWidth="1"/>
    <col min="18" max="18" width="12.453125" style="117" customWidth="1"/>
    <col min="19" max="19" width="10" style="117" customWidth="1"/>
    <col min="20" max="23" width="6.54296875" style="117" customWidth="1"/>
    <col min="24" max="24" width="9" style="117" bestFit="1" customWidth="1"/>
    <col min="25" max="27" width="9.1796875" style="50" customWidth="1"/>
    <col min="28" max="28" width="9.1796875" style="117" customWidth="1"/>
    <col min="29" max="16384" width="9.179687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803" t="str">
        <f>+'5 - Conta AC + SS'!C5</f>
        <v>Período: janeiro a setembro</v>
      </c>
      <c r="D5" s="803"/>
      <c r="E5" s="803"/>
      <c r="F5" s="1112"/>
      <c r="G5" s="1112"/>
      <c r="H5" s="1112"/>
      <c r="I5" s="1112"/>
      <c r="J5" s="871" t="str">
        <f>IF(Indice_index!$Z$1=1,"€ Milhões","€ Millions")</f>
        <v>€ Milhões</v>
      </c>
      <c r="K5" s="380"/>
      <c r="L5" s="291"/>
      <c r="Y5" s="248"/>
      <c r="Z5" s="248"/>
      <c r="AA5" s="248"/>
    </row>
    <row r="6" spans="2:33" ht="30.75" customHeight="1">
      <c r="C6" s="1113"/>
      <c r="D6" s="737" t="str">
        <f>IF(Indice_index!$Z$1=1,"CGE","Final execution")</f>
        <v>CGE</v>
      </c>
      <c r="E6" s="737" t="str">
        <f>IF(Indice_index!$Z$1=1,"Orçamento Inicial","Budget")</f>
        <v>Orçamento Inicial</v>
      </c>
      <c r="F6" s="1686" t="str">
        <f>IF(Indice_index!$Z$1=1,"Execução Acumulada","Accumulated Execution")</f>
        <v>Execução Acumulada</v>
      </c>
      <c r="G6" s="1686"/>
      <c r="H6" s="914" t="str">
        <f>IF(Indice_index!$Z$1=1,"Grau de Execução (%)","Execution Degree (%)")</f>
        <v>Grau de Execução (%)</v>
      </c>
      <c r="I6" s="1687" t="str">
        <f>IF(Indice_index!$Z$1=1,"Variação Homóloga Acumulada","YOY Change Rate")</f>
        <v>Variação Homóloga Acumulada</v>
      </c>
      <c r="J6" s="1688"/>
      <c r="K6" s="117"/>
    </row>
    <row r="7" spans="2:33" ht="33" customHeight="1">
      <c r="C7" s="1114"/>
      <c r="D7" s="739" t="s">
        <v>67</v>
      </c>
      <c r="E7" s="739" t="s">
        <v>74</v>
      </c>
      <c r="F7" s="740" t="s">
        <v>67</v>
      </c>
      <c r="G7" s="740" t="s">
        <v>74</v>
      </c>
      <c r="H7" s="742" t="s">
        <v>74</v>
      </c>
      <c r="I7" s="742" t="str">
        <f>IF(Indice_index!$Z$1=1,"Relativa (%)","Relative change (%)")</f>
        <v>Relativa (%)</v>
      </c>
      <c r="J7" s="743" t="str">
        <f>IF(Indice_index!$Z$1=1,"Contributo VHA (p.p.)","YOY Change Rate Contrib. (p.p.)")</f>
        <v>Contributo VHA (p.p.)</v>
      </c>
      <c r="K7" s="117"/>
    </row>
    <row r="8" spans="2:33" s="292" customFormat="1" ht="15" customHeight="1">
      <c r="C8" s="1115" t="str">
        <f>IF(Indice_index!$Z$1=1,"Receita corrente","Current revenue")</f>
        <v>Receita corrente</v>
      </c>
      <c r="D8" s="1115">
        <f>+D9+D14+D23</f>
        <v>10366.37250845</v>
      </c>
      <c r="E8" s="1115">
        <f>+E9+E14+E23</f>
        <v>10352.569979999998</v>
      </c>
      <c r="F8" s="1115">
        <f>+F9+F14+F23</f>
        <v>7385.507243840002</v>
      </c>
      <c r="G8" s="1115">
        <f>+G9+G14+G23</f>
        <v>7267.9629342500002</v>
      </c>
      <c r="H8" s="1116">
        <f>IFERROR(IF(G8/E8*100&lt;-500,"-",IF(G8/E8*100&gt;500,"-",G8/E8*100)),"-")</f>
        <v>70.204431829882708</v>
      </c>
      <c r="I8" s="1116">
        <f t="shared" ref="I8:I20" si="0">IF(IFERROR((G8-F8)/F8*100,"")&gt;500,"-",IFERROR((G8-F8)/F8*100,""))</f>
        <v>-1.5915536429544699</v>
      </c>
      <c r="J8" s="1116">
        <f>IFERROR((G8-F8)/$F$27*100,"-")</f>
        <v>-1.5915536429544699</v>
      </c>
      <c r="K8" s="290"/>
      <c r="L8" s="293"/>
      <c r="M8" s="293"/>
      <c r="N8" s="419"/>
      <c r="O8" s="419"/>
      <c r="P8" s="293"/>
      <c r="Q8" s="293"/>
      <c r="R8" s="293"/>
      <c r="S8" s="293"/>
      <c r="T8" s="293"/>
      <c r="U8" s="293"/>
      <c r="V8" s="293"/>
      <c r="W8" s="293"/>
      <c r="X8" s="293"/>
      <c r="Y8" s="293"/>
      <c r="Z8" s="293"/>
      <c r="AA8" s="293"/>
    </row>
    <row r="9" spans="2:33" ht="15" customHeight="1">
      <c r="C9" s="1117" t="str">
        <f>IF(Indice_index!$Z$1=1,"Contribuições para a Caixa Geral de Aposentações","Contributions to the Public Servants Social Scheme (CGA)")</f>
        <v>Contribuições para a Caixa Geral de Aposentações</v>
      </c>
      <c r="D9" s="1118">
        <f t="shared" ref="D9:G9" si="1">+D10+D11</f>
        <v>4119.3248779699998</v>
      </c>
      <c r="E9" s="1118">
        <f t="shared" si="1"/>
        <v>4057.5362800000003</v>
      </c>
      <c r="F9" s="1118">
        <f t="shared" si="1"/>
        <v>2918.49773254</v>
      </c>
      <c r="G9" s="1118">
        <f t="shared" si="1"/>
        <v>2842.2761766499998</v>
      </c>
      <c r="H9" s="1119">
        <f t="shared" ref="H9:H25" si="2">IFERROR(IF(G9/E9*100&lt;-500,"-",IF(G9/E9*100&gt;500,"-",G9/E9*100)),"-")</f>
        <v>70.049310234386851</v>
      </c>
      <c r="I9" s="1119">
        <f t="shared" si="0"/>
        <v>-2.6116708963026598</v>
      </c>
      <c r="J9" s="1119">
        <f t="shared" ref="J9:J25" si="3">IFERROR((G9-F9)/$F$27*100,"-")</f>
        <v>-1.032042260246566</v>
      </c>
      <c r="K9" s="117"/>
      <c r="L9" s="87"/>
      <c r="M9" s="87"/>
      <c r="N9" s="419"/>
      <c r="O9" s="419"/>
      <c r="P9" s="293"/>
      <c r="Q9" s="293"/>
      <c r="R9" s="293"/>
      <c r="S9" s="87"/>
      <c r="T9" s="87"/>
      <c r="U9" s="87"/>
      <c r="V9" s="87"/>
      <c r="W9" s="87"/>
      <c r="X9" s="87"/>
      <c r="Y9" s="87"/>
      <c r="Z9" s="87"/>
      <c r="AA9" s="87"/>
      <c r="AB9" s="87"/>
      <c r="AC9" s="87"/>
      <c r="AD9" s="87"/>
      <c r="AE9" s="87"/>
      <c r="AF9" s="87"/>
      <c r="AG9" s="87"/>
    </row>
    <row r="10" spans="2:33" ht="15" customHeight="1">
      <c r="C10" s="1120" t="str">
        <f>IF(Indice_index!$Z$1=1,"Quotas e contribuições para a CGA","Fees and contributions to the CGA")</f>
        <v>Quotas e contribuições para a CGA</v>
      </c>
      <c r="D10" s="1118">
        <v>4004.8889900199997</v>
      </c>
      <c r="E10" s="1118">
        <v>3939.8765800000001</v>
      </c>
      <c r="F10" s="1118">
        <v>2836.6989623600002</v>
      </c>
      <c r="G10" s="1118">
        <v>2759.5044322399999</v>
      </c>
      <c r="H10" s="1119">
        <f t="shared" si="2"/>
        <v>70.04037756532972</v>
      </c>
      <c r="I10" s="1119">
        <f t="shared" si="0"/>
        <v>-2.7212803030667057</v>
      </c>
      <c r="J10" s="1119">
        <f t="shared" si="3"/>
        <v>-1.0452163618739339</v>
      </c>
      <c r="K10" s="117"/>
      <c r="L10" s="87"/>
      <c r="M10" s="87"/>
      <c r="N10" s="419"/>
      <c r="O10" s="419"/>
      <c r="P10" s="293"/>
      <c r="Q10" s="293"/>
      <c r="R10" s="293"/>
      <c r="S10" s="87"/>
      <c r="T10" s="87"/>
      <c r="U10" s="87"/>
      <c r="V10" s="87"/>
      <c r="W10" s="87"/>
      <c r="X10" s="87"/>
      <c r="Y10" s="87"/>
      <c r="Z10" s="87"/>
      <c r="AA10" s="87"/>
      <c r="AB10" s="87"/>
      <c r="AC10" s="87"/>
      <c r="AD10" s="87"/>
      <c r="AE10" s="87"/>
      <c r="AF10" s="87"/>
      <c r="AG10" s="87"/>
    </row>
    <row r="11" spans="2:33" ht="15" customHeight="1">
      <c r="C11" s="1120" t="str">
        <f>IF(Indice_index!$Z$1=1,"Compensação por pagamento de pensões","Pension payment compensations")</f>
        <v>Compensação por pagamento de pensões</v>
      </c>
      <c r="D11" s="1121">
        <f t="shared" ref="D11:E11" si="4">+D12+D13</f>
        <v>114.43588794999999</v>
      </c>
      <c r="E11" s="1121">
        <f t="shared" si="4"/>
        <v>117.6597</v>
      </c>
      <c r="F11" s="1121">
        <f t="shared" ref="F11:G11" si="5">+F12+F13</f>
        <v>81.798770179999991</v>
      </c>
      <c r="G11" s="1121">
        <f t="shared" si="5"/>
        <v>82.771744409999997</v>
      </c>
      <c r="H11" s="1119">
        <f t="shared" si="2"/>
        <v>70.348423810361567</v>
      </c>
      <c r="I11" s="1119">
        <f t="shared" si="0"/>
        <v>1.1894729320000219</v>
      </c>
      <c r="J11" s="1119">
        <f t="shared" si="3"/>
        <v>1.3174101627366623E-2</v>
      </c>
      <c r="K11" s="117"/>
      <c r="L11" s="87"/>
      <c r="M11" s="87"/>
      <c r="N11" s="419"/>
      <c r="O11" s="419"/>
      <c r="P11" s="293"/>
      <c r="Q11" s="293"/>
      <c r="R11" s="293"/>
      <c r="S11" s="87"/>
      <c r="T11" s="87"/>
      <c r="U11" s="87"/>
      <c r="V11" s="87"/>
      <c r="W11" s="87"/>
      <c r="X11" s="87"/>
      <c r="Y11" s="87"/>
      <c r="Z11" s="87"/>
      <c r="AA11" s="87"/>
      <c r="AB11" s="87"/>
      <c r="AC11" s="87"/>
      <c r="AD11" s="87"/>
      <c r="AE11" s="87"/>
      <c r="AF11" s="87"/>
      <c r="AG11" s="87"/>
    </row>
    <row r="12" spans="2:33" ht="15" customHeight="1">
      <c r="C12" s="1122" t="str">
        <f>IF(Indice_index!$Z$1=1,"Subsectores das Administrações Públicas","General Government subsectors")</f>
        <v>Subsectores das Administrações Públicas</v>
      </c>
      <c r="D12" s="1118">
        <v>53.576918370000001</v>
      </c>
      <c r="E12" s="1118">
        <v>44.237499999999997</v>
      </c>
      <c r="F12" s="1118">
        <v>38.647869990000004</v>
      </c>
      <c r="G12" s="1118">
        <v>28.1758253</v>
      </c>
      <c r="H12" s="1119">
        <f t="shared" si="2"/>
        <v>63.692173608363944</v>
      </c>
      <c r="I12" s="1119">
        <f t="shared" si="0"/>
        <v>-27.096046153926746</v>
      </c>
      <c r="J12" s="1119">
        <f t="shared" si="3"/>
        <v>-0.14179181394391532</v>
      </c>
      <c r="K12" s="117"/>
      <c r="L12" s="87"/>
      <c r="M12" s="87"/>
      <c r="N12" s="419"/>
      <c r="O12" s="419"/>
      <c r="P12" s="293"/>
      <c r="Q12" s="293"/>
      <c r="R12" s="293"/>
      <c r="S12" s="87"/>
      <c r="T12" s="87"/>
      <c r="U12" s="87"/>
      <c r="V12" s="87"/>
      <c r="W12" s="87"/>
      <c r="X12" s="87"/>
      <c r="Y12" s="87"/>
      <c r="Z12" s="87"/>
      <c r="AA12" s="87"/>
      <c r="AB12" s="87"/>
      <c r="AC12" s="87"/>
      <c r="AD12" s="87"/>
      <c r="AE12" s="87"/>
      <c r="AF12" s="87"/>
      <c r="AG12" s="87"/>
    </row>
    <row r="13" spans="2:33" ht="15" customHeight="1">
      <c r="C13" s="1122" t="str">
        <f>IF(Indice_index!$Z$1=1,"Outras entidades","Other entities")</f>
        <v>Outras entidades</v>
      </c>
      <c r="D13" s="1118">
        <v>60.85896958</v>
      </c>
      <c r="E13" s="1118">
        <v>73.422200000000004</v>
      </c>
      <c r="F13" s="1118">
        <v>43.150900189999994</v>
      </c>
      <c r="G13" s="1118">
        <v>54.595919109999997</v>
      </c>
      <c r="H13" s="1119">
        <f t="shared" si="2"/>
        <v>74.358871172479155</v>
      </c>
      <c r="I13" s="1119">
        <f t="shared" si="0"/>
        <v>26.523244867675622</v>
      </c>
      <c r="J13" s="1119">
        <f t="shared" si="3"/>
        <v>0.15496591557128184</v>
      </c>
      <c r="K13" s="117"/>
      <c r="L13" s="87"/>
      <c r="M13" s="87"/>
      <c r="N13" s="419"/>
      <c r="O13" s="419"/>
      <c r="P13" s="293"/>
      <c r="Q13" s="293"/>
      <c r="R13" s="293"/>
      <c r="S13" s="87"/>
      <c r="T13" s="87"/>
      <c r="U13" s="87"/>
      <c r="V13" s="87"/>
      <c r="W13" s="87"/>
      <c r="X13" s="87"/>
      <c r="Y13" s="87"/>
      <c r="Z13" s="87"/>
      <c r="AA13" s="87"/>
      <c r="AB13" s="87"/>
      <c r="AC13" s="87"/>
      <c r="AD13" s="87"/>
      <c r="AE13" s="87"/>
      <c r="AF13" s="87"/>
      <c r="AG13" s="87"/>
    </row>
    <row r="14" spans="2:33" ht="15" customHeight="1">
      <c r="C14" s="1117" t="str">
        <f>IF(Indice_index!$Z$1=1,"Transferências Correntes","Current transfers")</f>
        <v>Transferências Correntes</v>
      </c>
      <c r="D14" s="1118">
        <f t="shared" ref="D14:G14" si="6">+D15+D22</f>
        <v>6044.9386570400011</v>
      </c>
      <c r="E14" s="1118">
        <f t="shared" si="6"/>
        <v>6050.0595000000003</v>
      </c>
      <c r="F14" s="1118">
        <f t="shared" si="6"/>
        <v>4372.3963485900013</v>
      </c>
      <c r="G14" s="1118">
        <f t="shared" si="6"/>
        <v>4277.6686111899999</v>
      </c>
      <c r="H14" s="1119">
        <f t="shared" si="2"/>
        <v>70.704570941657678</v>
      </c>
      <c r="I14" s="1119">
        <f t="shared" si="0"/>
        <v>-2.1664947513403936</v>
      </c>
      <c r="J14" s="1119">
        <f t="shared" si="3"/>
        <v>-1.2826165390198561</v>
      </c>
      <c r="K14" s="117"/>
      <c r="L14" s="87"/>
      <c r="M14" s="87"/>
      <c r="N14" s="419"/>
      <c r="O14" s="419"/>
      <c r="P14" s="293"/>
      <c r="Q14" s="293"/>
      <c r="R14" s="293"/>
      <c r="S14" s="87"/>
      <c r="T14" s="87"/>
      <c r="U14" s="87"/>
      <c r="V14" s="87"/>
      <c r="W14" s="87"/>
      <c r="X14" s="87"/>
      <c r="Y14" s="87"/>
      <c r="Z14" s="87"/>
      <c r="AA14" s="87"/>
      <c r="AB14" s="87"/>
      <c r="AC14" s="87"/>
      <c r="AD14" s="87"/>
      <c r="AE14" s="87"/>
      <c r="AF14" s="87"/>
      <c r="AG14" s="87"/>
    </row>
    <row r="15" spans="2:33" ht="15" customHeight="1">
      <c r="C15" s="1120" t="str">
        <f>IF(Indice_index!$Z$1=1,"Orçamento do Estado","State Budget")</f>
        <v>Orçamento do Estado</v>
      </c>
      <c r="D15" s="1118">
        <f t="shared" ref="D15:G15" si="7">+D16+D17</f>
        <v>5488.7991009999996</v>
      </c>
      <c r="E15" s="1118">
        <f t="shared" si="7"/>
        <v>5489.0999999999995</v>
      </c>
      <c r="F15" s="1118">
        <f t="shared" si="7"/>
        <v>3975.0966100000001</v>
      </c>
      <c r="G15" s="1118">
        <f t="shared" si="7"/>
        <v>3872.052342</v>
      </c>
      <c r="H15" s="1119">
        <f t="shared" si="2"/>
        <v>70.5407506148549</v>
      </c>
      <c r="I15" s="1119">
        <f t="shared" si="0"/>
        <v>-2.5922456259497073</v>
      </c>
      <c r="J15" s="1119">
        <f t="shared" si="3"/>
        <v>-1.3952226244980774</v>
      </c>
      <c r="K15" s="117"/>
      <c r="L15" s="87"/>
      <c r="M15" s="87"/>
      <c r="N15" s="419"/>
      <c r="O15" s="419"/>
      <c r="P15" s="293"/>
      <c r="Q15" s="293"/>
      <c r="R15" s="293"/>
      <c r="S15" s="87"/>
      <c r="T15" s="87"/>
      <c r="U15" s="87"/>
      <c r="V15" s="87"/>
      <c r="W15" s="87"/>
      <c r="X15" s="87"/>
      <c r="Y15" s="87"/>
      <c r="Z15" s="87"/>
      <c r="AA15" s="87"/>
      <c r="AB15" s="87"/>
      <c r="AC15" s="87"/>
      <c r="AD15" s="87"/>
      <c r="AE15" s="87"/>
      <c r="AF15" s="87"/>
      <c r="AG15" s="87"/>
    </row>
    <row r="16" spans="2:33" ht="15" customHeight="1">
      <c r="C16" s="1123" t="str">
        <f>IF(Indice_index!$Z$1=1,"Comparticipação do Orçamento do Estado","State Budget contributions")</f>
        <v>Comparticipação do Orçamento do Estado</v>
      </c>
      <c r="D16" s="1118">
        <v>5076.8823000000002</v>
      </c>
      <c r="E16" s="1118">
        <v>5060.0316999999995</v>
      </c>
      <c r="F16" s="1118">
        <v>3687.9819520000001</v>
      </c>
      <c r="G16" s="1118">
        <v>3570.1702570000002</v>
      </c>
      <c r="H16" s="1119">
        <f t="shared" si="2"/>
        <v>70.556282424080479</v>
      </c>
      <c r="I16" s="1119">
        <f t="shared" si="0"/>
        <v>-3.1944759094092188</v>
      </c>
      <c r="J16" s="1119">
        <f t="shared" si="3"/>
        <v>-1.5951740498022333</v>
      </c>
      <c r="K16" s="117"/>
      <c r="L16" s="87"/>
      <c r="M16" s="87"/>
      <c r="N16" s="419"/>
      <c r="O16" s="419"/>
      <c r="P16" s="293"/>
      <c r="Q16" s="293"/>
      <c r="R16" s="293"/>
      <c r="S16" s="87"/>
      <c r="T16" s="87"/>
      <c r="U16" s="87"/>
      <c r="V16" s="87"/>
      <c r="W16" s="87"/>
      <c r="X16" s="87"/>
      <c r="Y16" s="87"/>
      <c r="Z16" s="87"/>
      <c r="AA16" s="87"/>
      <c r="AB16" s="87"/>
      <c r="AC16" s="87"/>
      <c r="AD16" s="87"/>
      <c r="AE16" s="87"/>
      <c r="AF16" s="87"/>
      <c r="AG16" s="87"/>
    </row>
    <row r="17" spans="3:33" ht="15" customHeight="1">
      <c r="C17" s="1123" t="str">
        <f>IF(Indice_index!$Z$1=1,"Compensação por pagamento de pensões","Pension payment compensations")</f>
        <v>Compensação por pagamento de pensões</v>
      </c>
      <c r="D17" s="1118">
        <f>+D18+D19+D20+D21</f>
        <v>411.9168009999994</v>
      </c>
      <c r="E17" s="1118">
        <f>+E18+E19+E20+E21</f>
        <v>429.06830000000002</v>
      </c>
      <c r="F17" s="1118">
        <f>+F18+F19+F20+F21</f>
        <v>287.11465799999996</v>
      </c>
      <c r="G17" s="1118">
        <f>+G18+G19+G20+G21</f>
        <v>301.88208499999996</v>
      </c>
      <c r="H17" s="1119">
        <f t="shared" si="2"/>
        <v>70.35758293027007</v>
      </c>
      <c r="I17" s="1119">
        <f t="shared" si="0"/>
        <v>5.1433901364938324</v>
      </c>
      <c r="J17" s="1119">
        <f t="shared" si="3"/>
        <v>0.19995142530415908</v>
      </c>
      <c r="K17" s="117"/>
      <c r="L17" s="87"/>
      <c r="M17" s="87"/>
      <c r="N17" s="419"/>
      <c r="O17" s="419"/>
      <c r="P17" s="293"/>
      <c r="Q17" s="293"/>
      <c r="R17" s="293"/>
      <c r="S17" s="87"/>
      <c r="T17" s="87"/>
      <c r="U17" s="87"/>
      <c r="V17" s="87"/>
      <c r="W17" s="87"/>
      <c r="X17" s="87"/>
      <c r="Y17" s="87"/>
      <c r="Z17" s="87"/>
      <c r="AA17" s="87"/>
      <c r="AB17" s="87"/>
      <c r="AC17" s="87"/>
      <c r="AD17" s="87"/>
      <c r="AE17" s="87"/>
      <c r="AF17" s="87"/>
      <c r="AG17" s="87"/>
    </row>
    <row r="18" spans="3:33" s="120" customFormat="1" ht="15" customHeight="1">
      <c r="C18" s="1124" t="str">
        <f>IF(Indice_index!$Z$1=1,"Deficientes das Forças Armadas / Invalidez","Armed Forces handicapped / disability")</f>
        <v>Deficientes das Forças Armadas / Invalidez</v>
      </c>
      <c r="D18" s="1118">
        <v>169.15</v>
      </c>
      <c r="E18" s="1118">
        <v>170.34299999999999</v>
      </c>
      <c r="F18" s="1118">
        <v>121.045</v>
      </c>
      <c r="G18" s="1118">
        <v>119.1541</v>
      </c>
      <c r="H18" s="1119">
        <f t="shared" si="2"/>
        <v>69.949513628385091</v>
      </c>
      <c r="I18" s="1119">
        <f t="shared" si="0"/>
        <v>-1.5621463092238439</v>
      </c>
      <c r="J18" s="1119">
        <f t="shared" si="3"/>
        <v>-2.5602845377711011E-2</v>
      </c>
      <c r="K18" s="117"/>
      <c r="L18" s="87"/>
      <c r="M18" s="87"/>
      <c r="N18" s="419"/>
      <c r="O18" s="419"/>
      <c r="P18" s="293"/>
      <c r="Q18" s="293"/>
      <c r="R18" s="293"/>
      <c r="S18" s="87"/>
      <c r="T18" s="87"/>
      <c r="U18" s="87"/>
      <c r="V18" s="87"/>
      <c r="W18" s="87"/>
      <c r="X18" s="87"/>
      <c r="Y18" s="87"/>
      <c r="Z18" s="87"/>
      <c r="AA18" s="87"/>
      <c r="AB18" s="87"/>
      <c r="AC18" s="87"/>
      <c r="AD18" s="87"/>
      <c r="AE18" s="87"/>
      <c r="AF18" s="87"/>
      <c r="AG18" s="87"/>
    </row>
    <row r="19" spans="3:33" s="120" customFormat="1" ht="15" customHeight="1">
      <c r="C19" s="1124" t="str">
        <f>IF(Indice_index!$Z$1=1,"Subvenções vitalícias","Lifetime grants")</f>
        <v>Subvenções vitalícias</v>
      </c>
      <c r="D19" s="1118">
        <v>8.1715</v>
      </c>
      <c r="E19" s="1118">
        <v>8.2799999999999994</v>
      </c>
      <c r="F19" s="1118">
        <v>6.1165000000000003</v>
      </c>
      <c r="G19" s="1118">
        <v>5.0494279999999998</v>
      </c>
      <c r="H19" s="1119">
        <f t="shared" si="2"/>
        <v>60.983429951690823</v>
      </c>
      <c r="I19" s="1119">
        <f t="shared" si="0"/>
        <v>-17.445794163328706</v>
      </c>
      <c r="J19" s="1119">
        <f t="shared" si="3"/>
        <v>-1.4448188388008267E-2</v>
      </c>
      <c r="K19" s="117"/>
      <c r="L19" s="87"/>
      <c r="M19" s="87"/>
      <c r="N19" s="419"/>
      <c r="O19" s="419"/>
      <c r="P19" s="293"/>
      <c r="Q19" s="293"/>
      <c r="R19" s="293"/>
      <c r="S19" s="87"/>
      <c r="T19" s="87"/>
      <c r="U19" s="87"/>
      <c r="V19" s="87"/>
      <c r="W19" s="87"/>
      <c r="X19" s="87"/>
      <c r="Y19" s="87"/>
      <c r="Z19" s="87"/>
      <c r="AA19" s="87"/>
      <c r="AB19" s="87"/>
      <c r="AC19" s="87"/>
      <c r="AD19" s="87"/>
      <c r="AE19" s="87"/>
      <c r="AF19" s="87"/>
      <c r="AG19" s="87"/>
    </row>
    <row r="20" spans="3:33" ht="15" customHeight="1">
      <c r="C20" s="1124" t="str">
        <f>IF(Indice_index!$Z$1=1,"Pensões de preço de sangue","Blood price pensions")</f>
        <v>Pensões de preço de sangue</v>
      </c>
      <c r="D20" s="1118">
        <v>29.667999999999999</v>
      </c>
      <c r="E20" s="1118">
        <v>28.657</v>
      </c>
      <c r="F20" s="1118">
        <v>21.103000000000002</v>
      </c>
      <c r="G20" s="1118">
        <v>20.766999999999999</v>
      </c>
      <c r="H20" s="1119">
        <f t="shared" si="2"/>
        <v>72.467459957427508</v>
      </c>
      <c r="I20" s="1119">
        <f t="shared" si="0"/>
        <v>-1.5921906837890445</v>
      </c>
      <c r="J20" s="1119">
        <f t="shared" si="3"/>
        <v>-4.5494505510132446E-3</v>
      </c>
      <c r="K20" s="117"/>
      <c r="L20" s="87"/>
      <c r="M20" s="87"/>
      <c r="N20" s="419"/>
      <c r="O20" s="419"/>
      <c r="P20" s="293"/>
      <c r="Q20" s="293"/>
      <c r="R20" s="293"/>
      <c r="S20" s="87"/>
      <c r="T20" s="87"/>
      <c r="U20" s="87"/>
      <c r="V20" s="87"/>
      <c r="W20" s="87"/>
      <c r="X20" s="87"/>
      <c r="Y20" s="87"/>
      <c r="Z20" s="87"/>
      <c r="AA20" s="87"/>
      <c r="AB20" s="87"/>
      <c r="AC20" s="87"/>
      <c r="AD20" s="87"/>
      <c r="AE20" s="87"/>
      <c r="AF20" s="87"/>
      <c r="AG20" s="87"/>
    </row>
    <row r="21" spans="3:33" ht="15" customHeight="1">
      <c r="C21" s="1124" t="str">
        <f>IF(Indice_index!$Z$1=1,"Outras","Others")</f>
        <v>Outras</v>
      </c>
      <c r="D21" s="1118">
        <v>204.92730099999937</v>
      </c>
      <c r="E21" s="1118">
        <v>221.78829999999999</v>
      </c>
      <c r="F21" s="1118">
        <v>138.85015799999994</v>
      </c>
      <c r="G21" s="1118">
        <v>156.91155699999999</v>
      </c>
      <c r="H21" s="1119">
        <f t="shared" si="2"/>
        <v>70.748347410571242</v>
      </c>
      <c r="I21" s="1119">
        <f t="shared" ref="I21:I25" si="8">IF(IFERROR((G21-F21)/F21*100,"")&gt;500,"-",IFERROR((G21-F21)/F21*100,""))</f>
        <v>13.007834675996593</v>
      </c>
      <c r="J21" s="1119">
        <f t="shared" si="3"/>
        <v>0.24455190962089224</v>
      </c>
      <c r="K21" s="117"/>
      <c r="L21" s="87"/>
      <c r="M21" s="87"/>
      <c r="N21" s="419"/>
      <c r="O21" s="419"/>
      <c r="P21" s="293"/>
      <c r="Q21" s="293"/>
      <c r="R21" s="293"/>
      <c r="S21" s="87"/>
      <c r="T21" s="87"/>
      <c r="U21" s="87"/>
      <c r="V21" s="87"/>
      <c r="W21" s="87"/>
      <c r="X21" s="87"/>
      <c r="Y21" s="87"/>
      <c r="Z21" s="87"/>
      <c r="AA21" s="87"/>
      <c r="AB21" s="87"/>
      <c r="AC21" s="87"/>
      <c r="AD21" s="87"/>
      <c r="AE21" s="87"/>
      <c r="AF21" s="87"/>
      <c r="AG21" s="87"/>
    </row>
    <row r="22" spans="3:33" ht="15" customHeight="1">
      <c r="C22" s="1120" t="str">
        <f>IF(Indice_index!$Z$1=1,"Outras transferências correntes","Other current transfers")</f>
        <v>Outras transferências correntes</v>
      </c>
      <c r="D22" s="1118">
        <v>556.13955604000148</v>
      </c>
      <c r="E22" s="1118">
        <v>560.95950000000084</v>
      </c>
      <c r="F22" s="1118">
        <v>397.2997385900012</v>
      </c>
      <c r="G22" s="1118">
        <v>405.61626918999991</v>
      </c>
      <c r="H22" s="1119">
        <f t="shared" si="2"/>
        <v>72.307585340831068</v>
      </c>
      <c r="I22" s="1119">
        <f>IF(IFERROR((G22-F22)/F22*100,"")&gt;500,"-",IFERROR((G22-F22)/F22*100,""))</f>
        <v>2.0932635469415874</v>
      </c>
      <c r="J22" s="1119">
        <f t="shared" si="3"/>
        <v>0.1126060854782215</v>
      </c>
      <c r="K22" s="117"/>
      <c r="L22" s="87"/>
      <c r="M22" s="87"/>
      <c r="N22" s="419"/>
      <c r="O22" s="419"/>
      <c r="P22" s="293"/>
      <c r="Q22" s="325"/>
      <c r="R22" s="293"/>
      <c r="S22" s="87"/>
      <c r="T22" s="87"/>
      <c r="U22" s="87"/>
      <c r="V22" s="87"/>
      <c r="W22" s="87"/>
      <c r="X22" s="87"/>
      <c r="Y22" s="87"/>
      <c r="Z22" s="87"/>
      <c r="AA22" s="87"/>
      <c r="AB22" s="87"/>
      <c r="AC22" s="87"/>
      <c r="AD22" s="87"/>
      <c r="AE22" s="87"/>
      <c r="AF22" s="87"/>
      <c r="AG22" s="87"/>
    </row>
    <row r="23" spans="3:33" ht="15" customHeight="1">
      <c r="C23" s="1117" t="str">
        <f>IF(Indice_index!$Z$1=1,"Outras receitas correntes","Other current revenue")</f>
        <v>Outras receitas correntes</v>
      </c>
      <c r="D23" s="1118">
        <v>202.10897343999932</v>
      </c>
      <c r="E23" s="1118">
        <v>244.97419999999875</v>
      </c>
      <c r="F23" s="1118">
        <v>94.613162710000324</v>
      </c>
      <c r="G23" s="1118">
        <v>148.01814641000055</v>
      </c>
      <c r="H23" s="1119">
        <f t="shared" si="2"/>
        <v>60.421932762715954</v>
      </c>
      <c r="I23" s="1119">
        <f>IF(IFERROR((G23-F23)/F23*100,"")&gt;500,"-",IFERROR((G23-F23)/F23*100,""))</f>
        <v>56.445617259083001</v>
      </c>
      <c r="J23" s="1119">
        <f t="shared" si="3"/>
        <v>0.72310515631195804</v>
      </c>
      <c r="K23" s="117"/>
      <c r="L23" s="87"/>
      <c r="M23" s="87"/>
      <c r="N23" s="419"/>
      <c r="O23" s="419"/>
      <c r="P23" s="293"/>
      <c r="Q23" s="293"/>
      <c r="R23" s="293"/>
      <c r="S23" s="87"/>
      <c r="T23" s="87"/>
      <c r="U23" s="87"/>
      <c r="V23" s="87"/>
      <c r="W23" s="87"/>
      <c r="X23" s="87"/>
      <c r="Y23" s="87"/>
      <c r="Z23" s="87"/>
      <c r="AA23" s="87"/>
      <c r="AB23" s="87"/>
      <c r="AC23" s="87"/>
      <c r="AD23" s="87"/>
      <c r="AE23" s="87"/>
      <c r="AF23" s="87"/>
      <c r="AG23" s="87"/>
    </row>
    <row r="24" spans="3:33" s="290" customFormat="1" ht="15" customHeight="1">
      <c r="C24" s="1115" t="str">
        <f>IF(Indice_index!$Z$1=1,"Receita de capital","Capital revenue")</f>
        <v>Receita de capital</v>
      </c>
      <c r="D24" s="1115">
        <f t="shared" ref="D24:G24" si="9">+D25</f>
        <v>0</v>
      </c>
      <c r="E24" s="1115">
        <f t="shared" si="9"/>
        <v>0</v>
      </c>
      <c r="F24" s="1115">
        <f t="shared" si="9"/>
        <v>0</v>
      </c>
      <c r="G24" s="1115">
        <f t="shared" si="9"/>
        <v>1.511941E-2</v>
      </c>
      <c r="H24" s="1116" t="str">
        <f t="shared" si="2"/>
        <v>-</v>
      </c>
      <c r="I24" s="1116" t="str">
        <f>IF(IFERROR((G24-F24)/F24*100,"")&gt;500,"-",IFERROR((G24-F24)/F24*100,""))</f>
        <v>-</v>
      </c>
      <c r="J24" s="1116">
        <f t="shared" si="3"/>
        <v>2.0471728617706765E-4</v>
      </c>
      <c r="L24" s="293"/>
      <c r="M24" s="293"/>
      <c r="N24" s="419"/>
      <c r="O24" s="419"/>
      <c r="P24" s="293"/>
      <c r="Q24" s="293"/>
      <c r="R24" s="293"/>
      <c r="S24" s="293"/>
      <c r="T24" s="293"/>
      <c r="U24" s="293"/>
      <c r="V24" s="293"/>
      <c r="W24" s="293"/>
      <c r="X24" s="293"/>
      <c r="Y24" s="293"/>
      <c r="Z24" s="293"/>
      <c r="AA24" s="293"/>
      <c r="AB24" s="293"/>
      <c r="AC24" s="293"/>
      <c r="AD24" s="293"/>
      <c r="AE24" s="293"/>
      <c r="AF24" s="293"/>
      <c r="AG24" s="293"/>
    </row>
    <row r="25" spans="3:33" ht="15" customHeight="1">
      <c r="C25" s="1117" t="str">
        <f>IF(Indice_index!$Z$1=1,"Transferências de Capital","Capital transfers")</f>
        <v>Transferências de Capital</v>
      </c>
      <c r="D25" s="1118">
        <v>0</v>
      </c>
      <c r="E25" s="1118">
        <v>0</v>
      </c>
      <c r="F25" s="1118">
        <v>0</v>
      </c>
      <c r="G25" s="1118">
        <v>1.511941E-2</v>
      </c>
      <c r="H25" s="1119" t="str">
        <f t="shared" si="2"/>
        <v>-</v>
      </c>
      <c r="I25" s="1119" t="str">
        <f t="shared" si="8"/>
        <v>-</v>
      </c>
      <c r="J25" s="1119">
        <f t="shared" si="3"/>
        <v>2.0471728617706765E-4</v>
      </c>
      <c r="K25" s="117"/>
      <c r="L25" s="87"/>
      <c r="M25" s="87"/>
      <c r="N25" s="419"/>
      <c r="O25" s="419"/>
      <c r="P25" s="293"/>
      <c r="Q25" s="293"/>
      <c r="R25" s="293"/>
      <c r="S25" s="87"/>
      <c r="T25" s="87"/>
      <c r="U25" s="87"/>
      <c r="V25" s="87"/>
      <c r="W25" s="87"/>
      <c r="X25" s="87"/>
      <c r="Y25" s="87"/>
      <c r="Z25" s="87"/>
      <c r="AA25" s="87"/>
      <c r="AB25" s="87"/>
      <c r="AC25" s="87"/>
      <c r="AD25" s="87"/>
      <c r="AE25" s="87"/>
      <c r="AF25" s="87"/>
      <c r="AG25" s="87"/>
    </row>
    <row r="26" spans="3:33" ht="4.5" customHeight="1">
      <c r="C26" s="1118"/>
      <c r="D26" s="1118"/>
      <c r="E26" s="1118"/>
      <c r="F26" s="1118"/>
      <c r="G26" s="1118"/>
      <c r="H26" s="1119"/>
      <c r="I26" s="1119"/>
      <c r="J26" s="1119"/>
      <c r="K26" s="117"/>
      <c r="L26" s="87"/>
      <c r="M26" s="87"/>
      <c r="N26" s="419"/>
      <c r="O26" s="419"/>
      <c r="P26" s="293"/>
      <c r="Q26" s="293"/>
      <c r="R26" s="293"/>
      <c r="U26" s="87"/>
      <c r="V26" s="87"/>
      <c r="W26" s="87"/>
      <c r="X26" s="87"/>
      <c r="Y26" s="87"/>
      <c r="Z26" s="87"/>
      <c r="AA26" s="87"/>
      <c r="AB26" s="87"/>
      <c r="AC26" s="87"/>
      <c r="AD26" s="87"/>
      <c r="AE26" s="87"/>
      <c r="AF26" s="87"/>
      <c r="AG26" s="87"/>
    </row>
    <row r="27" spans="3:33" s="290" customFormat="1" ht="15" customHeight="1">
      <c r="C27" s="780" t="str">
        <f>IF(Indice_index!$Z$1=1,"Receita Efectiva","Effective revenue")</f>
        <v>Receita Efectiva</v>
      </c>
      <c r="D27" s="780">
        <f>+D8+D24</f>
        <v>10366.37250845</v>
      </c>
      <c r="E27" s="780">
        <f>+E8+E24</f>
        <v>10352.569979999998</v>
      </c>
      <c r="F27" s="780">
        <f>+F8+F24</f>
        <v>7385.507243840002</v>
      </c>
      <c r="G27" s="780">
        <f>+G8+G24</f>
        <v>7267.9780536600001</v>
      </c>
      <c r="H27" s="1125">
        <f>IFERROR(IF(G27/E27*100&lt;-500,"-",IF(G27/E27*100&gt;500,"-",G27/E27*100)),"-")</f>
        <v>70.204577874874701</v>
      </c>
      <c r="I27" s="1125">
        <f t="shared" ref="I27:I45" si="10">IF(F27=0,"-",(G27-F27)/F27*100)</f>
        <v>-1.5913489256682944</v>
      </c>
      <c r="J27" s="1125"/>
      <c r="L27" s="293"/>
      <c r="M27" s="293"/>
      <c r="N27" s="419"/>
      <c r="O27" s="419"/>
      <c r="P27" s="293"/>
      <c r="Q27" s="293"/>
      <c r="R27" s="293"/>
      <c r="U27" s="293"/>
      <c r="V27" s="293"/>
      <c r="W27" s="293"/>
      <c r="X27" s="293"/>
      <c r="Y27" s="293"/>
      <c r="Z27" s="293"/>
      <c r="AA27" s="293"/>
      <c r="AB27" s="293"/>
      <c r="AC27" s="293"/>
      <c r="AD27" s="293"/>
      <c r="AE27" s="293"/>
      <c r="AF27" s="293"/>
      <c r="AG27" s="293"/>
    </row>
    <row r="28" spans="3:33" ht="4.5" customHeight="1">
      <c r="C28" s="1126"/>
      <c r="D28" s="1118"/>
      <c r="E28" s="1118"/>
      <c r="F28" s="1118"/>
      <c r="G28" s="1118"/>
      <c r="H28" s="1119"/>
      <c r="I28" s="1119"/>
      <c r="J28" s="1119"/>
      <c r="K28" s="117"/>
      <c r="L28" s="87"/>
      <c r="M28" s="87"/>
      <c r="N28" s="419"/>
      <c r="O28" s="419"/>
      <c r="P28" s="293"/>
      <c r="Q28" s="293"/>
      <c r="R28" s="293"/>
      <c r="U28" s="87"/>
      <c r="V28" s="87"/>
      <c r="W28" s="87"/>
      <c r="X28" s="87"/>
      <c r="Y28" s="87"/>
      <c r="Z28" s="87"/>
      <c r="AA28" s="87"/>
      <c r="AB28" s="87"/>
      <c r="AC28" s="87"/>
      <c r="AD28" s="87"/>
      <c r="AE28" s="87"/>
      <c r="AF28" s="87"/>
      <c r="AG28" s="87"/>
    </row>
    <row r="29" spans="3:33" s="290" customFormat="1" ht="15" customHeight="1">
      <c r="C29" s="1115" t="str">
        <f>IF(Indice_index!$Z$1=1,"Despesa Corrente","Current expenditure")</f>
        <v>Despesa Corrente</v>
      </c>
      <c r="D29" s="1115">
        <f t="shared" ref="D29:E29" si="11">+D30+D34+D35+D36+D42</f>
        <v>10285.655430229999</v>
      </c>
      <c r="E29" s="1115">
        <f t="shared" si="11"/>
        <v>10443.5705</v>
      </c>
      <c r="F29" s="1115">
        <f t="shared" ref="F29:G29" si="12">+F30+F34+F35+F36+F42</f>
        <v>7328.7441116</v>
      </c>
      <c r="G29" s="1115">
        <f t="shared" si="12"/>
        <v>7460.7183109600001</v>
      </c>
      <c r="H29" s="1116">
        <f t="shared" ref="H29:H45" si="13">IFERROR(IF(G29/E29*100&lt;-500,"-",IF(G29/E29*100&gt;500,"-",G29/E29*100)),"-")</f>
        <v>71.438387005287126</v>
      </c>
      <c r="I29" s="1116">
        <f t="shared" ref="I29:I43" si="14">IF(IFERROR((G29-F29)/F29*100,"")&gt;500,"-",IFERROR((G29-F29)/F29*100,""))</f>
        <v>1.800775103487515</v>
      </c>
      <c r="J29" s="1116">
        <f>IFERROR((G29-F29)/$F$45*100,"-")</f>
        <v>1.800775103487515</v>
      </c>
      <c r="L29" s="293"/>
      <c r="M29" s="293"/>
      <c r="N29" s="419"/>
      <c r="O29" s="419"/>
      <c r="P29" s="293"/>
      <c r="Q29" s="293"/>
      <c r="R29" s="293"/>
      <c r="U29" s="293"/>
      <c r="V29" s="293"/>
      <c r="W29" s="293"/>
      <c r="X29" s="293"/>
      <c r="Y29" s="293"/>
      <c r="Z29" s="293"/>
      <c r="AA29" s="293"/>
      <c r="AB29" s="293"/>
      <c r="AC29" s="293"/>
      <c r="AD29" s="293"/>
      <c r="AE29" s="293"/>
      <c r="AF29" s="293"/>
      <c r="AG29" s="293"/>
    </row>
    <row r="30" spans="3:33" ht="15" customHeight="1">
      <c r="C30" s="1117" t="str">
        <f>IF(Indice_index!$Z$1=1,"Despesas com o pessoal","Employees")</f>
        <v>Despesas com o pessoal</v>
      </c>
      <c r="D30" s="1118">
        <f t="shared" ref="D30:E30" si="15">+D31+D32+D33</f>
        <v>7.6524922199999992</v>
      </c>
      <c r="E30" s="1118">
        <f t="shared" si="15"/>
        <v>8.0451999999999995</v>
      </c>
      <c r="F30" s="1118">
        <f t="shared" ref="F30:G30" si="16">+F31+F32+F33</f>
        <v>5.6097666300000002</v>
      </c>
      <c r="G30" s="1118">
        <f t="shared" si="16"/>
        <v>5.431800599999999</v>
      </c>
      <c r="H30" s="1119">
        <f t="shared" si="13"/>
        <v>67.516041863471372</v>
      </c>
      <c r="I30" s="1119">
        <f t="shared" si="14"/>
        <v>-3.1724319697769889</v>
      </c>
      <c r="J30" s="1119">
        <f t="shared" ref="J30:J43" si="17">IFERROR((G30-F30)/$F$45*100,"-")</f>
        <v>-2.4283291555822644E-3</v>
      </c>
      <c r="K30" s="117"/>
      <c r="L30" s="87"/>
      <c r="M30" s="87"/>
      <c r="N30" s="419"/>
      <c r="O30" s="419"/>
      <c r="P30" s="293"/>
      <c r="Q30" s="293"/>
      <c r="R30" s="293"/>
      <c r="U30" s="87"/>
      <c r="V30" s="87"/>
      <c r="W30" s="87"/>
      <c r="X30" s="87"/>
      <c r="Y30" s="87"/>
      <c r="Z30" s="87"/>
      <c r="AA30" s="87"/>
      <c r="AB30" s="87"/>
      <c r="AC30" s="87"/>
      <c r="AD30" s="87"/>
      <c r="AE30" s="87"/>
      <c r="AF30" s="87"/>
      <c r="AG30" s="87"/>
    </row>
    <row r="31" spans="3:33" ht="15" customHeight="1">
      <c r="C31" s="1120" t="str">
        <f>IF(Indice_index!$Z$1=1,"Remunerações Certas e Permanentes","Certain and permanent wages")</f>
        <v>Remunerações Certas e Permanentes</v>
      </c>
      <c r="D31" s="1118">
        <v>7.8590489999999985E-2</v>
      </c>
      <c r="E31" s="1118">
        <v>0.11119999999999999</v>
      </c>
      <c r="F31" s="1118">
        <v>5.8942880000000003E-2</v>
      </c>
      <c r="G31" s="1118">
        <v>1.0042829999999999E-2</v>
      </c>
      <c r="H31" s="1119">
        <f t="shared" si="13"/>
        <v>9.0313219424460431</v>
      </c>
      <c r="I31" s="1119">
        <f t="shared" si="14"/>
        <v>-82.961758909642697</v>
      </c>
      <c r="J31" s="1119">
        <f t="shared" si="17"/>
        <v>-6.6723642216680171E-4</v>
      </c>
      <c r="K31" s="117"/>
      <c r="L31" s="87"/>
      <c r="M31" s="87"/>
      <c r="N31" s="419"/>
      <c r="O31" s="419"/>
      <c r="P31" s="293"/>
      <c r="Q31" s="293"/>
      <c r="R31" s="293"/>
      <c r="U31" s="87"/>
      <c r="V31" s="87"/>
      <c r="W31" s="87"/>
      <c r="X31" s="87"/>
      <c r="Y31" s="87"/>
      <c r="Z31" s="87"/>
      <c r="AA31" s="87"/>
      <c r="AB31" s="87"/>
      <c r="AC31" s="87"/>
      <c r="AD31" s="87"/>
      <c r="AE31" s="87"/>
      <c r="AF31" s="87"/>
      <c r="AG31" s="87"/>
    </row>
    <row r="32" spans="3:33" ht="15" customHeight="1">
      <c r="C32" s="1120" t="str">
        <f>IF(Indice_index!$Z$1=1,"Abonos Variáveis ou Eventuais","Variable or contingent bonuses")</f>
        <v>Abonos Variáveis ou Eventuais</v>
      </c>
      <c r="D32" s="1118">
        <v>0</v>
      </c>
      <c r="E32" s="1118">
        <v>0</v>
      </c>
      <c r="F32" s="1118">
        <v>0</v>
      </c>
      <c r="G32" s="1118">
        <v>0</v>
      </c>
      <c r="H32" s="1119" t="str">
        <f t="shared" si="13"/>
        <v>-</v>
      </c>
      <c r="I32" s="1119" t="str">
        <f t="shared" si="14"/>
        <v>-</v>
      </c>
      <c r="J32" s="1119">
        <f t="shared" si="17"/>
        <v>0</v>
      </c>
      <c r="K32" s="117"/>
      <c r="L32" s="87"/>
      <c r="M32" s="87"/>
      <c r="N32" s="419"/>
      <c r="O32" s="419"/>
      <c r="P32" s="293"/>
      <c r="Q32" s="293"/>
      <c r="R32" s="293"/>
      <c r="U32" s="87"/>
      <c r="V32" s="87"/>
      <c r="W32" s="87"/>
      <c r="X32" s="87"/>
      <c r="Y32" s="87"/>
      <c r="Z32" s="87"/>
      <c r="AA32" s="87"/>
      <c r="AB32" s="87"/>
      <c r="AC32" s="87"/>
      <c r="AD32" s="87"/>
      <c r="AE32" s="87"/>
      <c r="AF32" s="87"/>
      <c r="AG32" s="87"/>
    </row>
    <row r="33" spans="3:33" ht="15" customHeight="1">
      <c r="C33" s="1120" t="str">
        <f>IF(Indice_index!$Z$1=1,"Segurança social","Social security")</f>
        <v>Segurança social</v>
      </c>
      <c r="D33" s="1118">
        <v>7.5739017299999993</v>
      </c>
      <c r="E33" s="1118">
        <v>7.9340000000000002</v>
      </c>
      <c r="F33" s="1118">
        <v>5.5508237500000002</v>
      </c>
      <c r="G33" s="1118">
        <v>5.4217577699999993</v>
      </c>
      <c r="H33" s="1119">
        <f t="shared" si="13"/>
        <v>68.335741996470873</v>
      </c>
      <c r="I33" s="1119">
        <f t="shared" si="14"/>
        <v>-2.3251680437520812</v>
      </c>
      <c r="J33" s="1119">
        <f t="shared" si="17"/>
        <v>-1.7610927334154587E-3</v>
      </c>
      <c r="K33" s="117"/>
      <c r="L33" s="87"/>
      <c r="M33" s="87"/>
      <c r="N33" s="419"/>
      <c r="O33" s="419"/>
      <c r="P33" s="293"/>
      <c r="Q33" s="293"/>
      <c r="R33" s="293"/>
      <c r="U33" s="87"/>
      <c r="V33" s="87"/>
      <c r="W33" s="87"/>
      <c r="X33" s="87"/>
      <c r="Y33" s="87"/>
      <c r="Z33" s="87"/>
      <c r="AA33" s="87"/>
      <c r="AB33" s="87"/>
      <c r="AC33" s="87"/>
      <c r="AD33" s="87"/>
      <c r="AE33" s="87"/>
      <c r="AF33" s="87"/>
      <c r="AG33" s="87"/>
    </row>
    <row r="34" spans="3:33" ht="15" customHeight="1">
      <c r="C34" s="1117" t="str">
        <f>IF(Indice_index!$Z$1=1,"Aquisição de bens e serviços","Purchase of goods and services")</f>
        <v>Aquisição de bens e serviços</v>
      </c>
      <c r="D34" s="1118">
        <v>21.20756514</v>
      </c>
      <c r="E34" s="1118">
        <v>33.057099999999998</v>
      </c>
      <c r="F34" s="1118">
        <v>16.10123827</v>
      </c>
      <c r="G34" s="1118">
        <v>16.334158559999999</v>
      </c>
      <c r="H34" s="1119">
        <f t="shared" si="13"/>
        <v>49.411952530621257</v>
      </c>
      <c r="I34" s="1119">
        <f t="shared" si="14"/>
        <v>1.4465986161696567</v>
      </c>
      <c r="J34" s="1119">
        <f t="shared" si="17"/>
        <v>3.1781746838633767E-3</v>
      </c>
      <c r="K34" s="117"/>
      <c r="L34" s="87"/>
      <c r="M34" s="87"/>
      <c r="N34" s="419"/>
      <c r="O34" s="419"/>
      <c r="P34" s="293"/>
      <c r="Q34" s="293"/>
      <c r="R34" s="293"/>
      <c r="U34" s="87"/>
      <c r="V34" s="87"/>
      <c r="W34" s="87"/>
      <c r="X34" s="87"/>
      <c r="Y34" s="87"/>
      <c r="Z34" s="87"/>
      <c r="AA34" s="87"/>
      <c r="AB34" s="87"/>
      <c r="AC34" s="87"/>
      <c r="AD34" s="87"/>
      <c r="AE34" s="87"/>
      <c r="AF34" s="87"/>
      <c r="AG34" s="87"/>
    </row>
    <row r="35" spans="3:33" ht="15" customHeight="1">
      <c r="C35" s="1117" t="str">
        <f>IF(Indice_index!$Z$1=1,"Juros e outros encargos","Interests and other charges")</f>
        <v>Juros e outros encargos</v>
      </c>
      <c r="D35" s="1118">
        <v>0.47930070000000002</v>
      </c>
      <c r="E35" s="1118">
        <v>2.2999999999999998</v>
      </c>
      <c r="F35" s="1118">
        <v>0.39019762000000002</v>
      </c>
      <c r="G35" s="1118">
        <v>0.36744226000000002</v>
      </c>
      <c r="H35" s="1119">
        <f t="shared" si="13"/>
        <v>15.97575043478261</v>
      </c>
      <c r="I35" s="1119">
        <f t="shared" si="14"/>
        <v>-5.8317526385732439</v>
      </c>
      <c r="J35" s="1119">
        <f t="shared" si="17"/>
        <v>-3.1049467212237119E-4</v>
      </c>
      <c r="K35" s="117"/>
      <c r="L35" s="87"/>
      <c r="M35" s="87"/>
      <c r="N35" s="419"/>
      <c r="O35" s="419"/>
      <c r="P35" s="293"/>
      <c r="Q35" s="293"/>
      <c r="R35" s="293"/>
      <c r="U35" s="87"/>
      <c r="V35" s="87"/>
      <c r="W35" s="87"/>
      <c r="X35" s="87"/>
      <c r="Y35" s="87"/>
      <c r="Z35" s="87"/>
      <c r="AA35" s="87"/>
      <c r="AB35" s="87"/>
      <c r="AC35" s="87"/>
      <c r="AD35" s="87"/>
      <c r="AE35" s="87"/>
      <c r="AF35" s="87"/>
      <c r="AG35" s="87"/>
    </row>
    <row r="36" spans="3:33" ht="15" customHeight="1">
      <c r="C36" s="1117" t="str">
        <f>IF(Indice_index!$Z$1=1,"Transferências","Transfers")</f>
        <v>Transferências</v>
      </c>
      <c r="D36" s="1118">
        <f t="shared" ref="D36:E36" si="18">+D38+D39+D40+D41</f>
        <v>10253.553413249998</v>
      </c>
      <c r="E36" s="1118">
        <f t="shared" si="18"/>
        <v>10396.468199999999</v>
      </c>
      <c r="F36" s="1118">
        <f t="shared" ref="F36:G36" si="19">+F38+F39+F40+F41</f>
        <v>7304.2460418600003</v>
      </c>
      <c r="G36" s="1118">
        <f t="shared" si="19"/>
        <v>7437.0817985200001</v>
      </c>
      <c r="H36" s="1119">
        <f t="shared" si="13"/>
        <v>71.534694816072246</v>
      </c>
      <c r="I36" s="1119">
        <f t="shared" si="14"/>
        <v>1.8186101056663424</v>
      </c>
      <c r="J36" s="1119">
        <f t="shared" si="17"/>
        <v>1.8125309689793399</v>
      </c>
      <c r="K36" s="117"/>
      <c r="L36" s="87"/>
      <c r="M36" s="87"/>
      <c r="N36" s="419"/>
      <c r="O36" s="419"/>
      <c r="P36" s="293"/>
      <c r="Q36" s="293"/>
      <c r="R36" s="293"/>
      <c r="U36" s="87"/>
      <c r="V36" s="87"/>
      <c r="W36" s="87"/>
      <c r="X36" s="87"/>
      <c r="Y36" s="87"/>
      <c r="Z36" s="87"/>
      <c r="AA36" s="87"/>
      <c r="AB36" s="87"/>
      <c r="AC36" s="87"/>
      <c r="AD36" s="87"/>
      <c r="AE36" s="87"/>
      <c r="AF36" s="87"/>
      <c r="AG36" s="87"/>
    </row>
    <row r="37" spans="3:33" ht="15" customHeight="1">
      <c r="C37" s="1120" t="str">
        <f>IF(Indice_index!$Z$1=1,"Pensões e abonos da responsabilidade de:","Liability for pensions and allowances from:")</f>
        <v>Pensões e abonos da responsabilidade de:</v>
      </c>
      <c r="D37" s="1118"/>
      <c r="E37" s="1118"/>
      <c r="F37" s="1118"/>
      <c r="G37" s="1118"/>
      <c r="H37" s="1119"/>
      <c r="I37" s="1119"/>
      <c r="J37" s="1119">
        <f t="shared" si="17"/>
        <v>0</v>
      </c>
      <c r="K37" s="117"/>
      <c r="L37" s="87"/>
      <c r="M37" s="87"/>
      <c r="N37" s="419"/>
      <c r="O37" s="419"/>
      <c r="P37" s="293"/>
      <c r="Q37" s="293"/>
      <c r="R37" s="293"/>
      <c r="U37" s="87"/>
      <c r="V37" s="87"/>
      <c r="W37" s="87"/>
      <c r="X37" s="87"/>
      <c r="Y37" s="87"/>
      <c r="Z37" s="87"/>
      <c r="AA37" s="87"/>
      <c r="AB37" s="87"/>
      <c r="AC37" s="87"/>
      <c r="AD37" s="87"/>
      <c r="AE37" s="87"/>
      <c r="AF37" s="87"/>
      <c r="AG37" s="87"/>
    </row>
    <row r="38" spans="3:33" ht="15" customHeight="1">
      <c r="C38" s="1123" t="str">
        <f>IF(Indice_index!$Z$1=1,"Caixa Geral de Aposentações","Public Servants Social Scheme")</f>
        <v>Caixa Geral de Aposentações</v>
      </c>
      <c r="D38" s="1118">
        <v>9004.9276782299985</v>
      </c>
      <c r="E38" s="1118">
        <v>9120.4658999999992</v>
      </c>
      <c r="F38" s="1118">
        <v>6420.1084085399998</v>
      </c>
      <c r="G38" s="1118">
        <v>6522.0520563799992</v>
      </c>
      <c r="H38" s="1119">
        <f t="shared" si="13"/>
        <v>71.510075558530389</v>
      </c>
      <c r="I38" s="1119">
        <f t="shared" si="14"/>
        <v>1.5878804741738375</v>
      </c>
      <c r="J38" s="1119">
        <f t="shared" si="17"/>
        <v>1.3910111512645402</v>
      </c>
      <c r="K38" s="117"/>
      <c r="L38" s="87"/>
      <c r="M38" s="87"/>
      <c r="N38" s="419"/>
      <c r="O38" s="419"/>
      <c r="P38" s="293"/>
      <c r="Q38" s="293"/>
      <c r="R38" s="293"/>
      <c r="U38" s="87"/>
      <c r="V38" s="87"/>
      <c r="W38" s="87"/>
      <c r="X38" s="87"/>
      <c r="Y38" s="87"/>
      <c r="Z38" s="87"/>
      <c r="AA38" s="87"/>
      <c r="AB38" s="87"/>
      <c r="AC38" s="87"/>
      <c r="AD38" s="87"/>
      <c r="AE38" s="87"/>
      <c r="AF38" s="87"/>
      <c r="AG38" s="87"/>
    </row>
    <row r="39" spans="3:33" ht="15" customHeight="1">
      <c r="C39" s="1123" t="str">
        <f>IF(Indice_index!$Z$1=1,"Orçamento do Estado","State Budget")</f>
        <v>Orçamento do Estado</v>
      </c>
      <c r="D39" s="1118">
        <v>396.60070667000002</v>
      </c>
      <c r="E39" s="1118">
        <v>411.79729999999995</v>
      </c>
      <c r="F39" s="1118">
        <v>276.46813370000001</v>
      </c>
      <c r="G39" s="1118">
        <v>291.76091796000003</v>
      </c>
      <c r="H39" s="1119">
        <f t="shared" si="13"/>
        <v>70.850614600921389</v>
      </c>
      <c r="I39" s="1119">
        <f t="shared" si="14"/>
        <v>5.5314817137639682</v>
      </c>
      <c r="J39" s="1119">
        <f t="shared" si="17"/>
        <v>0.20866855258044101</v>
      </c>
      <c r="K39" s="117"/>
      <c r="L39" s="87"/>
      <c r="M39" s="87"/>
      <c r="N39" s="419"/>
      <c r="O39" s="419"/>
      <c r="P39" s="293"/>
      <c r="Q39" s="293"/>
      <c r="R39" s="293"/>
      <c r="U39" s="87"/>
      <c r="V39" s="87"/>
      <c r="W39" s="87"/>
      <c r="X39" s="87"/>
      <c r="Y39" s="87"/>
      <c r="Z39" s="87"/>
      <c r="AA39" s="87"/>
      <c r="AB39" s="87"/>
      <c r="AC39" s="87"/>
      <c r="AD39" s="87"/>
      <c r="AE39" s="87"/>
      <c r="AF39" s="87"/>
      <c r="AG39" s="87"/>
    </row>
    <row r="40" spans="3:33" ht="15" customHeight="1">
      <c r="C40" s="1123" t="str">
        <f>IF(Indice_index!$Z$1=1,"Outras entidades","Other entities")</f>
        <v>Outras entidades</v>
      </c>
      <c r="D40" s="1118">
        <v>660.48834474</v>
      </c>
      <c r="E40" s="1118">
        <v>669.56919999999991</v>
      </c>
      <c r="F40" s="1118">
        <v>471.98862591999995</v>
      </c>
      <c r="G40" s="1118">
        <v>480.80534613999998</v>
      </c>
      <c r="H40" s="1119">
        <f t="shared" si="13"/>
        <v>71.808163538585717</v>
      </c>
      <c r="I40" s="1119">
        <f t="shared" si="14"/>
        <v>1.8679942133805643</v>
      </c>
      <c r="J40" s="1119">
        <f t="shared" si="17"/>
        <v>0.12030328915488883</v>
      </c>
      <c r="K40" s="117"/>
      <c r="L40" s="87"/>
      <c r="M40" s="87"/>
      <c r="N40" s="419"/>
      <c r="O40" s="419"/>
      <c r="P40" s="293"/>
      <c r="Q40" s="293"/>
      <c r="R40" s="293"/>
      <c r="U40" s="87"/>
      <c r="V40" s="87"/>
      <c r="W40" s="87"/>
      <c r="X40" s="87"/>
      <c r="Y40" s="87"/>
      <c r="Z40" s="87"/>
      <c r="AA40" s="87"/>
      <c r="AB40" s="87"/>
      <c r="AC40" s="87"/>
      <c r="AD40" s="87"/>
      <c r="AE40" s="87"/>
      <c r="AF40" s="87"/>
      <c r="AG40" s="87"/>
    </row>
    <row r="41" spans="3:33" ht="15" customHeight="1">
      <c r="C41" s="1120" t="str">
        <f>IF(Indice_index!$Z$1=1,"Outras transferências correntes","Other current transfers")</f>
        <v>Outras transferências correntes</v>
      </c>
      <c r="D41" s="1118">
        <v>191.53668360999757</v>
      </c>
      <c r="E41" s="1118">
        <v>194.63580000000024</v>
      </c>
      <c r="F41" s="1127">
        <v>135.68087369999972</v>
      </c>
      <c r="G41" s="1127">
        <v>142.46347804000004</v>
      </c>
      <c r="H41" s="1119">
        <f t="shared" si="13"/>
        <v>73.194899417270548</v>
      </c>
      <c r="I41" s="1119">
        <f t="shared" si="14"/>
        <v>4.9989391688301996</v>
      </c>
      <c r="J41" s="1119">
        <f t="shared" si="17"/>
        <v>9.2547975979469024E-2</v>
      </c>
      <c r="K41" s="117"/>
      <c r="L41" s="87"/>
      <c r="M41" s="87"/>
      <c r="N41" s="419"/>
      <c r="O41" s="419"/>
      <c r="P41" s="293"/>
      <c r="Q41" s="293"/>
      <c r="R41" s="293"/>
      <c r="U41" s="87"/>
      <c r="V41" s="87"/>
      <c r="W41" s="87"/>
      <c r="X41" s="87"/>
      <c r="Y41" s="87"/>
      <c r="Z41" s="87"/>
      <c r="AA41" s="87"/>
      <c r="AB41" s="87"/>
      <c r="AC41" s="87"/>
      <c r="AD41" s="87"/>
      <c r="AE41" s="87"/>
      <c r="AF41" s="87"/>
      <c r="AG41" s="87"/>
    </row>
    <row r="42" spans="3:33" ht="15" customHeight="1">
      <c r="C42" s="1117" t="str">
        <f>IF(Indice_index!$Z$1=1,"Outras despesas correntes","Other current expenditure")</f>
        <v>Outras despesas correntes</v>
      </c>
      <c r="D42" s="1118">
        <v>2.7626589199999998</v>
      </c>
      <c r="E42" s="1118">
        <v>3.7</v>
      </c>
      <c r="F42" s="1118">
        <v>2.3968672199999999</v>
      </c>
      <c r="G42" s="1118">
        <v>1.50311102</v>
      </c>
      <c r="H42" s="1119">
        <f t="shared" si="13"/>
        <v>40.624622162162161</v>
      </c>
      <c r="I42" s="1119">
        <f t="shared" si="14"/>
        <v>-37.288515297897895</v>
      </c>
      <c r="J42" s="1119">
        <f t="shared" si="17"/>
        <v>-1.21952163479873E-2</v>
      </c>
      <c r="K42" s="117"/>
      <c r="L42" s="87"/>
      <c r="M42" s="87"/>
      <c r="N42" s="419"/>
      <c r="O42" s="419"/>
      <c r="P42" s="293"/>
      <c r="Q42" s="293"/>
      <c r="R42" s="293"/>
      <c r="U42" s="87"/>
      <c r="V42" s="87"/>
      <c r="W42" s="87"/>
      <c r="X42" s="87"/>
      <c r="Y42" s="87"/>
      <c r="Z42" s="87"/>
      <c r="AA42" s="87"/>
      <c r="AB42" s="87"/>
      <c r="AC42" s="87"/>
      <c r="AD42" s="87"/>
      <c r="AE42" s="87"/>
      <c r="AF42" s="87"/>
      <c r="AG42" s="87"/>
    </row>
    <row r="43" spans="3:33" s="290" customFormat="1" ht="15" customHeight="1">
      <c r="C43" s="1115" t="str">
        <f>IF(Indice_index!$Z$1=1,"Despesa de Capital","Capital expenditure")</f>
        <v>Despesa de Capital</v>
      </c>
      <c r="D43" s="1115">
        <v>0</v>
      </c>
      <c r="E43" s="1115">
        <v>0</v>
      </c>
      <c r="F43" s="1115">
        <v>0</v>
      </c>
      <c r="G43" s="1115">
        <v>0</v>
      </c>
      <c r="H43" s="1116" t="str">
        <f t="shared" si="13"/>
        <v>-</v>
      </c>
      <c r="I43" s="1116" t="str">
        <f t="shared" si="14"/>
        <v>-</v>
      </c>
      <c r="J43" s="1116">
        <f t="shared" si="17"/>
        <v>0</v>
      </c>
      <c r="L43" s="293"/>
      <c r="M43" s="293"/>
      <c r="N43" s="419"/>
      <c r="O43" s="419"/>
      <c r="P43" s="293"/>
      <c r="Q43" s="293"/>
      <c r="R43" s="293"/>
      <c r="S43" s="293"/>
      <c r="T43" s="293"/>
      <c r="U43" s="293"/>
      <c r="V43" s="293"/>
      <c r="W43" s="293"/>
      <c r="X43" s="293"/>
      <c r="Y43" s="293"/>
      <c r="Z43" s="293"/>
      <c r="AA43" s="293"/>
      <c r="AB43" s="293"/>
      <c r="AC43" s="293"/>
      <c r="AD43" s="293"/>
      <c r="AE43" s="293"/>
      <c r="AF43" s="293"/>
      <c r="AG43" s="293"/>
    </row>
    <row r="44" spans="3:33" ht="4.5" customHeight="1">
      <c r="C44" s="1126"/>
      <c r="D44" s="1126"/>
      <c r="E44" s="1126"/>
      <c r="F44" s="1126"/>
      <c r="G44" s="1126"/>
      <c r="H44" s="1128"/>
      <c r="I44" s="1128"/>
      <c r="J44" s="1128"/>
      <c r="K44" s="117"/>
      <c r="L44" s="87"/>
      <c r="M44" s="87"/>
      <c r="N44" s="419"/>
      <c r="O44" s="419"/>
      <c r="P44" s="293"/>
      <c r="Q44" s="293"/>
      <c r="R44" s="293"/>
      <c r="U44" s="87"/>
      <c r="V44" s="87"/>
      <c r="W44" s="87"/>
      <c r="X44" s="87"/>
      <c r="Y44" s="87"/>
      <c r="Z44" s="87"/>
      <c r="AA44" s="87"/>
      <c r="AB44" s="87"/>
      <c r="AC44" s="87"/>
      <c r="AD44" s="87"/>
      <c r="AE44" s="87"/>
      <c r="AF44" s="87"/>
      <c r="AG44" s="87"/>
    </row>
    <row r="45" spans="3:33" s="290" customFormat="1" ht="15" customHeight="1">
      <c r="C45" s="780" t="str">
        <f>IF(Indice_index!$Z$1=1,"Despesa efectiva","Effective expenditure")</f>
        <v>Despesa efectiva</v>
      </c>
      <c r="D45" s="780">
        <f t="shared" ref="D45:E45" si="20">+D29+D43</f>
        <v>10285.655430229999</v>
      </c>
      <c r="E45" s="780">
        <f t="shared" si="20"/>
        <v>10443.5705</v>
      </c>
      <c r="F45" s="780">
        <f t="shared" ref="F45:G45" si="21">+F29+F43</f>
        <v>7328.7441116</v>
      </c>
      <c r="G45" s="780">
        <f t="shared" si="21"/>
        <v>7460.7183109600001</v>
      </c>
      <c r="H45" s="1125">
        <f t="shared" si="13"/>
        <v>71.438387005287126</v>
      </c>
      <c r="I45" s="1125">
        <f t="shared" si="10"/>
        <v>1.800775103487515</v>
      </c>
      <c r="J45" s="1125"/>
      <c r="L45" s="293"/>
      <c r="M45" s="293"/>
      <c r="N45" s="419"/>
      <c r="O45" s="419"/>
      <c r="P45" s="293"/>
      <c r="Q45" s="293"/>
      <c r="R45" s="293"/>
      <c r="U45" s="293"/>
      <c r="V45" s="293"/>
      <c r="W45" s="293"/>
      <c r="X45" s="293"/>
      <c r="Y45" s="293"/>
      <c r="Z45" s="293"/>
      <c r="AA45" s="293"/>
      <c r="AB45" s="293"/>
      <c r="AC45" s="293"/>
      <c r="AD45" s="293"/>
      <c r="AE45" s="293"/>
      <c r="AF45" s="293"/>
      <c r="AG45" s="293"/>
    </row>
    <row r="46" spans="3:33" ht="4.5" customHeight="1">
      <c r="C46" s="1118"/>
      <c r="D46" s="1118"/>
      <c r="E46" s="1118"/>
      <c r="F46" s="1118"/>
      <c r="G46" s="1118"/>
      <c r="H46" s="1118"/>
      <c r="I46" s="1118"/>
      <c r="J46" s="1118"/>
      <c r="K46" s="117"/>
      <c r="L46" s="87"/>
      <c r="M46" s="87"/>
      <c r="N46" s="419"/>
      <c r="O46" s="419"/>
      <c r="P46" s="293"/>
      <c r="Q46" s="293"/>
      <c r="R46" s="293"/>
      <c r="U46" s="87"/>
      <c r="V46" s="87"/>
      <c r="W46" s="87"/>
      <c r="X46" s="87"/>
      <c r="Y46" s="87"/>
      <c r="Z46" s="87"/>
      <c r="AA46" s="87"/>
      <c r="AB46" s="87"/>
      <c r="AC46" s="87"/>
      <c r="AD46" s="87"/>
      <c r="AE46" s="87"/>
      <c r="AF46" s="87"/>
      <c r="AG46" s="87"/>
    </row>
    <row r="47" spans="3:33" s="290" customFormat="1" ht="15" customHeight="1">
      <c r="C47" s="780" t="str">
        <f>IF(Indice_index!$Z$1=1,"Saldo global","Overall balance")</f>
        <v>Saldo global</v>
      </c>
      <c r="D47" s="780">
        <f t="shared" ref="D47:E47" si="22">+D27-D45</f>
        <v>80.717078220000985</v>
      </c>
      <c r="E47" s="780">
        <f t="shared" si="22"/>
        <v>-91.000520000001416</v>
      </c>
      <c r="F47" s="780">
        <f t="shared" ref="F47:G47" si="23">+F27-F45</f>
        <v>56.763132240002051</v>
      </c>
      <c r="G47" s="780">
        <f t="shared" si="23"/>
        <v>-192.74025729999994</v>
      </c>
      <c r="H47" s="780"/>
      <c r="I47" s="780"/>
      <c r="J47" s="1129"/>
      <c r="L47" s="293"/>
      <c r="M47" s="293"/>
      <c r="N47" s="419"/>
      <c r="O47" s="419"/>
      <c r="P47" s="293"/>
      <c r="Q47" s="293"/>
      <c r="R47" s="293"/>
      <c r="U47" s="293"/>
      <c r="V47" s="293"/>
      <c r="W47" s="293"/>
      <c r="X47" s="293"/>
      <c r="Y47" s="293"/>
      <c r="Z47" s="293"/>
      <c r="AA47" s="293"/>
      <c r="AB47" s="293"/>
      <c r="AC47" s="293"/>
      <c r="AD47" s="293"/>
      <c r="AE47" s="293"/>
      <c r="AF47" s="293"/>
      <c r="AG47" s="293"/>
    </row>
    <row r="48" spans="3:33" ht="4.5" customHeight="1">
      <c r="C48" s="1130"/>
      <c r="D48" s="1113"/>
      <c r="E48" s="1113"/>
      <c r="F48" s="1113"/>
      <c r="G48" s="1113"/>
      <c r="H48" s="1131"/>
      <c r="I48" s="1131"/>
      <c r="J48" s="1131"/>
      <c r="K48" s="117"/>
      <c r="L48" s="87"/>
      <c r="M48" s="87"/>
      <c r="N48" s="419"/>
      <c r="O48" s="419"/>
      <c r="P48" s="293"/>
      <c r="Q48" s="293"/>
      <c r="R48" s="293"/>
      <c r="U48" s="87"/>
      <c r="V48" s="87"/>
      <c r="W48" s="87"/>
      <c r="X48" s="87"/>
      <c r="Y48" s="87"/>
      <c r="Z48" s="87"/>
      <c r="AA48" s="87"/>
      <c r="AB48" s="87"/>
      <c r="AC48" s="87"/>
      <c r="AD48" s="87"/>
      <c r="AE48" s="87"/>
      <c r="AF48" s="87"/>
      <c r="AG48" s="87"/>
    </row>
    <row r="49" spans="3:33" ht="15" customHeight="1">
      <c r="C49" s="1118" t="str">
        <f>IF(Indice_index!$Z$1=1,"Ativos financeiros líquidos de reembolsos","Financial assets net of reimbursements")</f>
        <v>Ativos financeiros líquidos de reembolsos</v>
      </c>
      <c r="D49" s="1118">
        <v>217.27286289000006</v>
      </c>
      <c r="E49" s="1118">
        <v>-91.000519999999995</v>
      </c>
      <c r="F49" s="1118">
        <v>-147.30351466999997</v>
      </c>
      <c r="G49" s="1118">
        <v>-461.75091067999995</v>
      </c>
      <c r="H49" s="1119"/>
      <c r="I49" s="1119"/>
      <c r="J49" s="1132"/>
      <c r="K49" s="117"/>
      <c r="L49" s="87"/>
      <c r="M49" s="87"/>
      <c r="N49" s="419"/>
      <c r="O49" s="419"/>
      <c r="P49" s="293"/>
      <c r="Q49" s="293"/>
      <c r="R49" s="293"/>
      <c r="U49" s="87"/>
      <c r="V49" s="87"/>
      <c r="W49" s="87"/>
      <c r="X49" s="87"/>
      <c r="Y49" s="87"/>
      <c r="Z49" s="87"/>
      <c r="AA49" s="87"/>
      <c r="AB49" s="87"/>
      <c r="AC49" s="87"/>
      <c r="AD49" s="87"/>
      <c r="AE49" s="87"/>
      <c r="AF49" s="87"/>
      <c r="AG49" s="87"/>
    </row>
    <row r="50" spans="3:33" ht="15" customHeight="1">
      <c r="C50" s="1118" t="str">
        <f>IF(Indice_index!$Z$1=1,"Passivos financeiros líquidos de amortizações","Financial liabilities net of amortizations")</f>
        <v>Passivos financeiros líquidos de amortizações</v>
      </c>
      <c r="D50" s="1118">
        <v>0</v>
      </c>
      <c r="E50" s="1118">
        <v>0</v>
      </c>
      <c r="F50" s="1118">
        <v>0</v>
      </c>
      <c r="G50" s="1118">
        <v>0</v>
      </c>
      <c r="H50" s="1119"/>
      <c r="I50" s="1119"/>
      <c r="J50" s="1132"/>
      <c r="K50" s="117"/>
      <c r="L50" s="87"/>
      <c r="M50" s="87"/>
      <c r="N50" s="419"/>
      <c r="O50" s="419"/>
      <c r="P50" s="293"/>
      <c r="Q50" s="293"/>
      <c r="R50" s="293"/>
      <c r="U50" s="87"/>
      <c r="V50" s="87"/>
      <c r="W50" s="87"/>
      <c r="X50" s="87"/>
      <c r="Y50" s="87"/>
      <c r="Z50" s="87"/>
      <c r="AA50" s="87"/>
      <c r="AB50" s="87"/>
      <c r="AC50" s="87"/>
      <c r="AD50" s="87"/>
      <c r="AE50" s="87"/>
      <c r="AF50" s="87"/>
      <c r="AG50" s="87"/>
    </row>
    <row r="51" spans="3:33" ht="15" customHeight="1">
      <c r="C51" s="1114" t="str">
        <f>IF(Indice_index!$Z$1=1,"Poupança (+) / Utilização (-) de saldo da gerência anterior","Saving (+) / Usage (-) of balance from previous management")</f>
        <v>Poupança (+) / Utilização (-) de saldo da gerência anterior</v>
      </c>
      <c r="D51" s="1114">
        <f t="shared" ref="D51:E51" si="24">D47-D49+D50</f>
        <v>-136.55578466999907</v>
      </c>
      <c r="E51" s="1114">
        <f t="shared" si="24"/>
        <v>-1.4210854715202004E-12</v>
      </c>
      <c r="F51" s="1114">
        <f t="shared" ref="F51:G51" si="25">F47-F49+F50</f>
        <v>204.06664691000202</v>
      </c>
      <c r="G51" s="1114">
        <f t="shared" si="25"/>
        <v>269.01065338000001</v>
      </c>
      <c r="H51" s="1133"/>
      <c r="I51" s="1133"/>
      <c r="J51" s="1114"/>
      <c r="K51" s="117"/>
      <c r="L51" s="87"/>
      <c r="M51" s="87"/>
      <c r="N51" s="419"/>
      <c r="O51" s="419"/>
      <c r="P51" s="293"/>
      <c r="Q51" s="293"/>
      <c r="R51" s="293"/>
      <c r="U51" s="87"/>
      <c r="V51" s="87"/>
      <c r="W51" s="87"/>
      <c r="X51" s="87"/>
      <c r="Y51" s="87"/>
      <c r="Z51" s="87"/>
      <c r="AA51" s="87"/>
      <c r="AB51" s="87"/>
      <c r="AC51" s="87"/>
      <c r="AD51" s="87"/>
      <c r="AE51" s="87"/>
      <c r="AF51" s="87"/>
      <c r="AG51" s="87"/>
    </row>
    <row r="52" spans="3:33" ht="4.5" customHeight="1">
      <c r="C52" s="1118"/>
      <c r="D52" s="1118"/>
      <c r="E52" s="1118"/>
      <c r="F52" s="1118"/>
      <c r="G52" s="1118"/>
      <c r="H52" s="1132"/>
      <c r="I52" s="1132"/>
      <c r="J52" s="1132"/>
      <c r="K52" s="109"/>
      <c r="L52" s="87"/>
      <c r="M52" s="87"/>
      <c r="N52" s="87"/>
      <c r="O52" s="87"/>
      <c r="U52" s="87"/>
      <c r="V52" s="87"/>
      <c r="W52" s="87"/>
      <c r="X52" s="87"/>
      <c r="Y52" s="87"/>
      <c r="Z52" s="87"/>
      <c r="AA52" s="87"/>
      <c r="AB52" s="87"/>
      <c r="AC52" s="87"/>
      <c r="AD52" s="87"/>
      <c r="AE52" s="87"/>
      <c r="AF52" s="87"/>
      <c r="AG52" s="87"/>
    </row>
    <row r="53" spans="3:33" ht="15" customHeight="1">
      <c r="C53" s="766" t="str">
        <f>IF(Indice_index!$Z$1=1,"Notas:","Notes:")</f>
        <v>Notas:</v>
      </c>
      <c r="D53" s="766"/>
      <c r="E53" s="766"/>
      <c r="F53" s="1118"/>
      <c r="G53" s="1118"/>
      <c r="H53" s="1132"/>
      <c r="I53" s="1132"/>
      <c r="J53" s="1132"/>
      <c r="K53" s="109"/>
      <c r="L53" s="87"/>
      <c r="M53" s="87"/>
      <c r="N53" s="87"/>
      <c r="O53" s="87"/>
      <c r="U53" s="87"/>
      <c r="V53" s="87"/>
      <c r="W53" s="87"/>
      <c r="X53" s="87"/>
      <c r="Y53" s="87"/>
      <c r="Z53" s="87"/>
      <c r="AA53" s="87"/>
      <c r="AB53" s="87"/>
      <c r="AC53" s="87"/>
      <c r="AD53" s="87"/>
      <c r="AE53" s="87"/>
      <c r="AF53" s="87"/>
      <c r="AG53" s="87"/>
    </row>
    <row r="54" spans="3:33" s="22" customFormat="1" ht="15" customHeight="1">
      <c r="C54" s="1685" t="str">
        <f>+'5 - Conta AC + SS'!$C$64</f>
        <v>Os dados de 2021 são mensalmente revistos e atualizados face ao publicado nas Sínteses de Execução Orçamental de 2021.</v>
      </c>
      <c r="D54" s="1685"/>
      <c r="E54" s="1685"/>
      <c r="F54" s="1685"/>
      <c r="G54" s="1685"/>
      <c r="H54" s="1685"/>
      <c r="I54" s="1685"/>
      <c r="J54" s="1685"/>
      <c r="K54" s="62"/>
      <c r="R54" s="24"/>
      <c r="S54" s="24"/>
    </row>
    <row r="55" spans="3:33" ht="4.5" customHeight="1">
      <c r="C55" s="1118"/>
      <c r="D55" s="1118"/>
      <c r="E55" s="1118"/>
      <c r="F55" s="1118"/>
      <c r="G55" s="1118"/>
      <c r="H55" s="1132"/>
      <c r="I55" s="1132"/>
      <c r="J55" s="1132"/>
      <c r="K55" s="109"/>
      <c r="L55" s="87"/>
      <c r="M55" s="87"/>
      <c r="N55" s="87"/>
      <c r="O55" s="87"/>
      <c r="U55" s="87"/>
      <c r="V55" s="87"/>
      <c r="W55" s="87"/>
      <c r="X55" s="87"/>
      <c r="Y55" s="87"/>
      <c r="Z55" s="87"/>
      <c r="AA55" s="87"/>
      <c r="AB55" s="87"/>
      <c r="AC55" s="87"/>
      <c r="AD55" s="87"/>
      <c r="AE55" s="87"/>
      <c r="AF55" s="87"/>
      <c r="AG55" s="87"/>
    </row>
    <row r="56" spans="3:33" ht="15" customHeight="1">
      <c r="C56" s="752" t="str">
        <f>IF(Indice_index!$Z$1=1,"Fonte: Direção-Geral do Orçamento","Source: Budget General Directorate")</f>
        <v>Fonte: Direção-Geral do Orçamento</v>
      </c>
      <c r="D56" s="752"/>
      <c r="E56" s="752"/>
      <c r="G56" s="655"/>
    </row>
    <row r="59" spans="3:33">
      <c r="F59" s="87"/>
      <c r="G59" s="121"/>
    </row>
    <row r="60" spans="3:33">
      <c r="F60" s="87"/>
      <c r="G60" s="121"/>
    </row>
    <row r="61" spans="3:33">
      <c r="F61" s="87"/>
      <c r="G61" s="121"/>
    </row>
    <row r="97" spans="3:11" ht="12" customHeight="1">
      <c r="C97" s="116"/>
      <c r="D97" s="444"/>
      <c r="E97" s="652"/>
      <c r="F97" s="116"/>
      <c r="G97" s="116"/>
      <c r="H97" s="654"/>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dimension ref="B1:R113"/>
  <sheetViews>
    <sheetView showGridLines="0" zoomScaleNormal="100" zoomScaleSheetLayoutView="100" workbookViewId="0">
      <selection activeCell="B2" sqref="B2"/>
    </sheetView>
  </sheetViews>
  <sheetFormatPr defaultColWidth="9.1796875" defaultRowHeight="10.5"/>
  <cols>
    <col min="1" max="1" width="2.1796875" style="123" customWidth="1"/>
    <col min="2" max="2" width="4.453125" style="123" customWidth="1"/>
    <col min="3" max="3" width="63.453125" style="123" customWidth="1"/>
    <col min="4" max="5" width="9.453125" style="123" customWidth="1"/>
    <col min="6" max="7" width="9.453125" style="124" customWidth="1"/>
    <col min="8" max="9" width="9.453125" style="123" customWidth="1"/>
    <col min="10" max="10" width="8.54296875" style="123" customWidth="1"/>
    <col min="11" max="11" width="14.453125" style="123" bestFit="1" customWidth="1"/>
    <col min="12" max="12" width="11.54296875" style="123" customWidth="1"/>
    <col min="13" max="15" width="8.54296875" style="123" customWidth="1"/>
    <col min="16" max="16384" width="9.179687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5"/>
      <c r="I3" s="125"/>
    </row>
    <row r="4" spans="2:15" ht="15" customHeight="1">
      <c r="H4" s="125"/>
      <c r="I4" s="125"/>
      <c r="J4" s="126"/>
    </row>
    <row r="5" spans="2:15" s="294" customFormat="1" ht="15" customHeight="1">
      <c r="C5" s="733" t="str">
        <f>+'5 - Conta AC + SS'!C5</f>
        <v>Período: janeiro a setembro</v>
      </c>
      <c r="D5" s="733"/>
      <c r="E5" s="733"/>
      <c r="F5" s="930"/>
      <c r="G5" s="930"/>
      <c r="I5" s="931" t="str">
        <f>IF(Indice_index!$Z$1=1,"€ Milhões","€ Millions")</f>
        <v>€ Milhões</v>
      </c>
    </row>
    <row r="6" spans="2:15" s="127" customFormat="1" ht="26.25" customHeight="1">
      <c r="C6" s="932"/>
      <c r="D6" s="737" t="str">
        <f>IF(Indice_index!$Z$1=1,"CGE","Final execution")</f>
        <v>CGE</v>
      </c>
      <c r="E6" s="737" t="str">
        <f>IF(Indice_index!$Z$1=1,"Orçamento Inicial","Budget")</f>
        <v>Orçamento Inicial</v>
      </c>
      <c r="F6" s="1686" t="str">
        <f>IF(Indice_index!$Z$1=1,"Execução Acumulada","Accumulated Execution")</f>
        <v>Execução Acumulada</v>
      </c>
      <c r="G6" s="1686"/>
      <c r="H6" s="1687" t="str">
        <f>IF(Indice_index!$Z$1=1,"Variação Homóloga Acumulada","YOY Change Rate")</f>
        <v>Variação Homóloga Acumulada</v>
      </c>
      <c r="I6" s="1688"/>
      <c r="K6" s="572"/>
    </row>
    <row r="7" spans="2:15" ht="33" customHeight="1">
      <c r="C7" s="933"/>
      <c r="D7" s="739" t="s">
        <v>67</v>
      </c>
      <c r="E7" s="739" t="s">
        <v>74</v>
      </c>
      <c r="F7" s="740" t="s">
        <v>67</v>
      </c>
      <c r="G7" s="740" t="s">
        <v>74</v>
      </c>
      <c r="H7" s="742" t="str">
        <f>IF(Indice_index!$Z$1=1,"Relativa (%)","Relative change (%)")</f>
        <v>Relativa (%)</v>
      </c>
      <c r="I7" s="743" t="str">
        <f>IF(Indice_index!$Z$1=1,"Contributo VHA (p.p.)","YOY Change Rate Contrib. (p.p.)")</f>
        <v>Contributo VHA (p.p.)</v>
      </c>
      <c r="K7" s="672"/>
    </row>
    <row r="8" spans="2:15" ht="4.5" customHeight="1">
      <c r="C8" s="466"/>
      <c r="D8" s="466"/>
      <c r="E8" s="466"/>
      <c r="F8" s="56"/>
      <c r="G8" s="56"/>
      <c r="H8" s="466"/>
      <c r="I8" s="56"/>
      <c r="K8" s="96"/>
    </row>
    <row r="9" spans="2:15" s="295" customFormat="1" ht="15" customHeight="1">
      <c r="C9" s="896" t="str">
        <f>IF(Indice_index!$Z$1=1,"Receita corrente","Current revenue")</f>
        <v>Receita corrente</v>
      </c>
      <c r="D9" s="934">
        <f t="shared" ref="D9:E9" si="0">+SUM(D10:D12)+SUM(D23:D27)</f>
        <v>33565.62642660999</v>
      </c>
      <c r="E9" s="934">
        <f t="shared" si="0"/>
        <v>33601.611486000002</v>
      </c>
      <c r="F9" s="934">
        <f t="shared" ref="F9:G9" si="1">+SUM(F10:F12)+SUM(F23:F27)</f>
        <v>23437.78728886</v>
      </c>
      <c r="G9" s="934">
        <f t="shared" si="1"/>
        <v>24859.047218330001</v>
      </c>
      <c r="H9" s="935">
        <f>IF(IFERROR((G9-F9)/F9*100,"")&gt;500,"-",IFERROR((G9-F9)/F9*100,""))</f>
        <v>6.0639680356922057</v>
      </c>
      <c r="I9" s="935">
        <f>IFERROR((G9-F9)/$F$32*100,"-")</f>
        <v>6.0638293688881424</v>
      </c>
      <c r="J9" s="296"/>
      <c r="K9" s="296"/>
      <c r="L9" s="636"/>
      <c r="N9" s="455"/>
      <c r="O9" s="455"/>
    </row>
    <row r="10" spans="2:15" s="127" customFormat="1" ht="15" customHeight="1">
      <c r="C10" s="746" t="str">
        <f>IF(Indice_index!$Z$1=1,"Impostos Indiretos","Indirect taxes")</f>
        <v>Impostos Indiretos</v>
      </c>
      <c r="D10" s="936">
        <v>212.25092951000005</v>
      </c>
      <c r="E10" s="936">
        <v>239.990139</v>
      </c>
      <c r="F10" s="936">
        <v>157.74278834999998</v>
      </c>
      <c r="G10" s="936">
        <v>174.19791329999998</v>
      </c>
      <c r="H10" s="937">
        <f>IF(IFERROR((G10-F10)/F10*100,"")&gt;500,"-",IFERROR((G10-F10)/F10*100,""))</f>
        <v>10.431617902866872</v>
      </c>
      <c r="I10" s="937">
        <f>IFERROR((G10-F10)/$F$32*100,"-")</f>
        <v>7.0206067075811479E-2</v>
      </c>
      <c r="J10" s="217"/>
      <c r="K10" s="217"/>
      <c r="L10" s="217"/>
      <c r="N10" s="455"/>
      <c r="O10" s="455"/>
    </row>
    <row r="11" spans="2:15" ht="15" customHeight="1">
      <c r="C11" s="938" t="str">
        <f>IF(Indice_index!$Z$1=1,"Contribuições e quotizações","Contributions and membership fees")</f>
        <v>Contribuições e quotizações</v>
      </c>
      <c r="D11" s="936">
        <v>19953.700139089997</v>
      </c>
      <c r="E11" s="936">
        <v>21165.819378</v>
      </c>
      <c r="F11" s="936">
        <v>14441.192996029999</v>
      </c>
      <c r="G11" s="936">
        <v>16190.643964810002</v>
      </c>
      <c r="H11" s="937">
        <f>IF(IFERROR((G11-F11)/F11*100,"")&gt;500,"-",IFERROR((G11-F11)/F11*100,""))</f>
        <v>12.114310564653085</v>
      </c>
      <c r="I11" s="937">
        <f>IFERROR((G11-F11)/$F$32*100,"-")</f>
        <v>7.4640619523227825</v>
      </c>
      <c r="J11" s="217"/>
      <c r="K11" s="217"/>
      <c r="L11" s="631"/>
      <c r="N11" s="455"/>
      <c r="O11" s="455"/>
    </row>
    <row r="12" spans="2:15" ht="15" customHeight="1">
      <c r="C12" s="938" t="str">
        <f>IF(Indice_index!$Z$1=1,"Transferências correntes da Administração Central","Central Government current transfers")</f>
        <v>Transferências correntes da Administração Central</v>
      </c>
      <c r="D12" s="936">
        <v>10871.419801169997</v>
      </c>
      <c r="E12" s="936">
        <v>9566.7203549999995</v>
      </c>
      <c r="F12" s="936">
        <v>7130.9515805400015</v>
      </c>
      <c r="G12" s="936">
        <v>7085.60919663</v>
      </c>
      <c r="H12" s="937">
        <f t="shared" ref="H12:H30" si="2">IF(IFERROR((G12-F12)/F12*100,"")&gt;500,"-",IFERROR((G12-F12)/F12*100,""))</f>
        <v>-0.63585320132783496</v>
      </c>
      <c r="I12" s="937">
        <f>IFERROR((G12-F12)/$F$32*100,"-")</f>
        <v>-0.19345404278821701</v>
      </c>
      <c r="J12" s="217"/>
      <c r="K12" s="217"/>
      <c r="L12" s="217"/>
      <c r="N12" s="455"/>
      <c r="O12" s="455"/>
    </row>
    <row r="13" spans="2:15" ht="15" customHeight="1">
      <c r="C13" s="939" t="str">
        <f>IF(Indice_index!$Z$1=1,"dos quais:","of which:")</f>
        <v>dos quais:</v>
      </c>
      <c r="D13" s="936"/>
      <c r="E13" s="936"/>
      <c r="F13" s="936"/>
      <c r="G13" s="936"/>
      <c r="H13" s="937"/>
      <c r="I13" s="937"/>
      <c r="J13" s="217"/>
      <c r="K13" s="217"/>
      <c r="L13" s="217"/>
      <c r="N13" s="455"/>
      <c r="O13" s="455"/>
    </row>
    <row r="14" spans="2:15" ht="15" customHeight="1">
      <c r="C14" s="940" t="str">
        <f>IF(Indice_index!$Z$1=1,"Transferências do OE","State Budget transfers")</f>
        <v>Transferências do OE</v>
      </c>
      <c r="D14" s="936">
        <f t="shared" ref="D14:G14" si="3">SUM(D15:D22)</f>
        <v>10519.713074420002</v>
      </c>
      <c r="E14" s="936">
        <f t="shared" si="3"/>
        <v>9208.4277920000004</v>
      </c>
      <c r="F14" s="936">
        <f t="shared" si="3"/>
        <v>6875.9557473700006</v>
      </c>
      <c r="G14" s="936">
        <f t="shared" si="3"/>
        <v>6848.2934034400005</v>
      </c>
      <c r="H14" s="937">
        <f t="shared" si="2"/>
        <v>-0.40230543863783252</v>
      </c>
      <c r="I14" s="937">
        <f t="shared" ref="I14:I30" si="4">IFERROR((G14-F14)/$F$32*100,"-")</f>
        <v>-0.11802185515605922</v>
      </c>
      <c r="J14" s="217"/>
      <c r="K14" s="217"/>
      <c r="L14" s="217"/>
      <c r="N14" s="455"/>
      <c r="O14" s="455"/>
    </row>
    <row r="15" spans="2:15" ht="15" customHeight="1">
      <c r="C15" s="941" t="str">
        <f>IF(Indice_index!$Z$1=1,"Financiamento da Lei de Bases da Segurança Social","Social Security Framework Law financing")</f>
        <v>Financiamento da Lei de Bases da Segurança Social</v>
      </c>
      <c r="D15" s="936">
        <v>7034.2355838800004</v>
      </c>
      <c r="E15" s="936">
        <v>7147.7003690000001</v>
      </c>
      <c r="F15" s="936">
        <v>5353.4354610400005</v>
      </c>
      <c r="G15" s="936">
        <v>5228.7645270600005</v>
      </c>
      <c r="H15" s="937">
        <f t="shared" si="2"/>
        <v>-2.3288024089820709</v>
      </c>
      <c r="I15" s="937">
        <f t="shared" si="4"/>
        <v>-0.53191063452872434</v>
      </c>
      <c r="J15" s="217"/>
      <c r="K15" s="631"/>
      <c r="L15" s="217"/>
      <c r="N15" s="455"/>
      <c r="O15" s="455"/>
    </row>
    <row r="16" spans="2:15" ht="15" customHeight="1">
      <c r="C16" s="942" t="str">
        <f>IF(Indice_index!$Z$1=1,"Medidas excecionais e temporárias (COVID-19)","Exceptional and temporary measures (COVID-19)")</f>
        <v>Medidas excecionais e temporárias (COVID-19)</v>
      </c>
      <c r="D16" s="936">
        <v>1545.4616489699999</v>
      </c>
      <c r="E16" s="936">
        <v>200</v>
      </c>
      <c r="F16" s="936">
        <v>529.24999997999987</v>
      </c>
      <c r="G16" s="936">
        <v>586.16812101999994</v>
      </c>
      <c r="H16" s="937">
        <f t="shared" si="2"/>
        <v>10.75448673446405</v>
      </c>
      <c r="I16" s="937">
        <f t="shared" si="4"/>
        <v>0.24284211974722214</v>
      </c>
      <c r="J16" s="217"/>
      <c r="K16" s="217"/>
      <c r="L16" s="217"/>
      <c r="N16" s="455"/>
      <c r="O16" s="455"/>
    </row>
    <row r="17" spans="2:15" ht="15" customHeight="1">
      <c r="C17" s="941" t="str">
        <f>IF(Indice_index!$Z$1=1,"Restantes transferências","Other transfers")</f>
        <v>Restantes transferências</v>
      </c>
      <c r="D17" s="936">
        <v>103.67836415000001</v>
      </c>
      <c r="E17" s="936">
        <v>0</v>
      </c>
      <c r="F17" s="936">
        <v>0</v>
      </c>
      <c r="G17" s="936">
        <v>0.36237492000000004</v>
      </c>
      <c r="H17" s="937" t="str">
        <f t="shared" si="2"/>
        <v>-</v>
      </c>
      <c r="I17" s="937">
        <f t="shared" si="4"/>
        <v>1.5460786847511494E-3</v>
      </c>
      <c r="J17" s="217"/>
      <c r="K17" s="217"/>
      <c r="L17" s="217"/>
      <c r="N17" s="455"/>
      <c r="O17" s="455"/>
    </row>
    <row r="18" spans="2:15" ht="15" customHeight="1">
      <c r="C18" s="941" t="str">
        <f>IF(Indice_index!$Z$1=1,"IVA Social","Social tax")</f>
        <v>IVA Social</v>
      </c>
      <c r="D18" s="936">
        <v>915.22045500000002</v>
      </c>
      <c r="E18" s="936">
        <v>970.13368200000002</v>
      </c>
      <c r="F18" s="936">
        <v>686.41534124999998</v>
      </c>
      <c r="G18" s="936">
        <v>708.38063204999992</v>
      </c>
      <c r="H18" s="937">
        <f t="shared" si="2"/>
        <v>3.1999999825178636</v>
      </c>
      <c r="I18" s="937">
        <f t="shared" si="4"/>
        <v>9.3715282255848228E-2</v>
      </c>
      <c r="J18" s="217"/>
      <c r="K18" s="217"/>
      <c r="L18" s="217"/>
      <c r="N18" s="455"/>
      <c r="O18" s="455"/>
    </row>
    <row r="19" spans="2:15" ht="15" customHeight="1">
      <c r="C19" s="941" t="str">
        <f>IF(Indice_index!$Z$1=1,"Adicional ao IMI","Additional to the real estate municipal tax")</f>
        <v>Adicional ao IMI</v>
      </c>
      <c r="D19" s="936">
        <v>128.194097</v>
      </c>
      <c r="E19" s="936">
        <v>148.06</v>
      </c>
      <c r="F19" s="936">
        <v>4.372579</v>
      </c>
      <c r="G19" s="936">
        <v>5.7537739999999999</v>
      </c>
      <c r="H19" s="937">
        <f t="shared" si="2"/>
        <v>31.587651132203671</v>
      </c>
      <c r="I19" s="937">
        <f t="shared" si="4"/>
        <v>5.892891674139214E-3</v>
      </c>
      <c r="J19" s="217"/>
      <c r="K19" s="217"/>
      <c r="L19" s="217"/>
      <c r="N19" s="455"/>
      <c r="O19" s="455"/>
    </row>
    <row r="20" spans="2:15" ht="15" customHeight="1">
      <c r="C20" s="941" t="str">
        <f>IF(Indice_index!$Z$1=1,"Consignação do IRC","Assignment of Corporate Income Tax")</f>
        <v>Consignação do IRC</v>
      </c>
      <c r="D20" s="936">
        <v>337.30786999999998</v>
      </c>
      <c r="E20" s="936">
        <v>297.27</v>
      </c>
      <c r="F20" s="936">
        <v>0</v>
      </c>
      <c r="G20" s="936">
        <v>0</v>
      </c>
      <c r="H20" s="937" t="str">
        <f t="shared" si="2"/>
        <v>-</v>
      </c>
      <c r="I20" s="937">
        <f t="shared" si="4"/>
        <v>0</v>
      </c>
      <c r="J20" s="217"/>
      <c r="K20" s="217"/>
      <c r="L20" s="217"/>
      <c r="N20" s="455"/>
      <c r="O20" s="455"/>
    </row>
    <row r="21" spans="2:15" ht="15" customHeight="1">
      <c r="C21" s="941" t="str">
        <f>IF(Indice_index!$Z$1=1,"Adicional à Contribuição do Setor Bancário","Additional contribution on the Banking sector")</f>
        <v>Adicional à Contribuição do Setor Bancário</v>
      </c>
      <c r="D21" s="936">
        <v>33.939816999999998</v>
      </c>
      <c r="E21" s="936">
        <v>34</v>
      </c>
      <c r="F21" s="936">
        <v>0</v>
      </c>
      <c r="G21" s="936">
        <v>25.499999969999998</v>
      </c>
      <c r="H21" s="937" t="str">
        <f t="shared" si="2"/>
        <v>-</v>
      </c>
      <c r="I21" s="937">
        <f t="shared" si="4"/>
        <v>0.10879617831932725</v>
      </c>
      <c r="J21" s="217"/>
      <c r="K21" s="217"/>
      <c r="L21" s="217"/>
      <c r="N21" s="455"/>
      <c r="O21" s="455"/>
    </row>
    <row r="22" spans="2:15" ht="15" customHeight="1">
      <c r="C22" s="941" t="str">
        <f>IF(Indice_index!$Z$1=1,"Pensões Bancários","Old age pension scheme from Banking regime")</f>
        <v>Pensões Bancários</v>
      </c>
      <c r="D22" s="936">
        <v>421.67523842000003</v>
      </c>
      <c r="E22" s="936">
        <v>411.26374099999998</v>
      </c>
      <c r="F22" s="936">
        <v>302.48236610000004</v>
      </c>
      <c r="G22" s="936">
        <v>293.36397441999998</v>
      </c>
      <c r="H22" s="937">
        <f t="shared" si="2"/>
        <v>-3.0145200851098664</v>
      </c>
      <c r="I22" s="937">
        <f t="shared" si="4"/>
        <v>-3.890377130862234E-2</v>
      </c>
      <c r="J22" s="217"/>
      <c r="K22" s="217"/>
      <c r="L22" s="217"/>
      <c r="N22" s="455"/>
      <c r="O22" s="455"/>
    </row>
    <row r="23" spans="2:15" ht="15" customHeight="1">
      <c r="C23" s="943" t="str">
        <f>IF(Indice_index!$Z$1=1,"Transferências do Fundo Social Europeu","European Social Fund")</f>
        <v>Transferências do Fundo Social Europeu</v>
      </c>
      <c r="D23" s="936">
        <v>1322.4853037599999</v>
      </c>
      <c r="E23" s="936">
        <v>1622.1324729999999</v>
      </c>
      <c r="F23" s="936">
        <v>961.18919040000003</v>
      </c>
      <c r="G23" s="936">
        <v>747.69501573000002</v>
      </c>
      <c r="H23" s="937">
        <f t="shared" si="2"/>
        <v>-22.211462301313869</v>
      </c>
      <c r="I23" s="937">
        <f t="shared" si="4"/>
        <v>-0.91087648332789073</v>
      </c>
      <c r="J23" s="217"/>
      <c r="K23" s="217"/>
      <c r="L23" s="217"/>
      <c r="N23" s="455"/>
      <c r="O23" s="455"/>
    </row>
    <row r="24" spans="2:15" ht="15" customHeight="1">
      <c r="C24" s="943" t="str">
        <f>IF(Indice_index!$Z$1=1,"Transferências do Fundo Europeu de Auxílio às Pessoas Mais Carenciadas - FEAC","Fund for European Aid to the Most Deprived")</f>
        <v>Transferências do Fundo Europeu de Auxílio às Pessoas Mais Carenciadas - FEAC</v>
      </c>
      <c r="D24" s="936">
        <v>27</v>
      </c>
      <c r="E24" s="936">
        <v>78.720834999999994</v>
      </c>
      <c r="F24" s="936">
        <v>21.5</v>
      </c>
      <c r="G24" s="936">
        <v>26</v>
      </c>
      <c r="H24" s="937">
        <f t="shared" si="2"/>
        <v>20.930232558139537</v>
      </c>
      <c r="I24" s="937">
        <f t="shared" si="4"/>
        <v>1.9199325608351078E-2</v>
      </c>
      <c r="J24" s="217"/>
      <c r="K24" s="217"/>
      <c r="L24" s="217"/>
      <c r="N24" s="455"/>
      <c r="O24" s="455"/>
    </row>
    <row r="25" spans="2:15" ht="15" customHeight="1">
      <c r="C25" s="943" t="str">
        <f>IF(Indice_index!$Z$1=1,"Transferências da União Europeia - Plano de Recuperação e Resiliência","Recovery and Resilience Plan")</f>
        <v>Transferências da União Europeia - Plano de Recuperação e Resiliência</v>
      </c>
      <c r="D25" s="936">
        <v>77.730710099999996</v>
      </c>
      <c r="E25" s="936">
        <v>106.318898</v>
      </c>
      <c r="F25" s="936">
        <v>0</v>
      </c>
      <c r="G25" s="936">
        <v>6.3086670999999992</v>
      </c>
      <c r="H25" s="937" t="str">
        <f t="shared" ref="H25" si="5">IF(IFERROR((G25-F25)/F25*100,"")&gt;500,"-",IFERROR((G25-F25)/F25*100,""))</f>
        <v>-</v>
      </c>
      <c r="I25" s="937">
        <f t="shared" si="4"/>
        <v>2.6916034179464868E-2</v>
      </c>
      <c r="J25" s="217"/>
      <c r="K25" s="217"/>
      <c r="L25" s="217"/>
      <c r="N25" s="455"/>
      <c r="O25" s="455"/>
    </row>
    <row r="26" spans="2:15" ht="15" customHeight="1">
      <c r="C26" s="943" t="str">
        <f>IF(Indice_index!$Z$1=1,"Outras transferências","Other transfers")</f>
        <v>Outras transferências</v>
      </c>
      <c r="D26" s="936">
        <v>2.4134979799999998</v>
      </c>
      <c r="E26" s="936">
        <v>2</v>
      </c>
      <c r="F26" s="936">
        <v>1.8460561599999996</v>
      </c>
      <c r="G26" s="936">
        <v>1.7129316700000001</v>
      </c>
      <c r="H26" s="937">
        <f t="shared" si="2"/>
        <v>-7.2112914484681507</v>
      </c>
      <c r="I26" s="937">
        <f t="shared" si="4"/>
        <v>-5.6797787332348157E-4</v>
      </c>
      <c r="J26" s="217"/>
      <c r="K26" s="217"/>
      <c r="L26" s="217"/>
      <c r="N26" s="455"/>
      <c r="O26" s="455"/>
    </row>
    <row r="27" spans="2:15" ht="15" customHeight="1">
      <c r="B27" s="128"/>
      <c r="C27" s="938" t="str">
        <f>IF(Indice_index!$Z$1=1,"Restantes receitas correntes","Other current revenue")</f>
        <v>Restantes receitas correntes</v>
      </c>
      <c r="D27" s="936">
        <v>1098.626045</v>
      </c>
      <c r="E27" s="936">
        <v>819.90940799999998</v>
      </c>
      <c r="F27" s="936">
        <v>723.36467737999988</v>
      </c>
      <c r="G27" s="936">
        <v>626.87952908999989</v>
      </c>
      <c r="H27" s="937">
        <f t="shared" si="2"/>
        <v>-13.338382603843144</v>
      </c>
      <c r="I27" s="937">
        <f t="shared" si="4"/>
        <v>-0.4116555063088328</v>
      </c>
      <c r="J27" s="217"/>
      <c r="K27" s="217"/>
      <c r="L27" s="217"/>
      <c r="N27" s="455"/>
      <c r="O27" s="455"/>
    </row>
    <row r="28" spans="2:15" s="295" customFormat="1" ht="15" customHeight="1">
      <c r="C28" s="896" t="str">
        <f>IF(Indice_index!$Z$1=1,"Receita de capital","Capital revenue")</f>
        <v>Receita de capital</v>
      </c>
      <c r="D28" s="934">
        <f t="shared" ref="D28:E28" si="6">+D29+D30</f>
        <v>0.91545309000000008</v>
      </c>
      <c r="E28" s="934">
        <f t="shared" si="6"/>
        <v>7.2077209999999994</v>
      </c>
      <c r="F28" s="934">
        <f t="shared" ref="F28:G28" si="7">+F29+F30</f>
        <v>0.53597205000000003</v>
      </c>
      <c r="G28" s="934">
        <f t="shared" si="7"/>
        <v>0.69060958000000006</v>
      </c>
      <c r="H28" s="935">
        <f t="shared" si="2"/>
        <v>28.851789939419419</v>
      </c>
      <c r="I28" s="935">
        <f t="shared" si="4"/>
        <v>6.5976361994247957E-4</v>
      </c>
      <c r="J28" s="296"/>
      <c r="K28" s="296"/>
      <c r="L28" s="296"/>
      <c r="N28" s="455"/>
      <c r="O28" s="455"/>
    </row>
    <row r="29" spans="2:15" ht="15" customHeight="1">
      <c r="C29" s="938" t="str">
        <f>IF(Indice_index!$Z$1=1,"Transferências do Orçamento do Estado","State Budget transfers")</f>
        <v>Transferências do Orçamento do Estado</v>
      </c>
      <c r="D29" s="936">
        <v>0.29749999999999999</v>
      </c>
      <c r="E29" s="936">
        <v>1.8776079999999999</v>
      </c>
      <c r="F29" s="936">
        <v>0</v>
      </c>
      <c r="G29" s="936">
        <v>0</v>
      </c>
      <c r="H29" s="937" t="str">
        <f t="shared" si="2"/>
        <v>-</v>
      </c>
      <c r="I29" s="937">
        <f t="shared" si="4"/>
        <v>0</v>
      </c>
      <c r="J29" s="217"/>
      <c r="K29" s="217"/>
      <c r="L29" s="217"/>
      <c r="N29" s="455"/>
      <c r="O29" s="455"/>
    </row>
    <row r="30" spans="2:15" ht="15" customHeight="1">
      <c r="C30" s="938" t="str">
        <f>IF(Indice_index!$Z$1=1,"Restantes receitas de capital","Other capital revenue")</f>
        <v>Restantes receitas de capital</v>
      </c>
      <c r="D30" s="936">
        <v>0.61795309000000009</v>
      </c>
      <c r="E30" s="936">
        <v>5.3301129999999999</v>
      </c>
      <c r="F30" s="936">
        <v>0.53597205000000003</v>
      </c>
      <c r="G30" s="936">
        <v>0.69060958000000006</v>
      </c>
      <c r="H30" s="937">
        <f t="shared" si="2"/>
        <v>28.851789939419419</v>
      </c>
      <c r="I30" s="937">
        <f t="shared" si="4"/>
        <v>6.5976361994247957E-4</v>
      </c>
      <c r="J30" s="217"/>
      <c r="K30" s="217"/>
      <c r="L30" s="217"/>
      <c r="N30" s="455"/>
      <c r="O30" s="455"/>
    </row>
    <row r="31" spans="2:15" ht="4.5" customHeight="1">
      <c r="C31" s="466"/>
      <c r="D31" s="936"/>
      <c r="E31" s="936"/>
      <c r="F31" s="936"/>
      <c r="G31" s="936"/>
      <c r="H31" s="937"/>
      <c r="I31" s="466"/>
      <c r="J31" s="217"/>
      <c r="K31" s="217"/>
      <c r="L31" s="217"/>
      <c r="N31" s="455"/>
      <c r="O31" s="455"/>
    </row>
    <row r="32" spans="2:15" s="295" customFormat="1" ht="15" customHeight="1">
      <c r="C32" s="944" t="str">
        <f>IF(Indice_index!$Z$1=1,"Receita Efetiva","Effective revenue")</f>
        <v>Receita Efetiva</v>
      </c>
      <c r="D32" s="945">
        <f t="shared" ref="D32:E32" si="8">+D9+D28</f>
        <v>33566.541879699987</v>
      </c>
      <c r="E32" s="945">
        <f t="shared" si="8"/>
        <v>33608.819207</v>
      </c>
      <c r="F32" s="945">
        <f t="shared" ref="F32:G32" si="9">+F9+F28</f>
        <v>23438.323260909998</v>
      </c>
      <c r="G32" s="945">
        <f t="shared" si="9"/>
        <v>24859.737827910001</v>
      </c>
      <c r="H32" s="946">
        <f t="shared" ref="H32" si="10">IF(IFERROR((G32-F32)/F32*100,"")&gt;500,"-",IFERROR((G32-F32)/F32*100,""))</f>
        <v>6.0644891325080934</v>
      </c>
      <c r="I32" s="946"/>
      <c r="J32" s="296"/>
      <c r="K32" s="296"/>
      <c r="L32" s="296"/>
      <c r="N32" s="455"/>
      <c r="O32" s="455"/>
    </row>
    <row r="33" spans="3:15" ht="4.5" customHeight="1">
      <c r="C33" s="466"/>
      <c r="D33" s="936"/>
      <c r="E33" s="936"/>
      <c r="F33" s="936"/>
      <c r="G33" s="936"/>
      <c r="H33" s="937"/>
      <c r="I33" s="937"/>
      <c r="J33" s="217"/>
      <c r="K33" s="217"/>
      <c r="L33" s="217"/>
      <c r="N33" s="455"/>
      <c r="O33" s="455"/>
    </row>
    <row r="34" spans="3:15" s="295" customFormat="1" ht="15" customHeight="1">
      <c r="C34" s="896" t="str">
        <f>IF(Indice_index!$Z$1=1,"Despesa Corrente","Current expenditure")</f>
        <v>Despesa Corrente</v>
      </c>
      <c r="D34" s="934">
        <f>+D35+D55+D56+D57+D58+D61+D62</f>
        <v>31196.79567548</v>
      </c>
      <c r="E34" s="934">
        <f>+E35+E55+E56+E57+E58+E61+E62</f>
        <v>30914.324376</v>
      </c>
      <c r="F34" s="934">
        <f>+F35+F55+F56+F57+F58+F61+F62</f>
        <v>22966.649707430013</v>
      </c>
      <c r="G34" s="934">
        <f>+G35+G55+G56+G57+G58+G61+G62</f>
        <v>21939.661493419997</v>
      </c>
      <c r="H34" s="935">
        <f t="shared" ref="H34" si="11">IF(IFERROR((G34-F34)/F34*100,"")&gt;500,"-",IFERROR((G34-F34)/F34*100,""))</f>
        <v>-4.4716500973921853</v>
      </c>
      <c r="I34" s="935">
        <f t="shared" ref="I34:I48" si="12">IFERROR((G34-F34)/$F$67*100,"-")</f>
        <v>-4.4672708625136437</v>
      </c>
      <c r="J34" s="296"/>
      <c r="K34" s="296"/>
      <c r="L34" s="296"/>
      <c r="N34" s="455"/>
      <c r="O34" s="455"/>
    </row>
    <row r="35" spans="3:15" s="127" customFormat="1" ht="15" customHeight="1">
      <c r="C35" s="947" t="str">
        <f>IF(Indice_index!$Z$1=1,"Prestações Sociais","Social Benefits")</f>
        <v>Prestações Sociais</v>
      </c>
      <c r="D35" s="948">
        <f t="shared" ref="D35:E35" si="13">+D36+SUM(D42:D54)</f>
        <v>27677.403530839998</v>
      </c>
      <c r="E35" s="948">
        <f t="shared" si="13"/>
        <v>26876.693802000002</v>
      </c>
      <c r="F35" s="949">
        <f t="shared" ref="F35:G35" si="14">+F36+SUM(F42:F54)</f>
        <v>20415.100752020004</v>
      </c>
      <c r="G35" s="949">
        <f t="shared" si="14"/>
        <v>19633.723701499999</v>
      </c>
      <c r="H35" s="950">
        <f t="shared" ref="H35:H58" si="15">IF(IFERROR((G35-F35)/F35*100,"")&gt;500,"-",IFERROR((G35-F35)/F35*100,""))</f>
        <v>-3.827446457459633</v>
      </c>
      <c r="I35" s="950">
        <f t="shared" si="12"/>
        <v>-3.3988928819302147</v>
      </c>
      <c r="J35" s="217"/>
      <c r="K35" s="217"/>
      <c r="L35" s="217"/>
      <c r="N35" s="455"/>
      <c r="O35" s="455"/>
    </row>
    <row r="36" spans="3:15" s="129" customFormat="1" ht="15" customHeight="1">
      <c r="C36" s="947" t="str">
        <f>IF(Indice_index!$Z$1=1,"      Pensões","      Pensions")</f>
        <v xml:space="preserve">      Pensões</v>
      </c>
      <c r="D36" s="514">
        <f t="shared" ref="D36:E36" si="16">(SUM(D37:D41))</f>
        <v>18459.21372498</v>
      </c>
      <c r="E36" s="514">
        <f t="shared" si="16"/>
        <v>19078.314131000003</v>
      </c>
      <c r="F36" s="514">
        <f>((SUM(F37:F41)))</f>
        <v>13125.168325020002</v>
      </c>
      <c r="G36" s="514">
        <f>((SUM(G37:G41)))</f>
        <v>13555.317522199999</v>
      </c>
      <c r="H36" s="937">
        <f t="shared" si="15"/>
        <v>3.2772851862022985</v>
      </c>
      <c r="I36" s="937">
        <f t="shared" si="12"/>
        <v>1.8710954506407755</v>
      </c>
      <c r="J36" s="217"/>
      <c r="K36" s="217"/>
      <c r="L36" s="217"/>
      <c r="N36" s="455"/>
      <c r="O36" s="455"/>
    </row>
    <row r="37" spans="3:15" s="129" customFormat="1" ht="15" customHeight="1">
      <c r="C37" s="947" t="str">
        <f>IF(Indice_index!$Z$1=1,"            Sobrevivência","            Survival")</f>
        <v xml:space="preserve">            Sobrevivência</v>
      </c>
      <c r="D37" s="936">
        <v>2590.4848075700002</v>
      </c>
      <c r="E37" s="936">
        <v>2649.420505</v>
      </c>
      <c r="F37" s="936">
        <v>1850.6308796400001</v>
      </c>
      <c r="G37" s="936">
        <v>1891.7567786299996</v>
      </c>
      <c r="H37" s="937">
        <f t="shared" si="15"/>
        <v>2.2222637394875679</v>
      </c>
      <c r="I37" s="937">
        <f t="shared" si="12"/>
        <v>0.1788925400958033</v>
      </c>
      <c r="J37" s="217"/>
      <c r="K37" s="217"/>
      <c r="L37" s="217"/>
      <c r="N37" s="455"/>
      <c r="O37" s="455"/>
    </row>
    <row r="38" spans="3:15" s="129" customFormat="1" ht="15" customHeight="1">
      <c r="C38" s="947" t="str">
        <f>IF(Indice_index!$Z$1=1,"            Invalidez","            Disability")</f>
        <v xml:space="preserve">            Invalidez</v>
      </c>
      <c r="D38" s="936">
        <v>1166.6139236599995</v>
      </c>
      <c r="E38" s="936">
        <v>1179.448492</v>
      </c>
      <c r="F38" s="936">
        <v>837.56730991000018</v>
      </c>
      <c r="G38" s="936">
        <v>835.28479625000011</v>
      </c>
      <c r="H38" s="937">
        <f t="shared" si="15"/>
        <v>-0.27251704227154327</v>
      </c>
      <c r="I38" s="937">
        <f t="shared" si="12"/>
        <v>-9.9286502293863804E-3</v>
      </c>
      <c r="J38" s="217"/>
      <c r="K38" s="217"/>
      <c r="L38" s="217"/>
      <c r="N38" s="455"/>
      <c r="O38" s="455"/>
    </row>
    <row r="39" spans="3:15" s="129" customFormat="1" ht="15" customHeight="1">
      <c r="C39" s="947" t="str">
        <f>IF(Indice_index!$Z$1=1,"            Velhice","            Old-age")</f>
        <v xml:space="preserve">            Velhice</v>
      </c>
      <c r="D39" s="936">
        <v>13911.745101300001</v>
      </c>
      <c r="E39" s="936">
        <v>14284.298789</v>
      </c>
      <c r="F39" s="936">
        <v>9899.293603510001</v>
      </c>
      <c r="G39" s="936">
        <v>10185.739852309998</v>
      </c>
      <c r="H39" s="937">
        <f t="shared" si="15"/>
        <v>2.8936029202975826</v>
      </c>
      <c r="I39" s="937">
        <f t="shared" si="12"/>
        <v>1.246005517379853</v>
      </c>
      <c r="J39" s="217"/>
      <c r="K39" s="217"/>
      <c r="L39" s="217"/>
      <c r="N39" s="455"/>
      <c r="O39" s="455"/>
    </row>
    <row r="40" spans="3:15" s="129" customFormat="1" ht="15" customHeight="1">
      <c r="C40" s="947" t="str">
        <f>IF(Indice_index!$Z$1=1,"            Beneficiários dos antigos combatentes","            War veteran beneficiaries")</f>
        <v xml:space="preserve">            Beneficiários dos antigos combatentes</v>
      </c>
      <c r="D40" s="936">
        <v>43.599297430000007</v>
      </c>
      <c r="E40" s="936">
        <v>45.013061</v>
      </c>
      <c r="F40" s="936">
        <v>0.33080929999999997</v>
      </c>
      <c r="G40" s="936">
        <v>0.54082640999999998</v>
      </c>
      <c r="H40" s="951">
        <f t="shared" si="15"/>
        <v>63.485854236866992</v>
      </c>
      <c r="I40" s="951">
        <f t="shared" si="12"/>
        <v>9.1354827965257706E-4</v>
      </c>
      <c r="J40" s="217"/>
      <c r="K40" s="217"/>
      <c r="L40" s="217"/>
      <c r="N40" s="455"/>
      <c r="O40" s="455"/>
    </row>
    <row r="41" spans="3:15" s="129" customFormat="1" ht="15" customHeight="1">
      <c r="C41" s="947" t="str">
        <f>IF(Indice_index!$Z$1=1,"            Parcela de atualização extraordinária de pensões","            Portion of extraordinary pensions update")</f>
        <v xml:space="preserve">            Parcela de atualização extraordinária de pensões</v>
      </c>
      <c r="D41" s="936">
        <v>746.77059501999997</v>
      </c>
      <c r="E41" s="936">
        <v>920.133284</v>
      </c>
      <c r="F41" s="936">
        <v>537.34572265999998</v>
      </c>
      <c r="G41" s="936">
        <v>641.99526860000014</v>
      </c>
      <c r="H41" s="951">
        <f t="shared" si="15"/>
        <v>19.475272906604321</v>
      </c>
      <c r="I41" s="951">
        <f t="shared" si="12"/>
        <v>0.45521249511485268</v>
      </c>
      <c r="J41" s="217"/>
      <c r="K41" s="217"/>
      <c r="L41" s="217"/>
      <c r="N41" s="455"/>
      <c r="O41" s="455"/>
    </row>
    <row r="42" spans="3:15" s="129" customFormat="1" ht="15" customHeight="1">
      <c r="C42" s="943" t="str">
        <f>IF(Indice_index!$Z$1=1,"Subsídio familiar a crianças e jovens","Family benefit")</f>
        <v>Subsídio familiar a crianças e jovens</v>
      </c>
      <c r="D42" s="936">
        <v>785.93262444000004</v>
      </c>
      <c r="E42" s="936">
        <v>838.27399400000002</v>
      </c>
      <c r="F42" s="936">
        <v>592.15143409000007</v>
      </c>
      <c r="G42" s="936">
        <v>597.95474202999992</v>
      </c>
      <c r="H42" s="951">
        <f t="shared" si="15"/>
        <v>0.98003780889565817</v>
      </c>
      <c r="I42" s="937">
        <f t="shared" si="12"/>
        <v>2.524366697970945E-2</v>
      </c>
      <c r="J42" s="217"/>
      <c r="K42" s="217"/>
      <c r="L42" s="217"/>
      <c r="N42" s="455"/>
      <c r="O42" s="455"/>
    </row>
    <row r="43" spans="3:15" s="129" customFormat="1" ht="15" customHeight="1">
      <c r="C43" s="938" t="str">
        <f>IF(Indice_index!$Z$1=1,"Subsídio por doença","Illness benefit")</f>
        <v>Subsídio por doença</v>
      </c>
      <c r="D43" s="936">
        <v>753.50125893000006</v>
      </c>
      <c r="E43" s="936">
        <v>799.45637299999999</v>
      </c>
      <c r="F43" s="936">
        <v>579.09941533000006</v>
      </c>
      <c r="G43" s="936">
        <v>621.45325751999997</v>
      </c>
      <c r="H43" s="937">
        <f t="shared" si="15"/>
        <v>7.3137428684614632</v>
      </c>
      <c r="I43" s="937">
        <f t="shared" si="12"/>
        <v>0.18423394012683608</v>
      </c>
      <c r="J43" s="217"/>
      <c r="K43" s="217"/>
      <c r="L43" s="217"/>
      <c r="N43" s="455"/>
      <c r="O43" s="455"/>
    </row>
    <row r="44" spans="3:15" s="129" customFormat="1" ht="15" customHeight="1">
      <c r="C44" s="938" t="str">
        <f>IF(Indice_index!$Z$1=1,"Prestações de desemprego","Unemployment benefits")</f>
        <v>Prestações de desemprego</v>
      </c>
      <c r="D44" s="936">
        <v>1592.5085594000002</v>
      </c>
      <c r="E44" s="936">
        <v>1542.9161469999999</v>
      </c>
      <c r="F44" s="936">
        <v>1250.93037753</v>
      </c>
      <c r="G44" s="936">
        <v>979.55817229000002</v>
      </c>
      <c r="H44" s="937">
        <f t="shared" si="15"/>
        <v>-21.693629806627019</v>
      </c>
      <c r="I44" s="937">
        <f t="shared" si="12"/>
        <v>-1.1804353047355427</v>
      </c>
      <c r="J44" s="217"/>
      <c r="K44" s="217"/>
      <c r="L44" s="217"/>
      <c r="N44" s="455"/>
      <c r="O44" s="455"/>
    </row>
    <row r="45" spans="3:15" s="129" customFormat="1" ht="15" customHeight="1">
      <c r="C45" s="938" t="str">
        <f>IF(Indice_index!$Z$1=1,"Complemento Solidário para Idosos","Elderly pension supplement")</f>
        <v>Complemento Solidário para Idosos</v>
      </c>
      <c r="D45" s="936">
        <v>204.31185116</v>
      </c>
      <c r="E45" s="936">
        <v>205.21606800000001</v>
      </c>
      <c r="F45" s="936">
        <v>153.48434653000001</v>
      </c>
      <c r="G45" s="936">
        <v>149.99009063999998</v>
      </c>
      <c r="H45" s="937">
        <f t="shared" si="15"/>
        <v>-2.2766203648767838</v>
      </c>
      <c r="I45" s="937">
        <f t="shared" si="12"/>
        <v>-1.5199578058070672E-2</v>
      </c>
      <c r="J45" s="217"/>
      <c r="K45" s="217"/>
      <c r="L45" s="217"/>
      <c r="N45" s="455"/>
      <c r="O45" s="455"/>
    </row>
    <row r="46" spans="3:15" s="129" customFormat="1" ht="15" customHeight="1">
      <c r="C46" s="938" t="str">
        <f>IF(Indice_index!$Z$1=1,"Prestação Social para a Inclusão","Social benefits for inclusion")</f>
        <v>Prestação Social para a Inclusão</v>
      </c>
      <c r="D46" s="936">
        <v>524.53333005000002</v>
      </c>
      <c r="E46" s="936">
        <v>450.62609900000001</v>
      </c>
      <c r="F46" s="936">
        <v>412.806783</v>
      </c>
      <c r="G46" s="936">
        <v>350.71480223000003</v>
      </c>
      <c r="H46" s="937">
        <f t="shared" si="15"/>
        <v>-15.041414852429874</v>
      </c>
      <c r="I46" s="937">
        <f t="shared" si="12"/>
        <v>-0.27009238539019204</v>
      </c>
      <c r="J46" s="217"/>
      <c r="K46" s="217"/>
      <c r="L46" s="217"/>
      <c r="N46" s="455"/>
      <c r="O46" s="455"/>
    </row>
    <row r="47" spans="3:15" s="129" customFormat="1" ht="15" customHeight="1">
      <c r="C47" s="938" t="str">
        <f>IF(Indice_index!$Z$1=1,"Prestações de parentalidade","Parenthood benefits")</f>
        <v>Prestações de parentalidade</v>
      </c>
      <c r="D47" s="936">
        <v>638.13390999000012</v>
      </c>
      <c r="E47" s="936">
        <v>672.95038899999997</v>
      </c>
      <c r="F47" s="936">
        <v>475.43528701999998</v>
      </c>
      <c r="G47" s="936">
        <v>532.94707466000011</v>
      </c>
      <c r="H47" s="937">
        <f t="shared" si="15"/>
        <v>12.096659463474113</v>
      </c>
      <c r="I47" s="937">
        <f t="shared" si="12"/>
        <v>0.25016911554618793</v>
      </c>
      <c r="J47" s="217"/>
      <c r="K47" s="217"/>
      <c r="L47" s="217"/>
      <c r="N47" s="455"/>
      <c r="O47" s="455"/>
    </row>
    <row r="48" spans="3:15" s="129" customFormat="1" ht="15" customHeight="1">
      <c r="C48" s="938" t="str">
        <f>IF(Indice_index!$Z$1=1,"Medidas excecionais e temporárias (COVID-19)","Exceptional and temporary measures (COVID-19)")</f>
        <v>Medidas excecionais e temporárias (COVID-19)</v>
      </c>
      <c r="D48" s="936">
        <v>1919.9825029600001</v>
      </c>
      <c r="E48" s="936">
        <v>200</v>
      </c>
      <c r="F48" s="936">
        <v>1719.8077291499997</v>
      </c>
      <c r="G48" s="936">
        <v>591.43995427999994</v>
      </c>
      <c r="H48" s="937">
        <f t="shared" si="15"/>
        <v>-65.610111859869704</v>
      </c>
      <c r="I48" s="937">
        <f t="shared" si="12"/>
        <v>-4.9082593296703037</v>
      </c>
      <c r="J48" s="631"/>
      <c r="K48" s="217"/>
      <c r="L48" s="217"/>
      <c r="N48" s="455"/>
      <c r="O48" s="455"/>
    </row>
    <row r="49" spans="3:15" s="129" customFormat="1" ht="15" hidden="1" customHeight="1">
      <c r="C49" s="938" t="str">
        <f>IF(Indice_index!$Z$1=1,"Complemento-creche","Child daycare supplement")</f>
        <v>Complemento-creche</v>
      </c>
      <c r="D49" s="936">
        <v>0</v>
      </c>
      <c r="E49" s="936">
        <v>0</v>
      </c>
      <c r="F49" s="936">
        <v>0</v>
      </c>
      <c r="G49" s="936">
        <v>0</v>
      </c>
      <c r="H49" s="937" t="str">
        <f t="shared" ref="H49:H50" si="17">IF(IFERROR((G49-F49)/F49*100,"")&gt;500,"-",IFERROR((G49-F49)/F49*100,""))</f>
        <v>-</v>
      </c>
      <c r="I49" s="937">
        <f t="shared" ref="I49:I50" si="18">IFERROR((G49-F49)/$F$67*100,"-")</f>
        <v>0</v>
      </c>
      <c r="J49" s="217"/>
      <c r="K49" s="217"/>
      <c r="L49" s="217"/>
      <c r="N49" s="455"/>
      <c r="O49" s="455"/>
    </row>
    <row r="50" spans="3:15" s="129" customFormat="1" ht="15" customHeight="1">
      <c r="C50" s="938" t="s">
        <v>584</v>
      </c>
      <c r="D50" s="936">
        <v>0</v>
      </c>
      <c r="E50" s="936">
        <v>35.451974</v>
      </c>
      <c r="F50" s="936">
        <v>0</v>
      </c>
      <c r="G50" s="936">
        <v>12.138644919999999</v>
      </c>
      <c r="H50" s="937" t="str">
        <f t="shared" si="17"/>
        <v>-</v>
      </c>
      <c r="I50" s="937">
        <f t="shared" si="18"/>
        <v>5.2801594041454493E-2</v>
      </c>
      <c r="J50" s="217"/>
      <c r="K50" s="217"/>
      <c r="L50" s="217"/>
      <c r="N50" s="455"/>
      <c r="O50" s="455"/>
    </row>
    <row r="51" spans="3:15" s="129" customFormat="1" ht="15" customHeight="1">
      <c r="C51" s="938" t="str">
        <f>IF(Indice_index!$Z$1=1,"Outras prestações","Other benefits")</f>
        <v>Outras prestações</v>
      </c>
      <c r="D51" s="936">
        <v>393.84301586999993</v>
      </c>
      <c r="E51" s="936">
        <v>404.353476</v>
      </c>
      <c r="F51" s="936">
        <v>306.64846508000005</v>
      </c>
      <c r="G51" s="936">
        <v>400.47111065000001</v>
      </c>
      <c r="H51" s="937">
        <f t="shared" si="15"/>
        <v>30.596156920440816</v>
      </c>
      <c r="I51" s="937">
        <f t="shared" ref="I51:I58" si="19">IFERROR((G51-F51)/$F$67*100,"-")</f>
        <v>0.40811682654297515</v>
      </c>
      <c r="J51" s="217"/>
      <c r="K51" s="217"/>
      <c r="L51" s="217"/>
      <c r="N51" s="455"/>
      <c r="O51" s="455"/>
    </row>
    <row r="52" spans="3:15" s="129" customFormat="1" ht="15" customHeight="1">
      <c r="C52" s="938" t="str">
        <f>IF(Indice_index!$Z$1=1,"Ação social","Social assistance")</f>
        <v>Ação social</v>
      </c>
      <c r="D52" s="936">
        <v>2047.68765882</v>
      </c>
      <c r="E52" s="936">
        <v>2241.9352680000002</v>
      </c>
      <c r="F52" s="936">
        <v>1528.4049898800004</v>
      </c>
      <c r="G52" s="936">
        <v>1579.8935017399999</v>
      </c>
      <c r="H52" s="937">
        <f t="shared" si="15"/>
        <v>3.3687741273366352</v>
      </c>
      <c r="I52" s="937">
        <f t="shared" si="19"/>
        <v>0.22396861585027003</v>
      </c>
      <c r="J52" s="217"/>
      <c r="K52" s="217"/>
      <c r="L52" s="217"/>
      <c r="N52" s="455"/>
      <c r="O52" s="455"/>
    </row>
    <row r="53" spans="3:15" s="129" customFormat="1" ht="15" customHeight="1">
      <c r="C53" s="938" t="str">
        <f>IF(Indice_index!$Z$1=1,"Rendimento Social de Inserção","Social Integration Income")</f>
        <v>Rendimento Social de Inserção</v>
      </c>
      <c r="D53" s="936">
        <v>356.16135638999998</v>
      </c>
      <c r="E53" s="936">
        <v>377.199883</v>
      </c>
      <c r="F53" s="936">
        <v>270.11290778000006</v>
      </c>
      <c r="G53" s="936">
        <v>257.05700038000003</v>
      </c>
      <c r="H53" s="937">
        <f t="shared" si="15"/>
        <v>-4.8335000009084057</v>
      </c>
      <c r="I53" s="937">
        <f t="shared" si="19"/>
        <v>-5.6791571622775733E-2</v>
      </c>
      <c r="J53" s="217"/>
      <c r="K53" s="217"/>
      <c r="L53" s="217"/>
      <c r="N53" s="455"/>
      <c r="O53" s="455"/>
    </row>
    <row r="54" spans="3:15" s="129" customFormat="1" ht="15" customHeight="1">
      <c r="C54" s="938" t="str">
        <f>IF(Indice_index!$Z$1=1,"Subsídio de Apoio ao Cuidador Informal","Social Benefit for Informal Caregivers")</f>
        <v>Subsídio de Apoio ao Cuidador Informal</v>
      </c>
      <c r="D54" s="936">
        <v>1.5937378499999999</v>
      </c>
      <c r="E54" s="936">
        <v>30</v>
      </c>
      <c r="F54" s="936">
        <v>1.0506916099999999</v>
      </c>
      <c r="G54" s="936">
        <v>4.7878279599999995</v>
      </c>
      <c r="H54" s="937">
        <f t="shared" si="15"/>
        <v>355.68346738773334</v>
      </c>
      <c r="I54" s="937">
        <f t="shared" si="19"/>
        <v>1.6256077818467315E-2</v>
      </c>
      <c r="J54" s="217"/>
      <c r="K54" s="217"/>
      <c r="L54" s="217"/>
      <c r="N54" s="455"/>
      <c r="O54" s="455"/>
    </row>
    <row r="55" spans="3:15" s="129" customFormat="1" ht="15" customHeight="1">
      <c r="C55" s="952" t="str">
        <f>IF(Indice_index!$Z$1=1,"Pensão velhice do regime substitutivo dos bancários","Old age pension scheme from Banking regime")</f>
        <v>Pensão velhice do regime substitutivo dos bancários</v>
      </c>
      <c r="D55" s="936">
        <v>429.57635345999995</v>
      </c>
      <c r="E55" s="936">
        <v>419.72063000000003</v>
      </c>
      <c r="F55" s="936">
        <v>308.14237021999998</v>
      </c>
      <c r="G55" s="936">
        <v>299.19041572999993</v>
      </c>
      <c r="H55" s="951">
        <f t="shared" si="15"/>
        <v>-2.9051358576909596</v>
      </c>
      <c r="I55" s="937">
        <f t="shared" si="19"/>
        <v>-3.893988743996956E-2</v>
      </c>
      <c r="J55" s="217"/>
      <c r="K55" s="217"/>
      <c r="L55" s="217"/>
      <c r="M55" s="127"/>
      <c r="N55" s="455"/>
      <c r="O55" s="455"/>
    </row>
    <row r="56" spans="3:15" ht="15" customHeight="1">
      <c r="C56" s="947" t="str">
        <f>IF(Indice_index!$Z$1=1,"Administração","Administration")</f>
        <v>Administração</v>
      </c>
      <c r="D56" s="936">
        <v>327.75730796999994</v>
      </c>
      <c r="E56" s="936">
        <v>405.168835</v>
      </c>
      <c r="F56" s="936">
        <v>226.85076479999998</v>
      </c>
      <c r="G56" s="936">
        <v>234.82498016999995</v>
      </c>
      <c r="H56" s="937">
        <f t="shared" si="15"/>
        <v>3.5151811707711591</v>
      </c>
      <c r="I56" s="951">
        <f t="shared" si="19"/>
        <v>3.4686844004484241E-2</v>
      </c>
      <c r="J56" s="217"/>
      <c r="K56" s="217"/>
      <c r="L56" s="217"/>
      <c r="N56" s="455"/>
      <c r="O56" s="455"/>
    </row>
    <row r="57" spans="3:15" ht="15" customHeight="1">
      <c r="C57" s="947" t="str">
        <f>IF(Indice_index!$Z$1=1,"Transferências correntes","Current transfers")</f>
        <v>Transferências correntes</v>
      </c>
      <c r="D57" s="936">
        <v>1313.6678272599991</v>
      </c>
      <c r="E57" s="936">
        <v>1424.7060240000001</v>
      </c>
      <c r="F57" s="936">
        <v>1019.6029131100042</v>
      </c>
      <c r="G57" s="936">
        <v>980.79126680999525</v>
      </c>
      <c r="H57" s="937">
        <f>IF(IFERROR((G57-F57)/F57*100,"")&gt;500,"-",IFERROR((G57-F57)/F57*100,""))</f>
        <v>-3.8065452541347953</v>
      </c>
      <c r="I57" s="951">
        <f t="shared" si="19"/>
        <v>-0.16882582903772703</v>
      </c>
      <c r="J57" s="217"/>
      <c r="K57" s="217"/>
      <c r="L57" s="217"/>
      <c r="N57" s="455"/>
      <c r="O57" s="455"/>
    </row>
    <row r="58" spans="3:15" ht="15" customHeight="1">
      <c r="C58" s="952" t="str">
        <f>IF(Indice_index!$Z$1=1,"Ações de Formação Profissional","Vocational Training Programs")</f>
        <v>Ações de Formação Profissional</v>
      </c>
      <c r="D58" s="936">
        <v>1279.2804758</v>
      </c>
      <c r="E58" s="936">
        <v>1539.1685090000001</v>
      </c>
      <c r="F58" s="936">
        <v>858.21052545000032</v>
      </c>
      <c r="G58" s="936">
        <v>643.62011258000007</v>
      </c>
      <c r="H58" s="937">
        <f t="shared" si="15"/>
        <v>-25.004402358906091</v>
      </c>
      <c r="I58" s="937">
        <f t="shared" si="19"/>
        <v>-0.93344157772347669</v>
      </c>
      <c r="J58" s="217"/>
      <c r="K58" s="217"/>
      <c r="L58" s="217"/>
      <c r="N58" s="455"/>
      <c r="O58" s="455"/>
    </row>
    <row r="59" spans="3:15" ht="15" customHeight="1">
      <c r="C59" s="939" t="str">
        <f>IF(Indice_index!$Z$1=1,"dos quais:","of which:")</f>
        <v>dos quais:</v>
      </c>
      <c r="D59" s="936"/>
      <c r="E59" s="936"/>
      <c r="F59" s="936"/>
      <c r="G59" s="936"/>
      <c r="H59" s="937"/>
      <c r="I59" s="937"/>
      <c r="J59" s="217"/>
      <c r="K59" s="217"/>
      <c r="L59" s="217"/>
      <c r="N59" s="455"/>
      <c r="O59" s="455"/>
    </row>
    <row r="60" spans="3:15" s="130" customFormat="1" ht="15" customHeight="1">
      <c r="C60" s="953" t="str">
        <f>IF(Indice_index!$Z$1=1,"Com suporte no Fundo Social Europeu","Supported by the European Social Fund")</f>
        <v>Com suporte no Fundo Social Europeu</v>
      </c>
      <c r="D60" s="936">
        <v>1210.2826756499999</v>
      </c>
      <c r="E60" s="936">
        <v>1398.0811430000001</v>
      </c>
      <c r="F60" s="936">
        <v>805.41642524000019</v>
      </c>
      <c r="G60" s="936">
        <v>583.83749974</v>
      </c>
      <c r="H60" s="937">
        <f t="shared" ref="H60:H65" si="20">IF(IFERROR((G60-F60)/F60*100,"")&gt;500,"-",IFERROR((G60-F60)/F60*100,""))</f>
        <v>-27.511100910808157</v>
      </c>
      <c r="I60" s="937">
        <f t="shared" ref="I60:I65" si="21">IFERROR((G60-F60)/$F$67*100,"-")</f>
        <v>-0.96384073753701172</v>
      </c>
      <c r="J60" s="217"/>
      <c r="K60" s="217"/>
      <c r="L60" s="217"/>
      <c r="N60" s="455"/>
      <c r="O60" s="455"/>
    </row>
    <row r="61" spans="3:15" s="130" customFormat="1" ht="15" customHeight="1">
      <c r="C61" s="952" t="str">
        <f>IF(Indice_index!$Z$1=1,"Subsídios Correntes - Outros PO PT2020","Current subsidies – Others PO PT2020")</f>
        <v>Subsídios Correntes - Outros PO PT2020</v>
      </c>
      <c r="D61" s="936">
        <v>165.51368667</v>
      </c>
      <c r="E61" s="936">
        <v>237.78716399999999</v>
      </c>
      <c r="F61" s="936">
        <v>136.40231817999998</v>
      </c>
      <c r="G61" s="936">
        <v>144.34271385</v>
      </c>
      <c r="H61" s="937">
        <f t="shared" si="20"/>
        <v>5.8213055144133738</v>
      </c>
      <c r="I61" s="937">
        <f t="shared" si="21"/>
        <v>3.4539732520313629E-2</v>
      </c>
      <c r="J61" s="217"/>
      <c r="K61" s="217"/>
      <c r="L61" s="217"/>
      <c r="N61" s="455"/>
      <c r="O61" s="455"/>
    </row>
    <row r="62" spans="3:15" s="130" customFormat="1" ht="15" customHeight="1">
      <c r="C62" s="952"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2" s="936">
        <v>3.5964934799999964</v>
      </c>
      <c r="E62" s="936">
        <v>11.079412</v>
      </c>
      <c r="F62" s="936">
        <v>2.3400636499999976</v>
      </c>
      <c r="G62" s="936">
        <v>3.168302779999999</v>
      </c>
      <c r="H62" s="937">
        <f t="shared" si="20"/>
        <v>35.393871871818625</v>
      </c>
      <c r="I62" s="937">
        <f t="shared" si="21"/>
        <v>3.6027370929561323E-3</v>
      </c>
      <c r="J62" s="217"/>
      <c r="K62" s="217"/>
      <c r="L62" s="217"/>
      <c r="N62" s="455"/>
      <c r="O62" s="455"/>
    </row>
    <row r="63" spans="3:15" s="295" customFormat="1" ht="15" customHeight="1">
      <c r="C63" s="896" t="str">
        <f>IF(Indice_index!$Z$1=1,"Despesa de Capital","Capital expenditure")</f>
        <v>Despesa de Capital</v>
      </c>
      <c r="D63" s="934">
        <f t="shared" ref="D63:E63" si="22">+D64+D65</f>
        <v>41.481170159999998</v>
      </c>
      <c r="E63" s="934">
        <f t="shared" si="22"/>
        <v>98.483846</v>
      </c>
      <c r="F63" s="934">
        <f t="shared" ref="F63:G63" si="23">+F64+F65</f>
        <v>22.514048629999998</v>
      </c>
      <c r="G63" s="934">
        <f t="shared" si="23"/>
        <v>22.326253140000002</v>
      </c>
      <c r="H63" s="935">
        <f t="shared" si="20"/>
        <v>-0.83412580778455758</v>
      </c>
      <c r="I63" s="935">
        <f t="shared" si="21"/>
        <v>-8.168869994259455E-4</v>
      </c>
      <c r="J63" s="636"/>
      <c r="K63" s="296"/>
      <c r="L63" s="296"/>
      <c r="N63" s="455"/>
      <c r="O63" s="455"/>
    </row>
    <row r="64" spans="3:15" ht="15" customHeight="1">
      <c r="C64" s="943" t="str">
        <f>IF(Indice_index!$Z$1=1,"PIDDAC","PIDDAC - Central Admin. Invest. and Expend. Develop. Program")</f>
        <v>PIDDAC</v>
      </c>
      <c r="D64" s="936">
        <v>0.35642126000000002</v>
      </c>
      <c r="E64" s="936">
        <v>2.8776079999999999</v>
      </c>
      <c r="F64" s="936">
        <v>4.8867510000000003E-2</v>
      </c>
      <c r="G64" s="936">
        <v>0</v>
      </c>
      <c r="H64" s="950">
        <f t="shared" si="20"/>
        <v>-100</v>
      </c>
      <c r="I64" s="937">
        <f t="shared" si="21"/>
        <v>-2.1256758409543441E-4</v>
      </c>
      <c r="J64" s="217"/>
      <c r="K64" s="217"/>
      <c r="L64" s="217"/>
      <c r="M64" s="127"/>
      <c r="N64" s="455"/>
      <c r="O64" s="455"/>
    </row>
    <row r="65" spans="3:18" ht="15" customHeight="1">
      <c r="C65" s="943" t="str">
        <f>IF(Indice_index!$Z$1=1,"Outras","Others")</f>
        <v>Outras</v>
      </c>
      <c r="D65" s="936">
        <v>41.1247489</v>
      </c>
      <c r="E65" s="936">
        <v>95.606238000000005</v>
      </c>
      <c r="F65" s="936">
        <v>22.465181119999997</v>
      </c>
      <c r="G65" s="936">
        <v>22.326253140000002</v>
      </c>
      <c r="H65" s="950">
        <f t="shared" si="20"/>
        <v>-0.6184146891934551</v>
      </c>
      <c r="I65" s="937">
        <f t="shared" si="21"/>
        <v>-6.0431941533050715E-4</v>
      </c>
      <c r="J65" s="217"/>
      <c r="K65" s="217"/>
      <c r="L65" s="217"/>
      <c r="N65" s="455"/>
      <c r="O65" s="455"/>
    </row>
    <row r="66" spans="3:18" ht="4.5" customHeight="1">
      <c r="C66" s="466"/>
      <c r="D66" s="936"/>
      <c r="E66" s="936"/>
      <c r="F66" s="936"/>
      <c r="G66" s="936"/>
      <c r="H66" s="937"/>
      <c r="I66" s="466"/>
      <c r="J66" s="217"/>
      <c r="K66" s="217"/>
      <c r="L66" s="217"/>
      <c r="N66" s="455"/>
      <c r="O66" s="455"/>
    </row>
    <row r="67" spans="3:18" s="295" customFormat="1" ht="15" customHeight="1">
      <c r="C67" s="944" t="str">
        <f>IF(Indice_index!$Z$1=1,"Despesa efetiva","Effective expenditure")</f>
        <v>Despesa efetiva</v>
      </c>
      <c r="D67" s="945">
        <f>+D34+D63</f>
        <v>31238.276845640001</v>
      </c>
      <c r="E67" s="945">
        <f>+E34+E63</f>
        <v>31012.808222</v>
      </c>
      <c r="F67" s="945">
        <f>+F34+F63</f>
        <v>22989.163756060014</v>
      </c>
      <c r="G67" s="945">
        <f>+G34+G63</f>
        <v>21961.987746559997</v>
      </c>
      <c r="H67" s="946">
        <f>IF(IFERROR((G67-F67)/F67*100,"")&gt;500,"-",IFERROR((G67-F67)/F67*100,""))</f>
        <v>-4.4680877495130744</v>
      </c>
      <c r="I67" s="946"/>
      <c r="J67" s="296"/>
      <c r="K67" s="296"/>
      <c r="L67" s="296"/>
      <c r="N67" s="455"/>
      <c r="O67" s="455"/>
    </row>
    <row r="68" spans="3:18" ht="4.5" customHeight="1">
      <c r="C68" s="954"/>
      <c r="D68" s="514"/>
      <c r="E68" s="514"/>
      <c r="F68" s="514"/>
      <c r="G68" s="514"/>
      <c r="H68" s="955"/>
      <c r="I68" s="955"/>
      <c r="J68" s="217"/>
      <c r="K68" s="217"/>
      <c r="L68" s="217"/>
      <c r="M68" s="127"/>
      <c r="N68" s="455"/>
      <c r="O68" s="455"/>
    </row>
    <row r="69" spans="3:18" s="297" customFormat="1" ht="15" customHeight="1">
      <c r="C69" s="944" t="str">
        <f>IF(Indice_index!$Z$1=1,"Saldo global","Overall balance")</f>
        <v>Saldo global</v>
      </c>
      <c r="D69" s="945">
        <f>+D32-D67</f>
        <v>2328.2650340599866</v>
      </c>
      <c r="E69" s="945">
        <f>+E32-E67</f>
        <v>2596.0109850000008</v>
      </c>
      <c r="F69" s="945">
        <f>+F32-F67</f>
        <v>449.15950484998393</v>
      </c>
      <c r="G69" s="945">
        <f>+G32-G67</f>
        <v>2897.7500813500046</v>
      </c>
      <c r="H69" s="945"/>
      <c r="I69" s="945"/>
      <c r="J69" s="296"/>
      <c r="K69" s="296"/>
      <c r="L69" s="296"/>
      <c r="M69" s="295"/>
      <c r="N69" s="455"/>
      <c r="O69" s="455"/>
    </row>
    <row r="70" spans="3:18" ht="4.5" customHeight="1">
      <c r="C70" s="956"/>
      <c r="D70" s="936"/>
      <c r="E70" s="936"/>
      <c r="F70" s="936"/>
      <c r="G70" s="936"/>
      <c r="H70" s="466"/>
      <c r="I70" s="466"/>
      <c r="J70" s="217"/>
      <c r="K70" s="217"/>
      <c r="L70" s="217"/>
      <c r="N70" s="455"/>
      <c r="O70" s="455"/>
    </row>
    <row r="71" spans="3:18" ht="15" customHeight="1">
      <c r="C71" s="957" t="str">
        <f>IF(Indice_index!$Z$1=1,"Ativos financeiros líquidos de reembolsos","Financial assets net of reimbursements")</f>
        <v>Ativos financeiros líquidos de reembolsos</v>
      </c>
      <c r="D71" s="171">
        <v>4376.8330583500019</v>
      </c>
      <c r="E71" s="171">
        <v>451.730343</v>
      </c>
      <c r="F71" s="171">
        <v>1795.3109144699965</v>
      </c>
      <c r="G71" s="171">
        <v>-131.19023186000061</v>
      </c>
      <c r="H71" s="958"/>
      <c r="I71" s="959"/>
      <c r="J71" s="217"/>
      <c r="K71" s="217"/>
      <c r="L71" s="217"/>
      <c r="N71" s="455"/>
      <c r="O71" s="455"/>
    </row>
    <row r="72" spans="3:18" ht="15" hidden="1" customHeight="1">
      <c r="C72" s="960" t="str">
        <f>IF(Indice_index!$Z$1=1,"Alienação de partes de Capital","Disposal of Capital Shares")</f>
        <v>Alienação de partes de Capital</v>
      </c>
      <c r="D72" s="171">
        <v>0</v>
      </c>
      <c r="E72" s="171">
        <v>0</v>
      </c>
      <c r="F72" s="171">
        <v>0</v>
      </c>
      <c r="G72" s="171">
        <v>0</v>
      </c>
      <c r="H72" s="958"/>
      <c r="I72" s="958"/>
      <c r="J72" s="217"/>
      <c r="K72" s="217"/>
      <c r="L72" s="217"/>
      <c r="N72" s="455"/>
      <c r="O72" s="455"/>
    </row>
    <row r="73" spans="3:18" ht="15" customHeight="1">
      <c r="C73" s="957" t="str">
        <f>IF(Indice_index!$Z$1=1,"Passivos financeiros líquidos de amortizações","Financial liabilities net of amortizations")</f>
        <v>Passivos financeiros líquidos de amortizações</v>
      </c>
      <c r="D73" s="171">
        <v>0</v>
      </c>
      <c r="E73" s="171">
        <v>-39.512804000000003</v>
      </c>
      <c r="F73" s="171">
        <v>0</v>
      </c>
      <c r="G73" s="171">
        <v>-5.8375830000000004E-2</v>
      </c>
      <c r="H73" s="958"/>
      <c r="I73" s="958"/>
      <c r="J73" s="217"/>
      <c r="K73" s="217"/>
      <c r="L73" s="217"/>
      <c r="N73" s="455"/>
      <c r="O73" s="455"/>
    </row>
    <row r="74" spans="3:18" ht="15" customHeight="1">
      <c r="C74" s="961" t="str">
        <f>IF(Indice_index!$Z$1=1,"Poupança (+) / Utilização (-) de saldo da gerência anterior","Saving (+) / Usage (-) of balance from previous management")</f>
        <v>Poupança (+) / Utilização (-) de saldo da gerência anterior</v>
      </c>
      <c r="D74" s="962">
        <f t="shared" ref="D74" si="24">+D69-D71+D73</f>
        <v>-2048.5680242900153</v>
      </c>
      <c r="E74" s="962">
        <v>2104.7678379999934</v>
      </c>
      <c r="F74" s="962">
        <f t="shared" ref="F74:G74" si="25">+F69-F71+F73</f>
        <v>-1346.1514096200126</v>
      </c>
      <c r="G74" s="962">
        <f t="shared" si="25"/>
        <v>3028.8819373800052</v>
      </c>
      <c r="H74" s="963"/>
      <c r="I74" s="963"/>
      <c r="J74" s="217"/>
      <c r="K74" s="217"/>
      <c r="L74" s="217"/>
      <c r="N74" s="455"/>
      <c r="O74" s="455"/>
    </row>
    <row r="75" spans="3:18" ht="4.5" customHeight="1">
      <c r="C75" s="466"/>
      <c r="D75" s="466"/>
      <c r="E75" s="466"/>
      <c r="F75" s="936"/>
      <c r="G75" s="936"/>
      <c r="H75" s="466"/>
      <c r="I75" s="466"/>
      <c r="J75" s="381"/>
      <c r="K75" s="131"/>
    </row>
    <row r="76" spans="3:18" ht="15" customHeight="1">
      <c r="C76" s="964" t="str">
        <f>IF(Indice_index!$Z$1=1,"Notas:","Notes:")</f>
        <v>Notas:</v>
      </c>
      <c r="D76" s="964"/>
      <c r="E76" s="964"/>
      <c r="F76" s="655"/>
      <c r="G76" s="96"/>
      <c r="K76" s="131"/>
    </row>
    <row r="77" spans="3:18" s="96" customFormat="1" ht="15" customHeight="1">
      <c r="C77" s="1709" t="str">
        <f>IF(Indice_index!$Z$1=1,"Valores consolidados - são excluídas transferências intra-setoriais.","Consolidated data - transfers within the subsector are excluded.")</f>
        <v>Valores consolidados - são excluídas transferências intra-setoriais.</v>
      </c>
      <c r="D77" s="1709"/>
      <c r="E77" s="1709"/>
      <c r="F77" s="1709"/>
      <c r="G77" s="1709"/>
      <c r="H77" s="1709"/>
      <c r="I77" s="1709"/>
    </row>
    <row r="78" spans="3:18" ht="15" customHeight="1">
      <c r="C78" s="1709"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8" s="1709"/>
      <c r="E78" s="1709"/>
      <c r="F78" s="1709"/>
      <c r="G78" s="1709"/>
      <c r="H78" s="1709"/>
      <c r="I78" s="1709"/>
      <c r="J78" s="53"/>
      <c r="K78" s="62"/>
    </row>
    <row r="79" spans="3:18" s="22" customFormat="1" ht="15" customHeight="1">
      <c r="C79" s="1685" t="str">
        <f>+'5 - Conta AC + SS'!$C$64</f>
        <v>Os dados de 2021 são mensalmente revistos e atualizados face ao publicado nas Sínteses de Execução Orçamental de 2021.</v>
      </c>
      <c r="D79" s="1685"/>
      <c r="E79" s="1685"/>
      <c r="F79" s="1685"/>
      <c r="G79" s="1685"/>
      <c r="H79" s="1685"/>
      <c r="I79" s="1685"/>
      <c r="J79" s="62"/>
      <c r="Q79" s="24"/>
      <c r="R79" s="24"/>
    </row>
    <row r="80" spans="3:18" ht="62.25" customHeight="1">
      <c r="C80" s="1708" t="str">
        <f>IF(Indice_index!$Z$1=1,C112,C113)</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0" s="1708"/>
      <c r="E80" s="1708"/>
      <c r="F80" s="1708"/>
      <c r="G80" s="1708"/>
      <c r="H80" s="1708"/>
      <c r="I80" s="1708"/>
      <c r="J80" s="53"/>
      <c r="K80" s="62"/>
    </row>
    <row r="81" spans="3:11" ht="4.5" customHeight="1">
      <c r="G81" s="965"/>
    </row>
    <row r="82" spans="3:11" ht="15" customHeight="1">
      <c r="C82" s="466" t="str">
        <f>IF(Indice_index!$Z$1=1,"Fonte: Instituto de Gestão Financeira da Segurança Social, IP","Souce: Social Security Finance Management Institute")</f>
        <v>Fonte: Instituto de Gestão Financeira da Segurança Social, IP</v>
      </c>
      <c r="D82" s="466"/>
      <c r="E82" s="466"/>
      <c r="F82" s="96"/>
      <c r="G82" s="96"/>
    </row>
    <row r="83" spans="3:11">
      <c r="F83" s="62"/>
      <c r="G83" s="62"/>
      <c r="H83" s="62"/>
      <c r="I83" s="62"/>
      <c r="J83" s="62"/>
      <c r="K83" s="57"/>
    </row>
    <row r="85" spans="3:11" ht="12.5">
      <c r="F85" s="96"/>
      <c r="G85" s="96"/>
    </row>
    <row r="86" spans="3:11">
      <c r="C86" s="623"/>
      <c r="D86" s="623"/>
      <c r="E86" s="623"/>
      <c r="F86" s="656"/>
      <c r="G86" s="656"/>
      <c r="H86" s="623"/>
      <c r="I86" s="623"/>
    </row>
    <row r="87" spans="3:11">
      <c r="C87" s="623"/>
      <c r="D87" s="623"/>
      <c r="E87" s="623"/>
      <c r="F87" s="656"/>
      <c r="G87" s="656"/>
      <c r="H87" s="623"/>
      <c r="I87" s="623"/>
    </row>
    <row r="88" spans="3:11">
      <c r="C88" s="623"/>
      <c r="D88" s="623"/>
      <c r="E88" s="623"/>
      <c r="F88" s="656"/>
      <c r="G88" s="656"/>
      <c r="H88" s="623"/>
      <c r="I88" s="623"/>
    </row>
    <row r="89" spans="3:11">
      <c r="C89" s="623"/>
      <c r="D89" s="623"/>
      <c r="E89" s="623"/>
      <c r="F89" s="656"/>
      <c r="G89" s="656"/>
      <c r="H89" s="623"/>
      <c r="I89" s="623"/>
    </row>
    <row r="90" spans="3:11">
      <c r="C90" s="623"/>
      <c r="D90" s="623"/>
      <c r="E90" s="623"/>
      <c r="F90" s="656"/>
      <c r="G90" s="656"/>
      <c r="H90" s="623"/>
      <c r="I90" s="623"/>
    </row>
    <row r="91" spans="3:11">
      <c r="C91" s="623"/>
      <c r="D91" s="623"/>
      <c r="E91" s="623"/>
      <c r="F91" s="656"/>
      <c r="G91" s="656"/>
      <c r="H91" s="623"/>
      <c r="I91" s="623"/>
    </row>
    <row r="92" spans="3:11">
      <c r="C92" s="623"/>
      <c r="D92" s="623"/>
      <c r="E92" s="623"/>
      <c r="F92" s="656"/>
      <c r="G92" s="656"/>
      <c r="H92" s="623"/>
      <c r="I92" s="623"/>
    </row>
    <row r="93" spans="3:11">
      <c r="C93" s="623"/>
      <c r="D93" s="623"/>
      <c r="E93" s="623"/>
      <c r="F93" s="656"/>
      <c r="G93" s="656"/>
      <c r="H93" s="623"/>
      <c r="I93" s="623"/>
    </row>
    <row r="94" spans="3:11">
      <c r="C94" s="623"/>
      <c r="D94" s="623"/>
      <c r="E94" s="623"/>
      <c r="F94" s="656"/>
      <c r="G94" s="656"/>
      <c r="H94" s="623"/>
      <c r="I94" s="623"/>
    </row>
    <row r="95" spans="3:11">
      <c r="C95" s="623"/>
      <c r="D95" s="623"/>
      <c r="E95" s="623"/>
      <c r="F95" s="656"/>
      <c r="G95" s="656"/>
      <c r="H95" s="623"/>
      <c r="I95" s="623"/>
    </row>
    <row r="96" spans="3:11">
      <c r="C96" s="623"/>
      <c r="D96" s="623"/>
      <c r="E96" s="623"/>
      <c r="F96" s="656"/>
      <c r="G96" s="656"/>
      <c r="H96" s="623"/>
      <c r="I96" s="623"/>
    </row>
    <row r="97" spans="3:9">
      <c r="C97" s="623"/>
      <c r="D97" s="623"/>
      <c r="E97" s="623"/>
      <c r="F97" s="656"/>
      <c r="G97" s="656"/>
      <c r="H97" s="623"/>
      <c r="I97" s="623"/>
    </row>
    <row r="98" spans="3:9">
      <c r="C98" s="623"/>
      <c r="D98" s="623"/>
      <c r="E98" s="623"/>
      <c r="F98" s="656"/>
      <c r="G98" s="656"/>
      <c r="H98" s="623"/>
      <c r="I98" s="623"/>
    </row>
    <row r="99" spans="3:9">
      <c r="C99" s="623"/>
      <c r="D99" s="623"/>
      <c r="E99" s="623"/>
      <c r="F99" s="656"/>
      <c r="G99" s="656"/>
      <c r="H99" s="623"/>
      <c r="I99" s="623"/>
    </row>
    <row r="100" spans="3:9">
      <c r="C100" s="623"/>
      <c r="D100" s="623"/>
      <c r="E100" s="623"/>
      <c r="F100" s="656"/>
      <c r="G100" s="656"/>
      <c r="H100" s="623"/>
      <c r="I100" s="623"/>
    </row>
    <row r="101" spans="3:9">
      <c r="C101" s="623"/>
      <c r="D101" s="623"/>
      <c r="E101" s="623"/>
      <c r="F101" s="656"/>
      <c r="G101" s="656"/>
      <c r="H101" s="623"/>
      <c r="I101" s="623"/>
    </row>
    <row r="102" spans="3:9">
      <c r="C102" s="623"/>
      <c r="D102" s="623"/>
      <c r="E102" s="623"/>
      <c r="F102" s="656"/>
      <c r="G102" s="656"/>
      <c r="H102" s="623"/>
      <c r="I102" s="623"/>
    </row>
    <row r="103" spans="3:9">
      <c r="C103" s="623"/>
      <c r="D103" s="623"/>
      <c r="E103" s="623"/>
      <c r="F103" s="656"/>
      <c r="G103" s="656"/>
      <c r="H103" s="623"/>
      <c r="I103" s="623"/>
    </row>
    <row r="104" spans="3:9">
      <c r="C104" s="623"/>
      <c r="D104" s="623"/>
      <c r="E104" s="623"/>
      <c r="F104" s="656"/>
      <c r="G104" s="656"/>
      <c r="H104" s="623"/>
      <c r="I104" s="623"/>
    </row>
    <row r="109" spans="3:9">
      <c r="C109" s="211"/>
      <c r="D109" s="211"/>
      <c r="E109" s="211"/>
    </row>
    <row r="110" spans="3:9" s="134" customFormat="1">
      <c r="C110" s="132" t="s">
        <v>7</v>
      </c>
      <c r="D110" s="132"/>
      <c r="E110" s="132"/>
      <c r="F110" s="133"/>
      <c r="G110" s="133"/>
    </row>
    <row r="111" spans="3:9">
      <c r="C111" s="132" t="s">
        <v>8</v>
      </c>
      <c r="D111" s="132"/>
      <c r="E111" s="132"/>
    </row>
    <row r="112" spans="3:9">
      <c r="C112" s="361" t="s">
        <v>59</v>
      </c>
      <c r="D112" s="358"/>
      <c r="E112" s="358"/>
      <c r="F112" s="359"/>
      <c r="G112" s="359"/>
      <c r="H112" s="360"/>
      <c r="I112" s="360"/>
    </row>
    <row r="113" spans="3:9">
      <c r="C113" s="361" t="s">
        <v>60</v>
      </c>
      <c r="D113" s="358"/>
      <c r="E113" s="358"/>
      <c r="F113" s="359"/>
      <c r="G113" s="359"/>
      <c r="H113" s="360"/>
      <c r="I113" s="360"/>
    </row>
  </sheetData>
  <mergeCells count="6">
    <mergeCell ref="C80:I80"/>
    <mergeCell ref="F6:G6"/>
    <mergeCell ref="H6:I6"/>
    <mergeCell ref="C77:I77"/>
    <mergeCell ref="C78:I78"/>
    <mergeCell ref="C79:I7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80 F77:G77 H77:I77 C77:C78 H7:I7 I6 G6 E6:F6 H6 D6" unlockedFormula="1"/>
    <ignoredError sqref="F33:G33 E9:G9 D35:D36 F14:G14 F35:G36 D9 D14:E14 E35:E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67" customWidth="1"/>
    <col min="2" max="2" width="4.453125" style="467" customWidth="1"/>
    <col min="3" max="3" width="49" style="467" customWidth="1"/>
    <col min="4" max="5" width="9.453125" style="467" customWidth="1"/>
    <col min="6" max="6" width="9.453125" style="468" customWidth="1"/>
    <col min="7" max="7" width="10.54296875" style="468" customWidth="1"/>
    <col min="8" max="8" width="9.453125" style="478" customWidth="1"/>
    <col min="9" max="9" width="9.453125" style="468" customWidth="1"/>
    <col min="10" max="10" width="20.7265625" style="467" bestFit="1" customWidth="1"/>
    <col min="11" max="11" width="18.26953125" style="467" bestFit="1" customWidth="1"/>
    <col min="12" max="15" width="8.54296875" style="467" customWidth="1"/>
    <col min="16" max="16384" width="9.1796875" style="467"/>
  </cols>
  <sheetData>
    <row r="1" spans="2:19" ht="15" customHeight="1">
      <c r="G1" s="469"/>
      <c r="H1" s="470"/>
      <c r="I1" s="471"/>
    </row>
    <row r="2" spans="2:19"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51"/>
      <c r="J2" s="472"/>
      <c r="K2" s="472"/>
      <c r="L2" s="472"/>
      <c r="M2" s="472"/>
      <c r="N2" s="472"/>
      <c r="O2" s="472"/>
      <c r="P2" s="472"/>
      <c r="Q2" s="472"/>
      <c r="R2" s="472"/>
      <c r="S2" s="472"/>
    </row>
    <row r="3" spans="2:19" ht="15" customHeight="1">
      <c r="B3" s="472"/>
      <c r="C3" s="473"/>
      <c r="D3" s="473"/>
      <c r="E3" s="473"/>
      <c r="F3" s="474"/>
      <c r="G3" s="474"/>
      <c r="H3" s="470"/>
      <c r="I3" s="471"/>
      <c r="J3" s="475"/>
      <c r="K3" s="472"/>
      <c r="L3" s="472"/>
      <c r="M3" s="472"/>
      <c r="N3" s="472"/>
      <c r="O3" s="472"/>
      <c r="P3" s="472"/>
      <c r="Q3" s="472"/>
      <c r="R3" s="472"/>
      <c r="S3" s="472"/>
    </row>
    <row r="4" spans="2:19" ht="15" customHeight="1">
      <c r="B4" s="472"/>
      <c r="C4" s="476"/>
      <c r="D4" s="476"/>
      <c r="E4" s="476"/>
      <c r="F4" s="477"/>
      <c r="G4" s="477"/>
      <c r="I4" s="467"/>
      <c r="J4" s="475"/>
      <c r="K4" s="472"/>
      <c r="M4" s="472"/>
      <c r="N4" s="472"/>
      <c r="O4" s="472"/>
      <c r="P4" s="472"/>
      <c r="Q4" s="472"/>
      <c r="R4" s="472"/>
      <c r="S4" s="472"/>
    </row>
    <row r="5" spans="2:19" s="480" customFormat="1" ht="15" customHeight="1">
      <c r="B5" s="479"/>
      <c r="C5" s="922" t="str">
        <f>+'5 - Conta AC + SS'!C5</f>
        <v>Período: janeiro a setembro</v>
      </c>
      <c r="D5" s="922"/>
      <c r="E5" s="922"/>
      <c r="F5" s="967"/>
      <c r="G5" s="967"/>
      <c r="H5" s="968"/>
      <c r="I5" s="969" t="str">
        <f>IF(Indice_index!$Z$1=1,"€ Milhões","€ Millions")</f>
        <v>€ Milhões</v>
      </c>
      <c r="J5" s="479"/>
      <c r="K5" s="479"/>
      <c r="L5" s="479"/>
      <c r="M5" s="479"/>
      <c r="N5" s="479"/>
      <c r="O5" s="479"/>
      <c r="P5" s="479"/>
      <c r="Q5" s="479"/>
      <c r="R5" s="479"/>
      <c r="S5" s="479"/>
    </row>
    <row r="6" spans="2:19" ht="27" customHeight="1">
      <c r="B6" s="472"/>
      <c r="C6" s="970"/>
      <c r="D6" s="923" t="str">
        <f>IF(Indice_index!$Z$1=1,"CGE","Final execution")</f>
        <v>CGE</v>
      </c>
      <c r="E6" s="923" t="str">
        <f>IF(Indice_index!$Z$1=1,"Orçamento Inicial","Budget")</f>
        <v>Orçamento Inicial</v>
      </c>
      <c r="F6" s="1711" t="str">
        <f>IF(Indice_index!$Z$1=1,"Execução Acumulada","Accumulated Execution")</f>
        <v>Execução Acumulada</v>
      </c>
      <c r="G6" s="1711"/>
      <c r="H6" s="1712" t="str">
        <f>IF(Indice_index!$Z$1=1,"Variação Homóloga Acumulada","YOY Change Rate")</f>
        <v>Variação Homóloga Acumulada</v>
      </c>
      <c r="I6" s="1713"/>
      <c r="J6" s="966"/>
      <c r="K6" s="84"/>
      <c r="L6" s="472"/>
      <c r="M6" s="482"/>
      <c r="N6" s="482"/>
      <c r="O6" s="84"/>
      <c r="P6" s="85"/>
      <c r="Q6" s="472"/>
      <c r="R6" s="472"/>
      <c r="S6" s="472"/>
    </row>
    <row r="7" spans="2:19" ht="33" customHeight="1">
      <c r="B7" s="472"/>
      <c r="C7" s="971"/>
      <c r="D7" s="924" t="s">
        <v>67</v>
      </c>
      <c r="E7" s="924" t="s">
        <v>74</v>
      </c>
      <c r="F7" s="925" t="s">
        <v>67</v>
      </c>
      <c r="G7" s="925" t="s">
        <v>74</v>
      </c>
      <c r="H7" s="926" t="str">
        <f>IF(Indice_index!$Z$1=1,"Relativa (%)","Relative change (%)")</f>
        <v>Relativa (%)</v>
      </c>
      <c r="I7" s="927" t="str">
        <f>IF(Indice_index!$Z$1=1,"Contributo VHA (p.p.)","YOY Change Rate Contrib. (p.p.)")</f>
        <v>Contributo VHA (p.p.)</v>
      </c>
      <c r="J7" s="483"/>
      <c r="K7" s="481"/>
      <c r="L7" s="472"/>
      <c r="M7" s="472"/>
      <c r="N7" s="472"/>
      <c r="O7" s="472"/>
      <c r="P7" s="472"/>
      <c r="Q7" s="472"/>
      <c r="R7" s="472"/>
      <c r="S7" s="472"/>
    </row>
    <row r="8" spans="2:19" s="480" customFormat="1" ht="15" customHeight="1">
      <c r="B8" s="479"/>
      <c r="C8" s="972" t="str">
        <f>IF(Indice_index!$Z$1=1,"Receita corrente","Current revenue")</f>
        <v>Receita corrente</v>
      </c>
      <c r="D8" s="973">
        <f t="shared" ref="D8:E8" si="0">+D9+D12+D13+D14+D19</f>
        <v>33565.626426610004</v>
      </c>
      <c r="E8" s="973">
        <f t="shared" si="0"/>
        <v>33601.192499999997</v>
      </c>
      <c r="F8" s="973">
        <f t="shared" ref="F8:G8" si="1">+F9+F12+F13+F14+F19</f>
        <v>23437.78728886</v>
      </c>
      <c r="G8" s="973">
        <f t="shared" si="1"/>
        <v>24859.334562209995</v>
      </c>
      <c r="H8" s="973">
        <f>IF(IFERROR((G8-F8)/F8*100,"")&gt;500,"-",IFERROR((G8-F8)/F8*100,""))</f>
        <v>6.0651940212191366</v>
      </c>
      <c r="I8" s="973">
        <f>IFERROR((G8-F8)/$F$29*100,"-")</f>
        <v>6.0650553263800475</v>
      </c>
      <c r="J8" s="484"/>
      <c r="K8" s="484"/>
      <c r="L8" s="484"/>
      <c r="M8" s="485"/>
      <c r="N8" s="486"/>
      <c r="O8" s="486"/>
      <c r="P8" s="485"/>
      <c r="Q8" s="479"/>
      <c r="R8" s="479"/>
      <c r="S8" s="479"/>
    </row>
    <row r="9" spans="2:19" ht="15" customHeight="1">
      <c r="B9" s="472"/>
      <c r="C9" s="974" t="str">
        <f>IF(Indice_index!$Z$1=1,"Receitas fiscais","Tax revenue")</f>
        <v>Receitas fiscais</v>
      </c>
      <c r="D9" s="975">
        <f t="shared" ref="D9:E9" si="2">+D10+D11</f>
        <v>212.25092951000005</v>
      </c>
      <c r="E9" s="975">
        <f t="shared" si="2"/>
        <v>239.990139</v>
      </c>
      <c r="F9" s="975">
        <f t="shared" ref="F9:G9" si="3">+F10+F11</f>
        <v>157.74278834999998</v>
      </c>
      <c r="G9" s="975">
        <f t="shared" si="3"/>
        <v>174.19791329999998</v>
      </c>
      <c r="H9" s="976">
        <f t="shared" ref="H9:H27" si="4">IF(IFERROR((G9-F9)/F9*100,"")&gt;500,"-",IFERROR((G9-F9)/F9*100,""))</f>
        <v>10.431617902866872</v>
      </c>
      <c r="I9" s="976">
        <f t="shared" ref="I9:I26" si="5">IFERROR((G9-F9)/$F$29*100,"-")</f>
        <v>7.0206067075811479E-2</v>
      </c>
      <c r="J9" s="487"/>
      <c r="K9" s="487"/>
      <c r="L9" s="487"/>
      <c r="M9" s="488"/>
      <c r="N9" s="486"/>
      <c r="O9" s="486"/>
      <c r="P9" s="488"/>
      <c r="Q9" s="472"/>
      <c r="R9" s="472"/>
      <c r="S9" s="472"/>
    </row>
    <row r="10" spans="2:19" ht="15" hidden="1" customHeight="1">
      <c r="B10" s="472"/>
      <c r="C10" s="977" t="str">
        <f>IF(Indice_index!$Z$1=1,"Impostos diretos","Direct taxes")</f>
        <v>Impostos diretos</v>
      </c>
      <c r="D10" s="975">
        <v>0</v>
      </c>
      <c r="E10" s="975">
        <v>0</v>
      </c>
      <c r="F10" s="975">
        <v>0</v>
      </c>
      <c r="G10" s="975">
        <v>0</v>
      </c>
      <c r="H10" s="978" t="str">
        <f t="shared" si="4"/>
        <v>-</v>
      </c>
      <c r="I10" s="978">
        <f t="shared" si="5"/>
        <v>0</v>
      </c>
      <c r="J10" s="487"/>
      <c r="K10" s="487"/>
      <c r="L10" s="487"/>
      <c r="M10" s="472"/>
      <c r="N10" s="486"/>
      <c r="O10" s="486"/>
      <c r="P10" s="472"/>
      <c r="Q10" s="472"/>
      <c r="R10" s="472"/>
      <c r="S10" s="472"/>
    </row>
    <row r="11" spans="2:19" ht="15" customHeight="1">
      <c r="B11" s="472"/>
      <c r="C11" s="977" t="str">
        <f>IF(Indice_index!$Z$1=1,"Impostos indiretos","Indirect taxes")</f>
        <v>Impostos indiretos</v>
      </c>
      <c r="D11" s="975">
        <v>212.25092951000005</v>
      </c>
      <c r="E11" s="975">
        <v>239.990139</v>
      </c>
      <c r="F11" s="975">
        <v>157.74278834999998</v>
      </c>
      <c r="G11" s="975">
        <v>174.19791329999998</v>
      </c>
      <c r="H11" s="978">
        <f t="shared" si="4"/>
        <v>10.431617902866872</v>
      </c>
      <c r="I11" s="978">
        <f t="shared" si="5"/>
        <v>7.0206067075811479E-2</v>
      </c>
      <c r="J11" s="487"/>
      <c r="K11" s="487"/>
      <c r="L11" s="487"/>
      <c r="M11" s="472"/>
      <c r="N11" s="486"/>
      <c r="O11" s="486"/>
      <c r="P11" s="472"/>
      <c r="Q11" s="472"/>
      <c r="R11" s="472"/>
      <c r="S11" s="472"/>
    </row>
    <row r="12" spans="2:19" ht="15" customHeight="1">
      <c r="B12" s="472"/>
      <c r="C12" s="974" t="str">
        <f>IF(Indice_index!$Z$1=1,"Contribuições para Segurança Social, CGA e ADSE","Contributions to the Social Security, Public Servants Social and ADSE")</f>
        <v>Contribuições para Segurança Social, CGA e ADSE</v>
      </c>
      <c r="D12" s="975">
        <v>19953.700139089997</v>
      </c>
      <c r="E12" s="975">
        <v>21165.819378</v>
      </c>
      <c r="F12" s="975">
        <v>14441.192996029999</v>
      </c>
      <c r="G12" s="975">
        <v>16190.643964809999</v>
      </c>
      <c r="H12" s="978">
        <f t="shared" si="4"/>
        <v>12.11431056465306</v>
      </c>
      <c r="I12" s="978">
        <f t="shared" si="5"/>
        <v>7.4640619523227674</v>
      </c>
      <c r="J12" s="487"/>
      <c r="K12" s="630"/>
      <c r="L12" s="487"/>
      <c r="M12" s="472"/>
      <c r="N12" s="486"/>
      <c r="O12" s="486"/>
      <c r="P12" s="472"/>
      <c r="Q12" s="472"/>
      <c r="R12" s="472"/>
      <c r="S12" s="472"/>
    </row>
    <row r="13" spans="2:19" ht="15" customHeight="1">
      <c r="B13" s="472"/>
      <c r="C13" s="974" t="str">
        <f>IF(Indice_index!$Z$1=1,"Taxas, Multas e Outras Penalidades","Taxes, fines and other penalties")</f>
        <v>Taxas, Multas e Outras Penalidades</v>
      </c>
      <c r="D13" s="975">
        <v>76.977224400000026</v>
      </c>
      <c r="E13" s="975">
        <v>88.190309999999997</v>
      </c>
      <c r="F13" s="975">
        <v>54.290649290000012</v>
      </c>
      <c r="G13" s="975">
        <v>66.454272650000007</v>
      </c>
      <c r="H13" s="978">
        <f t="shared" si="4"/>
        <v>22.404637850298204</v>
      </c>
      <c r="I13" s="978">
        <f t="shared" si="5"/>
        <v>5.1896303436885616E-2</v>
      </c>
      <c r="J13" s="487"/>
      <c r="K13" s="487"/>
      <c r="L13" s="487"/>
      <c r="M13" s="472"/>
      <c r="N13" s="486"/>
      <c r="O13" s="486"/>
      <c r="P13" s="472"/>
      <c r="Q13" s="472"/>
      <c r="R13" s="472"/>
      <c r="S13" s="472"/>
    </row>
    <row r="14" spans="2:19" ht="15" customHeight="1">
      <c r="B14" s="472"/>
      <c r="C14" s="974" t="str">
        <f>IF(Indice_index!$Z$1=1,"Transferências Correntes","Current transfers")</f>
        <v>Transferências Correntes</v>
      </c>
      <c r="D14" s="979">
        <f t="shared" ref="D14:E14" si="6">SUM(D15:D18)</f>
        <v>12301.049313010004</v>
      </c>
      <c r="E14" s="979">
        <f t="shared" si="6"/>
        <v>11375.892560999999</v>
      </c>
      <c r="F14" s="979">
        <f t="shared" ref="F14:G14" si="7">SUM(F15:F18)</f>
        <v>8115.4868271000005</v>
      </c>
      <c r="G14" s="979">
        <f t="shared" si="7"/>
        <v>7867.3258111299992</v>
      </c>
      <c r="H14" s="978">
        <f t="shared" si="4"/>
        <v>-3.0578697403748909</v>
      </c>
      <c r="I14" s="978">
        <f t="shared" si="5"/>
        <v>-1.0587831442016145</v>
      </c>
      <c r="J14" s="487"/>
      <c r="K14" s="487"/>
      <c r="L14" s="487"/>
      <c r="M14" s="472"/>
      <c r="N14" s="486"/>
      <c r="O14" s="486"/>
      <c r="P14" s="472"/>
      <c r="Q14" s="472"/>
      <c r="R14" s="472"/>
      <c r="S14" s="472"/>
    </row>
    <row r="15" spans="2:19" ht="15" customHeight="1">
      <c r="B15" s="472"/>
      <c r="C15" s="980" t="str">
        <f>IF(Indice_index!$Z$1=1,"Administração Central","Central Administration")</f>
        <v>Administração Central</v>
      </c>
      <c r="D15" s="975">
        <v>10871.419801170003</v>
      </c>
      <c r="E15" s="975">
        <v>9566.7203549999995</v>
      </c>
      <c r="F15" s="975">
        <v>7130.9515805399997</v>
      </c>
      <c r="G15" s="975">
        <v>7085.6091966299991</v>
      </c>
      <c r="H15" s="978">
        <f t="shared" si="4"/>
        <v>-0.63585320132782241</v>
      </c>
      <c r="I15" s="978">
        <f t="shared" si="5"/>
        <v>-0.19345404278821313</v>
      </c>
      <c r="J15" s="487"/>
      <c r="K15" s="487"/>
      <c r="L15" s="487"/>
      <c r="M15" s="472"/>
      <c r="N15" s="486"/>
      <c r="O15" s="486"/>
      <c r="P15" s="472"/>
      <c r="Q15" s="472"/>
      <c r="R15" s="472"/>
      <c r="S15" s="472"/>
    </row>
    <row r="16" spans="2:19" ht="15" hidden="1" customHeight="1">
      <c r="B16" s="472"/>
      <c r="C16" s="977" t="str">
        <f>IF(Indice_index!$Z$1=1,"Outros subsectores das AP","Other General Government subsectors")</f>
        <v>Outros subsectores das AP</v>
      </c>
      <c r="D16" s="975">
        <v>0</v>
      </c>
      <c r="E16" s="975">
        <v>0</v>
      </c>
      <c r="F16" s="975">
        <v>0</v>
      </c>
      <c r="G16" s="975">
        <v>0</v>
      </c>
      <c r="H16" s="978" t="str">
        <f t="shared" si="4"/>
        <v>-</v>
      </c>
      <c r="I16" s="978">
        <f t="shared" si="5"/>
        <v>0</v>
      </c>
      <c r="J16" s="487"/>
      <c r="K16" s="487"/>
      <c r="L16" s="487"/>
      <c r="M16" s="472"/>
      <c r="N16" s="486"/>
      <c r="O16" s="486"/>
      <c r="P16" s="472"/>
      <c r="Q16" s="472"/>
      <c r="R16" s="472"/>
      <c r="S16" s="472"/>
    </row>
    <row r="17" spans="2:28" ht="15" customHeight="1">
      <c r="B17" s="472"/>
      <c r="C17" s="977" t="str">
        <f>IF(Indice_index!$Z$1=1,"União Europeia","European Union")</f>
        <v>União Europeia</v>
      </c>
      <c r="D17" s="975">
        <v>1427.2160138600002</v>
      </c>
      <c r="E17" s="975">
        <v>1807.172206</v>
      </c>
      <c r="F17" s="975">
        <v>982.68919040000003</v>
      </c>
      <c r="G17" s="975">
        <v>780.00368282999989</v>
      </c>
      <c r="H17" s="978">
        <f t="shared" si="4"/>
        <v>-20.62559653144223</v>
      </c>
      <c r="I17" s="978">
        <f t="shared" si="5"/>
        <v>-0.86476112354007539</v>
      </c>
      <c r="J17" s="487"/>
      <c r="K17" s="487"/>
      <c r="L17" s="487"/>
      <c r="M17" s="472"/>
      <c r="N17" s="486"/>
      <c r="O17" s="486"/>
      <c r="P17" s="472"/>
      <c r="Q17" s="472"/>
      <c r="R17" s="472"/>
      <c r="S17" s="472"/>
      <c r="T17" s="472"/>
      <c r="U17" s="472"/>
      <c r="V17" s="472"/>
      <c r="W17" s="472"/>
      <c r="X17" s="472"/>
      <c r="Y17" s="472"/>
      <c r="Z17" s="472"/>
      <c r="AA17" s="472"/>
      <c r="AB17" s="472"/>
    </row>
    <row r="18" spans="2:28" ht="15" customHeight="1">
      <c r="B18" s="472"/>
      <c r="C18" s="977" t="str">
        <f>IF(Indice_index!$Z$1=1,"Outras transferências","Other transfers")</f>
        <v>Outras transferências</v>
      </c>
      <c r="D18" s="975">
        <v>2.4134979799999998</v>
      </c>
      <c r="E18" s="975">
        <v>2</v>
      </c>
      <c r="F18" s="975">
        <v>1.8460561599999996</v>
      </c>
      <c r="G18" s="975">
        <v>1.7129316700000001</v>
      </c>
      <c r="H18" s="978">
        <f t="shared" si="4"/>
        <v>-7.2112914484681507</v>
      </c>
      <c r="I18" s="978">
        <f t="shared" si="5"/>
        <v>-5.6797787332348157E-4</v>
      </c>
      <c r="J18" s="487"/>
      <c r="K18" s="487"/>
      <c r="L18" s="487"/>
      <c r="M18" s="472"/>
      <c r="N18" s="486"/>
      <c r="O18" s="486"/>
      <c r="P18" s="472"/>
      <c r="Q18" s="472"/>
      <c r="R18" s="472"/>
      <c r="S18" s="472"/>
      <c r="T18" s="472"/>
      <c r="U18" s="472"/>
      <c r="V18" s="472"/>
      <c r="W18" s="472"/>
      <c r="X18" s="472"/>
      <c r="Y18" s="472"/>
      <c r="Z18" s="472"/>
      <c r="AA18" s="472"/>
      <c r="AB18" s="472"/>
    </row>
    <row r="19" spans="2:28" ht="15" customHeight="1">
      <c r="B19" s="489"/>
      <c r="C19" s="974" t="str">
        <f>IF(Indice_index!$Z$1=1,"Outras receitas correntes","Other current revenue")</f>
        <v>Outras receitas correntes</v>
      </c>
      <c r="D19" s="975">
        <v>1021.6488205999999</v>
      </c>
      <c r="E19" s="975">
        <v>731.30011200000001</v>
      </c>
      <c r="F19" s="975">
        <v>669.07402809000007</v>
      </c>
      <c r="G19" s="975">
        <v>560.71260032000009</v>
      </c>
      <c r="H19" s="978">
        <f t="shared" si="4"/>
        <v>-16.195730699536853</v>
      </c>
      <c r="I19" s="978">
        <f t="shared" si="5"/>
        <v>-0.46232585225378803</v>
      </c>
      <c r="J19" s="487"/>
      <c r="K19" s="487"/>
      <c r="L19" s="487"/>
      <c r="M19" s="472"/>
      <c r="N19" s="486"/>
      <c r="O19" s="486"/>
      <c r="P19" s="472"/>
      <c r="Q19" s="472"/>
      <c r="R19" s="472"/>
      <c r="S19" s="472"/>
      <c r="T19" s="472"/>
      <c r="U19" s="472"/>
      <c r="V19" s="472"/>
      <c r="W19" s="472"/>
      <c r="X19" s="472"/>
      <c r="Y19" s="472"/>
      <c r="Z19" s="472"/>
      <c r="AA19" s="472"/>
      <c r="AB19" s="472"/>
    </row>
    <row r="20" spans="2:28" s="480" customFormat="1" ht="15" customHeight="1">
      <c r="B20" s="490"/>
      <c r="C20" s="972" t="str">
        <f>IF(Indice_index!$Z$1=1,"Receita de capital","Capital revenue")</f>
        <v>Receita de capital</v>
      </c>
      <c r="D20" s="973">
        <f t="shared" ref="D20:E20" si="8">+D21+D22+D27</f>
        <v>0.91545309000000008</v>
      </c>
      <c r="E20" s="973">
        <f t="shared" si="8"/>
        <v>7.6267070000000006</v>
      </c>
      <c r="F20" s="973">
        <f t="shared" ref="F20:G20" si="9">+F21+F22+F27</f>
        <v>0.53597205000000003</v>
      </c>
      <c r="G20" s="973">
        <f t="shared" si="9"/>
        <v>0.40326570000000006</v>
      </c>
      <c r="H20" s="973">
        <f t="shared" si="4"/>
        <v>-24.759938507987489</v>
      </c>
      <c r="I20" s="973">
        <f t="shared" si="5"/>
        <v>-5.6619387198795557E-4</v>
      </c>
      <c r="J20" s="484"/>
      <c r="K20" s="484"/>
      <c r="L20" s="484"/>
      <c r="M20" s="479"/>
      <c r="N20" s="486"/>
      <c r="O20" s="486"/>
      <c r="P20" s="479"/>
      <c r="Q20" s="479"/>
      <c r="R20" s="479"/>
      <c r="S20" s="479"/>
      <c r="T20" s="479"/>
      <c r="U20" s="479"/>
      <c r="V20" s="479"/>
      <c r="W20" s="479"/>
      <c r="X20" s="479"/>
      <c r="Y20" s="479"/>
      <c r="Z20" s="479"/>
      <c r="AA20" s="479"/>
      <c r="AB20" s="479"/>
    </row>
    <row r="21" spans="2:28" ht="15" customHeight="1">
      <c r="B21" s="489"/>
      <c r="C21" s="974" t="str">
        <f>IF(Indice_index!$Z$1=1,"Venda de bens de investimento","Sale of investment goods")</f>
        <v>Venda de bens de investimento</v>
      </c>
      <c r="D21" s="975">
        <v>0.61795309000000009</v>
      </c>
      <c r="E21" s="975">
        <v>5.3141949999999998</v>
      </c>
      <c r="F21" s="975">
        <v>0.53597205000000003</v>
      </c>
      <c r="G21" s="975">
        <v>0.39831619000000007</v>
      </c>
      <c r="H21" s="978">
        <f t="shared" si="4"/>
        <v>-25.683402707286685</v>
      </c>
      <c r="I21" s="978">
        <f t="shared" si="5"/>
        <v>-5.8731103956390887E-4</v>
      </c>
      <c r="J21" s="487"/>
      <c r="K21" s="487"/>
      <c r="L21" s="487"/>
      <c r="M21" s="472"/>
      <c r="N21" s="486"/>
      <c r="O21" s="486"/>
      <c r="P21" s="472"/>
      <c r="Q21" s="472"/>
      <c r="R21" s="472"/>
      <c r="S21" s="472"/>
      <c r="T21" s="472"/>
      <c r="U21" s="472"/>
      <c r="V21" s="472"/>
      <c r="W21" s="472"/>
      <c r="X21" s="472"/>
      <c r="Y21" s="472"/>
      <c r="Z21" s="472"/>
      <c r="AA21" s="472"/>
      <c r="AB21" s="472"/>
    </row>
    <row r="22" spans="2:28" ht="15" customHeight="1">
      <c r="B22" s="491"/>
      <c r="C22" s="974" t="str">
        <f>IF(Indice_index!$Z$1=1,"Transferências de capital","Capital transfers")</f>
        <v>Transferências de capital</v>
      </c>
      <c r="D22" s="979">
        <f t="shared" ref="D22:E22" si="10">+SUM(D23:D26)</f>
        <v>0.29749999999999999</v>
      </c>
      <c r="E22" s="979">
        <f t="shared" si="10"/>
        <v>1.8776079999999999</v>
      </c>
      <c r="F22" s="979">
        <f t="shared" ref="F22:G22" si="11">+SUM(F23:F26)</f>
        <v>0</v>
      </c>
      <c r="G22" s="979">
        <f t="shared" si="11"/>
        <v>0</v>
      </c>
      <c r="H22" s="978" t="str">
        <f t="shared" si="4"/>
        <v>-</v>
      </c>
      <c r="I22" s="978">
        <f t="shared" si="5"/>
        <v>0</v>
      </c>
      <c r="J22" s="487"/>
      <c r="K22" s="487"/>
      <c r="L22" s="487"/>
      <c r="M22" s="472"/>
      <c r="N22" s="486"/>
      <c r="O22" s="486"/>
      <c r="P22" s="472"/>
      <c r="Q22" s="472"/>
      <c r="R22" s="472"/>
      <c r="S22" s="472"/>
      <c r="T22" s="472"/>
      <c r="U22" s="472"/>
      <c r="V22" s="472"/>
      <c r="W22" s="472"/>
      <c r="X22" s="472"/>
      <c r="Y22" s="472"/>
      <c r="Z22" s="472"/>
      <c r="AA22" s="472"/>
      <c r="AB22" s="472"/>
    </row>
    <row r="23" spans="2:28" ht="15" customHeight="1">
      <c r="B23" s="491"/>
      <c r="C23" s="980" t="str">
        <f>IF(Indice_index!$Z$1=1,"Administração Central","Central Administration")</f>
        <v>Administração Central</v>
      </c>
      <c r="D23" s="975">
        <v>0.29749999999999999</v>
      </c>
      <c r="E23" s="975">
        <v>1.8776079999999999</v>
      </c>
      <c r="F23" s="975">
        <v>0</v>
      </c>
      <c r="G23" s="975">
        <v>0</v>
      </c>
      <c r="H23" s="978" t="str">
        <f t="shared" si="4"/>
        <v>-</v>
      </c>
      <c r="I23" s="978">
        <f t="shared" si="5"/>
        <v>0</v>
      </c>
      <c r="J23" s="487"/>
      <c r="K23" s="487"/>
      <c r="L23" s="487"/>
      <c r="M23" s="472"/>
      <c r="N23" s="486"/>
      <c r="O23" s="486"/>
      <c r="P23" s="472"/>
      <c r="Q23" s="472"/>
      <c r="R23" s="472"/>
      <c r="S23" s="472"/>
      <c r="T23" s="472"/>
      <c r="U23" s="472"/>
      <c r="V23" s="472"/>
      <c r="W23" s="472"/>
      <c r="X23" s="472"/>
      <c r="Y23" s="472"/>
      <c r="Z23" s="472"/>
      <c r="AA23" s="472"/>
      <c r="AB23" s="472"/>
    </row>
    <row r="24" spans="2:28" ht="15" hidden="1" customHeight="1">
      <c r="B24" s="491"/>
      <c r="C24" s="977" t="str">
        <f>IF(Indice_index!$Z$1=1,"Outros subsectores das AP","Other General Government subsectors")</f>
        <v>Outros subsectores das AP</v>
      </c>
      <c r="D24" s="975">
        <v>0</v>
      </c>
      <c r="E24" s="975">
        <v>0</v>
      </c>
      <c r="F24" s="975">
        <v>0</v>
      </c>
      <c r="G24" s="975">
        <v>0</v>
      </c>
      <c r="H24" s="978" t="str">
        <f t="shared" si="4"/>
        <v>-</v>
      </c>
      <c r="I24" s="978">
        <f t="shared" si="5"/>
        <v>0</v>
      </c>
      <c r="J24" s="487"/>
      <c r="K24" s="487"/>
      <c r="L24" s="487"/>
      <c r="M24" s="472"/>
      <c r="N24" s="486"/>
      <c r="O24" s="486"/>
      <c r="P24" s="472"/>
      <c r="Q24" s="472"/>
      <c r="R24" s="472"/>
      <c r="S24" s="472"/>
      <c r="T24" s="472"/>
      <c r="U24" s="472"/>
      <c r="V24" s="472"/>
      <c r="W24" s="472"/>
      <c r="X24" s="472"/>
      <c r="Y24" s="472"/>
      <c r="Z24" s="472"/>
      <c r="AA24" s="472"/>
      <c r="AB24" s="472"/>
    </row>
    <row r="25" spans="2:28" ht="15" hidden="1" customHeight="1">
      <c r="B25" s="472"/>
      <c r="C25" s="977" t="str">
        <f>IF(Indice_index!$Z$1=1,"União Europeia","European Union")</f>
        <v>União Europeia</v>
      </c>
      <c r="D25" s="975">
        <v>0</v>
      </c>
      <c r="E25" s="975">
        <v>0</v>
      </c>
      <c r="F25" s="975">
        <v>0</v>
      </c>
      <c r="G25" s="975">
        <v>0</v>
      </c>
      <c r="H25" s="978" t="str">
        <f t="shared" si="4"/>
        <v>-</v>
      </c>
      <c r="I25" s="978">
        <f t="shared" si="5"/>
        <v>0</v>
      </c>
      <c r="J25" s="487"/>
      <c r="K25" s="487"/>
      <c r="L25" s="487"/>
      <c r="M25" s="472"/>
      <c r="N25" s="486"/>
      <c r="O25" s="486"/>
      <c r="P25" s="472"/>
      <c r="Q25" s="472"/>
      <c r="R25" s="472"/>
      <c r="S25" s="472"/>
      <c r="T25" s="472"/>
      <c r="U25" s="472"/>
      <c r="V25" s="472"/>
      <c r="W25" s="472"/>
      <c r="X25" s="472"/>
      <c r="Y25" s="472"/>
      <c r="Z25" s="472"/>
      <c r="AA25" s="472"/>
      <c r="AB25" s="472"/>
    </row>
    <row r="26" spans="2:28" ht="15" hidden="1" customHeight="1">
      <c r="B26" s="472"/>
      <c r="C26" s="977" t="str">
        <f>IF(Indice_index!$Z$1=1,"Outras transferências","Other transfers")</f>
        <v>Outras transferências</v>
      </c>
      <c r="D26" s="975">
        <v>0</v>
      </c>
      <c r="E26" s="975">
        <v>0</v>
      </c>
      <c r="F26" s="975">
        <v>0</v>
      </c>
      <c r="G26" s="975">
        <v>0</v>
      </c>
      <c r="H26" s="978" t="str">
        <f t="shared" si="4"/>
        <v>-</v>
      </c>
      <c r="I26" s="978">
        <f t="shared" si="5"/>
        <v>0</v>
      </c>
      <c r="J26" s="487"/>
      <c r="K26" s="487"/>
      <c r="L26" s="487"/>
      <c r="M26" s="472"/>
      <c r="N26" s="486"/>
      <c r="O26" s="486"/>
      <c r="P26" s="472"/>
      <c r="Q26" s="472"/>
      <c r="R26" s="472"/>
      <c r="S26" s="472"/>
      <c r="T26" s="472"/>
      <c r="U26" s="472"/>
      <c r="V26" s="472"/>
      <c r="W26" s="472"/>
      <c r="X26" s="472"/>
      <c r="Y26" s="472"/>
      <c r="Z26" s="472"/>
      <c r="AA26" s="472"/>
      <c r="AB26" s="472"/>
    </row>
    <row r="27" spans="2:28" ht="15" customHeight="1">
      <c r="B27" s="472"/>
      <c r="C27" s="974" t="str">
        <f>IF(Indice_index!$Z$1=1,"Outras Receitas de Capital","Other capital revenue")</f>
        <v>Outras Receitas de Capital</v>
      </c>
      <c r="D27" s="975">
        <v>0</v>
      </c>
      <c r="E27" s="975">
        <v>0.43490400000000001</v>
      </c>
      <c r="F27" s="975">
        <v>0</v>
      </c>
      <c r="G27" s="975">
        <v>4.9495099999999998E-3</v>
      </c>
      <c r="H27" s="978" t="str">
        <f t="shared" si="4"/>
        <v>-</v>
      </c>
      <c r="I27" s="978">
        <f>IFERROR((G27-F27)/$F$29*100,"-")</f>
        <v>2.1117167575953271E-5</v>
      </c>
      <c r="J27" s="487"/>
      <c r="K27" s="487"/>
      <c r="L27" s="487"/>
      <c r="M27" s="472"/>
      <c r="N27" s="486"/>
      <c r="O27" s="486"/>
      <c r="P27" s="472"/>
      <c r="Q27" s="472"/>
      <c r="R27" s="472"/>
      <c r="S27" s="472"/>
      <c r="T27" s="472"/>
      <c r="U27" s="472"/>
      <c r="V27" s="472"/>
      <c r="W27" s="472"/>
      <c r="X27" s="472"/>
      <c r="Y27" s="472"/>
      <c r="Z27" s="472"/>
      <c r="AA27" s="472"/>
      <c r="AB27" s="472"/>
    </row>
    <row r="28" spans="2:28" ht="4.5" customHeight="1">
      <c r="B28" s="472"/>
      <c r="C28" s="977"/>
      <c r="D28" s="978"/>
      <c r="E28" s="978"/>
      <c r="F28" s="978"/>
      <c r="G28" s="978"/>
      <c r="H28" s="978"/>
      <c r="I28" s="978"/>
      <c r="J28" s="487"/>
      <c r="K28" s="487"/>
      <c r="L28" s="487"/>
      <c r="M28" s="472"/>
      <c r="N28" s="486"/>
      <c r="O28" s="486"/>
      <c r="P28" s="472"/>
      <c r="Q28" s="472"/>
      <c r="R28" s="472"/>
      <c r="S28" s="472"/>
      <c r="T28" s="472"/>
      <c r="U28" s="472"/>
      <c r="V28" s="472"/>
      <c r="W28" s="472"/>
      <c r="X28" s="472"/>
      <c r="Y28" s="472"/>
      <c r="Z28" s="472"/>
      <c r="AA28" s="472"/>
      <c r="AB28" s="472"/>
    </row>
    <row r="29" spans="2:28" s="480" customFormat="1" ht="15" customHeight="1">
      <c r="B29" s="479"/>
      <c r="C29" s="981" t="str">
        <f>IF(Indice_index!$Z$1=1,"Receita efetiva","Effective revenue")</f>
        <v>Receita efetiva</v>
      </c>
      <c r="D29" s="982">
        <f t="shared" ref="D29:G29" si="12">+D8+D20</f>
        <v>33566.541879700002</v>
      </c>
      <c r="E29" s="982">
        <f t="shared" ref="E29" si="13">+E8+E20</f>
        <v>33608.819207</v>
      </c>
      <c r="F29" s="982">
        <f t="shared" ref="F29" si="14">+F8+F20</f>
        <v>23438.323260909998</v>
      </c>
      <c r="G29" s="982">
        <f t="shared" si="12"/>
        <v>24859.737827909994</v>
      </c>
      <c r="H29" s="982">
        <f t="shared" ref="H29" si="15">IF(IFERROR((G29-F29)/F29*100,"")&gt;500,"-",IFERROR((G29-F29)/F29*100,""))</f>
        <v>6.0644891325080632</v>
      </c>
      <c r="I29" s="982"/>
      <c r="J29" s="484"/>
      <c r="K29" s="484"/>
      <c r="L29" s="484"/>
      <c r="M29" s="479"/>
      <c r="N29" s="486"/>
      <c r="O29" s="486"/>
      <c r="P29" s="479"/>
      <c r="Q29" s="479"/>
      <c r="R29" s="479"/>
      <c r="S29" s="479"/>
      <c r="T29" s="479"/>
      <c r="U29" s="479"/>
      <c r="V29" s="479"/>
      <c r="W29" s="479"/>
      <c r="X29" s="479"/>
      <c r="Y29" s="479"/>
      <c r="Z29" s="479"/>
      <c r="AA29" s="479"/>
      <c r="AB29" s="479"/>
    </row>
    <row r="30" spans="2:28" ht="4.5" customHeight="1">
      <c r="B30" s="472"/>
      <c r="C30" s="977"/>
      <c r="D30" s="978"/>
      <c r="E30" s="978"/>
      <c r="F30" s="978"/>
      <c r="G30" s="978"/>
      <c r="H30" s="978"/>
      <c r="I30" s="978"/>
      <c r="J30" s="487"/>
      <c r="K30" s="487"/>
      <c r="L30" s="487"/>
      <c r="M30" s="472"/>
      <c r="N30" s="486"/>
      <c r="O30" s="486"/>
      <c r="P30" s="472"/>
      <c r="Q30" s="472"/>
      <c r="R30" s="472"/>
      <c r="S30" s="472"/>
      <c r="T30" s="472"/>
      <c r="U30" s="472"/>
      <c r="V30" s="472"/>
      <c r="W30" s="472"/>
      <c r="X30" s="472"/>
      <c r="Y30" s="472"/>
      <c r="Z30" s="472"/>
      <c r="AA30" s="472"/>
      <c r="AB30" s="472"/>
    </row>
    <row r="31" spans="2:28" s="480" customFormat="1" ht="15" customHeight="1">
      <c r="B31" s="479"/>
      <c r="C31" s="972" t="str">
        <f>IF(Indice_index!$Z$1=1,"Despesa corrente","Current Expenditure")</f>
        <v>Despesa corrente</v>
      </c>
      <c r="D31" s="973">
        <f t="shared" ref="D31:E31" si="16">+D32+D36+D37+D38+D43+D44</f>
        <v>31195.450149439996</v>
      </c>
      <c r="E31" s="973">
        <f t="shared" si="16"/>
        <v>30910.787177000002</v>
      </c>
      <c r="F31" s="973">
        <f t="shared" ref="F31:G31" si="17">+F32+F36+F37+F38+F43+F44</f>
        <v>22966.204520340001</v>
      </c>
      <c r="G31" s="973">
        <f t="shared" si="17"/>
        <v>21939.308268240005</v>
      </c>
      <c r="H31" s="973">
        <f t="shared" ref="H31:H52" si="18">IF(IFERROR((G31-F31)/F31*100,"")&gt;500,"-",IFERROR((G31-F31)/F31*100,""))</f>
        <v>-4.4713363550800302</v>
      </c>
      <c r="I31" s="973">
        <f>IFERROR((G31-F31)/$F$54*100,"-")</f>
        <v>-4.4668708396550665</v>
      </c>
      <c r="J31" s="484"/>
      <c r="K31" s="484"/>
      <c r="L31" s="484"/>
      <c r="M31" s="479"/>
      <c r="N31" s="486"/>
      <c r="O31" s="486"/>
      <c r="P31" s="479"/>
      <c r="Q31" s="479"/>
      <c r="R31" s="479"/>
      <c r="S31" s="479"/>
      <c r="T31" s="479"/>
      <c r="U31" s="479"/>
      <c r="V31" s="479"/>
      <c r="W31" s="479"/>
      <c r="X31" s="479"/>
      <c r="Y31" s="479"/>
      <c r="Z31" s="479"/>
      <c r="AA31" s="479"/>
      <c r="AB31" s="479"/>
    </row>
    <row r="32" spans="2:28" ht="15" customHeight="1">
      <c r="B32" s="472"/>
      <c r="C32" s="974" t="str">
        <f>IF(Indice_index!$Z$1=1,"Despesas com o pessoal","Employees")</f>
        <v>Despesas com o pessoal</v>
      </c>
      <c r="D32" s="978">
        <f t="shared" ref="D32:E32" si="19">+D33+D34+D35</f>
        <v>292.95986727999991</v>
      </c>
      <c r="E32" s="978">
        <f t="shared" si="19"/>
        <v>324.63119100000006</v>
      </c>
      <c r="F32" s="978">
        <f t="shared" ref="F32:G32" si="20">+F33+F34+F35</f>
        <v>208.41252994999996</v>
      </c>
      <c r="G32" s="978">
        <f t="shared" si="20"/>
        <v>216.48226336999994</v>
      </c>
      <c r="H32" s="978">
        <f t="shared" si="18"/>
        <v>3.8720001249137845</v>
      </c>
      <c r="I32" s="978">
        <f t="shared" ref="I32:I52" si="21">IFERROR((G32-F32)/$F$54*100,"-")</f>
        <v>3.5102335629206061E-2</v>
      </c>
      <c r="J32" s="487"/>
      <c r="K32" s="487"/>
      <c r="L32" s="487"/>
      <c r="M32" s="472"/>
      <c r="N32" s="486"/>
      <c r="O32" s="486"/>
      <c r="P32" s="472"/>
      <c r="Q32" s="472"/>
      <c r="R32" s="472"/>
      <c r="S32" s="472"/>
      <c r="T32" s="472"/>
      <c r="U32" s="472"/>
      <c r="V32" s="472"/>
      <c r="W32" s="472"/>
      <c r="X32" s="472"/>
      <c r="Y32" s="472"/>
      <c r="Z32" s="472"/>
      <c r="AA32" s="472"/>
      <c r="AB32" s="472"/>
    </row>
    <row r="33" spans="2:28" ht="15" customHeight="1">
      <c r="B33" s="472"/>
      <c r="C33" s="980" t="str">
        <f>IF(Indice_index!$Z$1=1,"Remunerações Certas e Permanentes","Certain and permanent wages")</f>
        <v>Remunerações Certas e Permanentes</v>
      </c>
      <c r="D33" s="975">
        <v>233.69650922999992</v>
      </c>
      <c r="E33" s="975">
        <v>260.99803300000002</v>
      </c>
      <c r="F33" s="975">
        <v>166.33133184999997</v>
      </c>
      <c r="G33" s="975">
        <v>173.55571447999995</v>
      </c>
      <c r="H33" s="978">
        <f t="shared" si="18"/>
        <v>4.3433684740257075</v>
      </c>
      <c r="I33" s="978">
        <f t="shared" si="21"/>
        <v>3.1425164945791534E-2</v>
      </c>
      <c r="J33" s="487"/>
      <c r="K33" s="487"/>
      <c r="L33" s="487"/>
      <c r="M33" s="472"/>
      <c r="N33" s="486"/>
      <c r="O33" s="486"/>
      <c r="P33" s="472"/>
      <c r="Q33" s="472"/>
      <c r="R33" s="472"/>
      <c r="S33" s="472"/>
      <c r="T33" s="472"/>
      <c r="U33" s="472"/>
      <c r="V33" s="472"/>
      <c r="W33" s="472"/>
      <c r="X33" s="472"/>
      <c r="Y33" s="472"/>
      <c r="Z33" s="472"/>
      <c r="AA33" s="472"/>
      <c r="AB33" s="472"/>
    </row>
    <row r="34" spans="2:28" ht="15" customHeight="1">
      <c r="B34" s="472"/>
      <c r="C34" s="980" t="str">
        <f>IF(Indice_index!$Z$1=1,"Abonos Variáveis ou Eventuais","Variable or contingent bonuses")</f>
        <v>Abonos Variáveis ou Eventuais</v>
      </c>
      <c r="D34" s="975">
        <v>5.1169230200000007</v>
      </c>
      <c r="E34" s="975">
        <v>7.6004949999999996</v>
      </c>
      <c r="F34" s="975">
        <v>3.82070387</v>
      </c>
      <c r="G34" s="975">
        <v>3.9563772699999999</v>
      </c>
      <c r="H34" s="978">
        <f t="shared" si="18"/>
        <v>3.5510053805871098</v>
      </c>
      <c r="I34" s="978">
        <f t="shared" si="21"/>
        <v>5.9016239755235148E-4</v>
      </c>
      <c r="J34" s="487"/>
      <c r="K34" s="487"/>
      <c r="L34" s="487"/>
      <c r="M34" s="472"/>
      <c r="N34" s="486"/>
      <c r="O34" s="486"/>
      <c r="P34" s="472"/>
      <c r="Q34" s="472"/>
      <c r="R34" s="472"/>
      <c r="S34" s="472"/>
      <c r="T34" s="472"/>
      <c r="U34" s="472"/>
      <c r="V34" s="472"/>
      <c r="W34" s="472"/>
      <c r="X34" s="472"/>
      <c r="Y34" s="472"/>
      <c r="Z34" s="472"/>
      <c r="AA34" s="472"/>
      <c r="AB34" s="472"/>
    </row>
    <row r="35" spans="2:28" ht="15" customHeight="1">
      <c r="B35" s="472"/>
      <c r="C35" s="980" t="str">
        <f>IF(Indice_index!$Z$1=1,"Segurança social","Social security")</f>
        <v>Segurança social</v>
      </c>
      <c r="D35" s="975">
        <v>54.146435030000006</v>
      </c>
      <c r="E35" s="975">
        <v>56.032662999999999</v>
      </c>
      <c r="F35" s="975">
        <v>38.260494229999999</v>
      </c>
      <c r="G35" s="975">
        <v>38.970171620000002</v>
      </c>
      <c r="H35" s="978">
        <f t="shared" si="18"/>
        <v>1.8548568289103438</v>
      </c>
      <c r="I35" s="978">
        <f t="shared" si="21"/>
        <v>3.0870082858622042E-3</v>
      </c>
      <c r="J35" s="487"/>
      <c r="K35" s="487"/>
      <c r="L35" s="487"/>
      <c r="M35" s="472"/>
      <c r="N35" s="486"/>
      <c r="O35" s="486"/>
      <c r="P35" s="472"/>
      <c r="Q35" s="472"/>
      <c r="R35" s="472"/>
      <c r="S35" s="472"/>
      <c r="T35" s="472"/>
      <c r="U35" s="472"/>
      <c r="V35" s="472"/>
      <c r="W35" s="472"/>
      <c r="X35" s="472"/>
      <c r="Y35" s="472"/>
      <c r="Z35" s="472"/>
      <c r="AA35" s="472"/>
      <c r="AB35" s="472"/>
    </row>
    <row r="36" spans="2:28" ht="15" customHeight="1">
      <c r="B36" s="472"/>
      <c r="C36" s="974" t="str">
        <f>IF(Indice_index!$Z$1=1,"Aquisição de bens e serviços","Purchase of goods and services")</f>
        <v>Aquisição de bens e serviços</v>
      </c>
      <c r="D36" s="975">
        <v>99.981533720000002</v>
      </c>
      <c r="E36" s="975">
        <v>186.896266</v>
      </c>
      <c r="F36" s="975">
        <v>65.585589769999999</v>
      </c>
      <c r="G36" s="975">
        <v>57.095162390000006</v>
      </c>
      <c r="H36" s="978">
        <f t="shared" si="18"/>
        <v>-12.94556839356755</v>
      </c>
      <c r="I36" s="978">
        <f t="shared" si="21"/>
        <v>-3.6932301975368259E-2</v>
      </c>
      <c r="J36" s="487"/>
      <c r="K36" s="487"/>
      <c r="L36" s="487"/>
      <c r="M36" s="472"/>
      <c r="N36" s="486"/>
      <c r="O36" s="486"/>
      <c r="P36" s="472"/>
      <c r="Q36" s="472"/>
      <c r="R36" s="472"/>
      <c r="S36" s="472"/>
      <c r="T36" s="472"/>
      <c r="U36" s="472"/>
      <c r="V36" s="472"/>
      <c r="W36" s="492"/>
      <c r="X36" s="472"/>
      <c r="Y36" s="472"/>
      <c r="Z36" s="492"/>
      <c r="AA36" s="472"/>
      <c r="AB36" s="492"/>
    </row>
    <row r="37" spans="2:28" ht="15" customHeight="1">
      <c r="C37" s="974" t="str">
        <f>IF(Indice_index!$Z$1=1,"Juros e outros encargos","Interests")</f>
        <v>Juros e outros encargos</v>
      </c>
      <c r="D37" s="975">
        <v>6.5070547399999992</v>
      </c>
      <c r="E37" s="975">
        <v>10.362807</v>
      </c>
      <c r="F37" s="975">
        <v>4.8935239799999986</v>
      </c>
      <c r="G37" s="975">
        <v>5.1500028799999997</v>
      </c>
      <c r="H37" s="978">
        <f t="shared" si="18"/>
        <v>5.2411902148275828</v>
      </c>
      <c r="I37" s="978">
        <f t="shared" si="21"/>
        <v>1.1156512812798276E-3</v>
      </c>
      <c r="J37" s="487"/>
      <c r="K37" s="487"/>
      <c r="L37" s="487"/>
      <c r="M37" s="472"/>
      <c r="N37" s="486"/>
      <c r="O37" s="486"/>
      <c r="P37" s="472"/>
      <c r="Q37" s="472"/>
      <c r="R37" s="472"/>
      <c r="S37" s="472"/>
      <c r="T37" s="472"/>
      <c r="U37" s="472"/>
      <c r="V37" s="472"/>
    </row>
    <row r="38" spans="2:28" ht="15" customHeight="1">
      <c r="C38" s="974" t="str">
        <f>IF(Indice_index!$Z$1=1,"Transferências correntes","Current transfers")</f>
        <v>Transferências correntes</v>
      </c>
      <c r="D38" s="979">
        <f t="shared" ref="D38:E38" si="22">+D39+D40+D41+D42</f>
        <v>29805.776706309996</v>
      </c>
      <c r="E38" s="979">
        <f t="shared" si="22"/>
        <v>28761.380738</v>
      </c>
      <c r="F38" s="979">
        <f t="shared" ref="F38:G38" si="23">+F39+F40+F41+F42</f>
        <v>21960.420726650002</v>
      </c>
      <c r="G38" s="979">
        <f t="shared" si="23"/>
        <v>21012.464339200007</v>
      </c>
      <c r="H38" s="978">
        <f t="shared" si="18"/>
        <v>-4.316658588874871</v>
      </c>
      <c r="I38" s="978">
        <f t="shared" si="21"/>
        <v>-4.1234922570861707</v>
      </c>
      <c r="J38" s="487"/>
      <c r="K38" s="487"/>
      <c r="L38" s="487"/>
      <c r="M38" s="472"/>
      <c r="N38" s="486"/>
      <c r="O38" s="486"/>
      <c r="P38" s="472"/>
      <c r="Q38" s="472"/>
      <c r="R38" s="472"/>
      <c r="S38" s="472"/>
      <c r="T38" s="472"/>
      <c r="U38" s="472"/>
      <c r="V38" s="472"/>
    </row>
    <row r="39" spans="2:28" ht="15" customHeight="1">
      <c r="C39" s="980" t="str">
        <f>IF(Indice_index!$Z$1=1,"Administração Central","Central Administration")</f>
        <v>Administração Central</v>
      </c>
      <c r="D39" s="975">
        <v>2005.25270972</v>
      </c>
      <c r="E39" s="975">
        <v>1793.2989580000001</v>
      </c>
      <c r="F39" s="975">
        <v>1459.0430551999998</v>
      </c>
      <c r="G39" s="975">
        <v>1257.7747402799998</v>
      </c>
      <c r="H39" s="978">
        <f t="shared" si="18"/>
        <v>-13.794542539555895</v>
      </c>
      <c r="I39" s="978">
        <f t="shared" si="21"/>
        <v>-0.87549211035110019</v>
      </c>
      <c r="J39" s="487"/>
      <c r="K39" s="487"/>
      <c r="L39" s="487"/>
      <c r="M39" s="472"/>
      <c r="N39" s="486"/>
      <c r="O39" s="486"/>
      <c r="P39" s="472"/>
      <c r="Q39" s="472"/>
      <c r="R39" s="472"/>
      <c r="S39" s="472"/>
      <c r="T39" s="472"/>
      <c r="U39" s="472"/>
      <c r="V39" s="472"/>
    </row>
    <row r="40" spans="2:28" ht="15" customHeight="1">
      <c r="C40" s="977" t="str">
        <f>IF(Indice_index!$Z$1=1,"Outros subsectores das AP","Other General Government subsectors")</f>
        <v>Outros subsectores das AP</v>
      </c>
      <c r="D40" s="975">
        <v>92.915999979999995</v>
      </c>
      <c r="E40" s="975">
        <v>86.357648999999995</v>
      </c>
      <c r="F40" s="975">
        <v>84.05972525</v>
      </c>
      <c r="G40" s="975">
        <v>54.768052439999998</v>
      </c>
      <c r="H40" s="978">
        <f t="shared" si="18"/>
        <v>-34.846262848093239</v>
      </c>
      <c r="I40" s="978">
        <f t="shared" si="21"/>
        <v>-0.12741512967072863</v>
      </c>
      <c r="J40" s="487"/>
      <c r="K40" s="487"/>
      <c r="L40" s="487"/>
      <c r="M40" s="472"/>
      <c r="N40" s="486"/>
      <c r="O40" s="486"/>
      <c r="P40" s="472"/>
      <c r="Q40" s="472"/>
      <c r="R40" s="472"/>
      <c r="S40" s="472"/>
      <c r="T40" s="472"/>
      <c r="U40" s="472"/>
      <c r="V40" s="472"/>
    </row>
    <row r="41" spans="2:28" ht="15" customHeight="1">
      <c r="C41" s="977" t="str">
        <f>IF(Indice_index!$Z$1=1,"União Europeia","European Union")</f>
        <v>União Europeia</v>
      </c>
      <c r="D41" s="975">
        <v>0</v>
      </c>
      <c r="E41" s="975">
        <v>0</v>
      </c>
      <c r="F41" s="975">
        <v>0</v>
      </c>
      <c r="G41" s="975">
        <v>0</v>
      </c>
      <c r="H41" s="978" t="str">
        <f t="shared" si="18"/>
        <v>-</v>
      </c>
      <c r="I41" s="978">
        <f t="shared" si="21"/>
        <v>0</v>
      </c>
      <c r="J41" s="487"/>
      <c r="K41" s="487"/>
      <c r="L41" s="487"/>
      <c r="M41" s="472"/>
      <c r="N41" s="486"/>
      <c r="O41" s="486"/>
      <c r="P41" s="472"/>
      <c r="Q41" s="472"/>
      <c r="R41" s="472"/>
      <c r="S41" s="472"/>
      <c r="T41" s="472"/>
      <c r="U41" s="472"/>
      <c r="V41" s="472"/>
    </row>
    <row r="42" spans="2:28" ht="15" customHeight="1">
      <c r="C42" s="977" t="str">
        <f>IF(Indice_index!$Z$1=1,"Outras transferências","Other transfers")</f>
        <v>Outras transferências</v>
      </c>
      <c r="D42" s="975">
        <v>27707.607996609997</v>
      </c>
      <c r="E42" s="975">
        <v>26881.724130999999</v>
      </c>
      <c r="F42" s="975">
        <v>20417.317946200001</v>
      </c>
      <c r="G42" s="975">
        <v>19699.921546480007</v>
      </c>
      <c r="H42" s="978">
        <f t="shared" si="18"/>
        <v>-3.5136662004791512</v>
      </c>
      <c r="I42" s="978">
        <f t="shared" si="21"/>
        <v>-3.1205850170643377</v>
      </c>
      <c r="J42" s="487"/>
      <c r="K42" s="487"/>
      <c r="L42" s="487"/>
      <c r="M42" s="472"/>
      <c r="N42" s="486"/>
      <c r="O42" s="486"/>
      <c r="P42" s="472"/>
      <c r="Q42" s="472"/>
      <c r="R42" s="472"/>
      <c r="S42" s="472"/>
      <c r="T42" s="472"/>
      <c r="U42" s="472"/>
      <c r="V42" s="472"/>
    </row>
    <row r="43" spans="2:28" ht="15" customHeight="1">
      <c r="C43" s="974" t="str">
        <f>IF(Indice_index!$Z$1=1,"Subsídios","Subsidies")</f>
        <v>Subsídios</v>
      </c>
      <c r="D43" s="975">
        <v>980.28050590999999</v>
      </c>
      <c r="E43" s="975">
        <v>1612.925189</v>
      </c>
      <c r="F43" s="975">
        <v>718.61513707000006</v>
      </c>
      <c r="G43" s="975">
        <v>638.24589954999999</v>
      </c>
      <c r="H43" s="978">
        <f t="shared" si="18"/>
        <v>-11.183905455664139</v>
      </c>
      <c r="I43" s="978">
        <f t="shared" si="21"/>
        <v>-0.34959617658478132</v>
      </c>
      <c r="J43" s="487"/>
      <c r="K43" s="487"/>
      <c r="L43" s="487"/>
      <c r="M43" s="472"/>
      <c r="N43" s="486"/>
      <c r="O43" s="486"/>
      <c r="P43" s="472"/>
      <c r="Q43" s="472"/>
      <c r="R43" s="472"/>
      <c r="S43" s="472"/>
      <c r="T43" s="472"/>
      <c r="U43" s="472"/>
      <c r="V43" s="472"/>
    </row>
    <row r="44" spans="2:28" ht="15" customHeight="1">
      <c r="C44" s="974" t="str">
        <f>IF(Indice_index!$Z$1=1,"Outras despesas correntes","Other current expenditure")</f>
        <v>Outras despesas correntes</v>
      </c>
      <c r="D44" s="975">
        <v>9.9444814800000003</v>
      </c>
      <c r="E44" s="975">
        <v>14.590985999999999</v>
      </c>
      <c r="F44" s="975">
        <v>8.2770129200000007</v>
      </c>
      <c r="G44" s="975">
        <v>9.8706008499999989</v>
      </c>
      <c r="H44" s="978">
        <f t="shared" si="18"/>
        <v>19.253176784940891</v>
      </c>
      <c r="I44" s="978">
        <f t="shared" si="21"/>
        <v>6.9319090807725631E-3</v>
      </c>
      <c r="J44" s="487"/>
      <c r="K44" s="487"/>
      <c r="L44" s="487"/>
      <c r="M44" s="472"/>
      <c r="N44" s="486"/>
      <c r="O44" s="486"/>
      <c r="P44" s="472"/>
      <c r="Q44" s="472"/>
      <c r="R44" s="472"/>
      <c r="S44" s="472"/>
      <c r="T44" s="472"/>
      <c r="U44" s="472"/>
      <c r="V44" s="472"/>
    </row>
    <row r="45" spans="2:28" s="480" customFormat="1" ht="15" customHeight="1">
      <c r="C45" s="972" t="str">
        <f>IF(Indice_index!$Z$1=1,"Despesa de capital","Capital expenditure")</f>
        <v>Despesa de capital</v>
      </c>
      <c r="D45" s="973">
        <f t="shared" ref="D45:E45" si="24">+D46+D47+D52</f>
        <v>42.826696200000008</v>
      </c>
      <c r="E45" s="973">
        <f t="shared" si="24"/>
        <v>102.021045</v>
      </c>
      <c r="F45" s="973">
        <f t="shared" ref="F45:G45" si="25">+F46+F47+F52</f>
        <v>22.959235719999999</v>
      </c>
      <c r="G45" s="973">
        <f t="shared" si="25"/>
        <v>22.679478320000001</v>
      </c>
      <c r="H45" s="973">
        <f t="shared" si="18"/>
        <v>-1.2184961355499233</v>
      </c>
      <c r="I45" s="973">
        <f t="shared" si="21"/>
        <v>-1.216909857916223E-3</v>
      </c>
      <c r="J45" s="484"/>
      <c r="K45" s="484"/>
      <c r="L45" s="484"/>
      <c r="M45" s="479"/>
      <c r="N45" s="486"/>
      <c r="O45" s="486"/>
      <c r="P45" s="479"/>
      <c r="Q45" s="479"/>
      <c r="R45" s="479"/>
      <c r="S45" s="479"/>
      <c r="T45" s="479"/>
      <c r="U45" s="479"/>
      <c r="V45" s="479"/>
    </row>
    <row r="46" spans="2:28" ht="15" customHeight="1">
      <c r="C46" s="974" t="str">
        <f>IF(Indice_index!$Z$1=1,"Investimento","Investment")</f>
        <v>Investimento</v>
      </c>
      <c r="D46" s="975">
        <v>38.651164250000008</v>
      </c>
      <c r="E46" s="975">
        <v>95.302459999999996</v>
      </c>
      <c r="F46" s="975">
        <v>20.70649006</v>
      </c>
      <c r="G46" s="975">
        <v>20.49941643</v>
      </c>
      <c r="H46" s="978">
        <f t="shared" si="18"/>
        <v>-1.0000421577967811</v>
      </c>
      <c r="I46" s="978">
        <f t="shared" si="21"/>
        <v>-9.0074450813990503E-4</v>
      </c>
      <c r="J46" s="487"/>
      <c r="K46" s="487"/>
      <c r="L46" s="487"/>
      <c r="M46" s="472"/>
      <c r="N46" s="486"/>
      <c r="O46" s="486"/>
      <c r="P46" s="472"/>
      <c r="Q46" s="472"/>
      <c r="R46" s="472"/>
      <c r="S46" s="472"/>
      <c r="T46" s="472"/>
      <c r="U46" s="472"/>
      <c r="V46" s="472"/>
    </row>
    <row r="47" spans="2:28" ht="15" customHeight="1">
      <c r="C47" s="974" t="str">
        <f>IF(Indice_index!$Z$1=1,"Transferências de capital","Capital transfers")</f>
        <v>Transferências de capital</v>
      </c>
      <c r="D47" s="979">
        <f t="shared" ref="D47" si="26">+D49+D51+D48+D50</f>
        <v>4.1755319499999999</v>
      </c>
      <c r="E47" s="979">
        <f>(+E49+E51+E48+E50)</f>
        <v>6.718585</v>
      </c>
      <c r="F47" s="979">
        <f>(+F49+F51+F48+F50)</f>
        <v>2.2527456599999995</v>
      </c>
      <c r="G47" s="979">
        <f>(+G49+G51+G48+G50)</f>
        <v>2.1800618900000006</v>
      </c>
      <c r="H47" s="978">
        <f t="shared" si="18"/>
        <v>-3.2264525592293869</v>
      </c>
      <c r="I47" s="978">
        <f t="shared" si="21"/>
        <v>-3.1616534977632361E-4</v>
      </c>
      <c r="J47" s="487"/>
      <c r="K47" s="487"/>
      <c r="L47" s="487"/>
      <c r="M47" s="472"/>
      <c r="N47" s="486"/>
      <c r="O47" s="486"/>
      <c r="P47" s="472"/>
      <c r="Q47" s="472"/>
      <c r="R47" s="472"/>
      <c r="S47" s="472"/>
      <c r="T47" s="472"/>
      <c r="U47" s="472"/>
      <c r="V47" s="472"/>
    </row>
    <row r="48" spans="2:28" ht="15" hidden="1" customHeight="1">
      <c r="C48" s="980" t="str">
        <f>IF(Indice_index!$Z$1=1,"Administração Central","Central Administration")</f>
        <v>Administração Central</v>
      </c>
      <c r="D48" s="975">
        <v>0</v>
      </c>
      <c r="E48" s="975">
        <v>0</v>
      </c>
      <c r="F48" s="975">
        <v>0</v>
      </c>
      <c r="G48" s="975">
        <v>0</v>
      </c>
      <c r="H48" s="978" t="str">
        <f t="shared" si="18"/>
        <v>-</v>
      </c>
      <c r="I48" s="978">
        <f t="shared" si="21"/>
        <v>0</v>
      </c>
      <c r="J48" s="487"/>
      <c r="K48" s="487"/>
      <c r="L48" s="487"/>
      <c r="M48" s="472"/>
      <c r="N48" s="486"/>
      <c r="O48" s="486"/>
      <c r="P48" s="472"/>
      <c r="Q48" s="472"/>
      <c r="R48" s="472"/>
      <c r="S48" s="472"/>
      <c r="T48" s="472"/>
      <c r="U48" s="472"/>
      <c r="V48" s="472"/>
    </row>
    <row r="49" spans="2:22" ht="15" hidden="1" customHeight="1">
      <c r="C49" s="977" t="str">
        <f>IF(Indice_index!$Z$1=1,"Outros subsectores das AP","Other General Government subsectors")</f>
        <v>Outros subsectores das AP</v>
      </c>
      <c r="D49" s="975">
        <v>0</v>
      </c>
      <c r="E49" s="975">
        <v>0</v>
      </c>
      <c r="F49" s="975">
        <v>0</v>
      </c>
      <c r="G49" s="975">
        <v>0</v>
      </c>
      <c r="H49" s="978" t="str">
        <f t="shared" si="18"/>
        <v>-</v>
      </c>
      <c r="I49" s="978">
        <f t="shared" si="21"/>
        <v>0</v>
      </c>
      <c r="J49" s="487"/>
      <c r="K49" s="487"/>
      <c r="L49" s="487"/>
      <c r="M49" s="472"/>
      <c r="N49" s="486"/>
      <c r="O49" s="486"/>
      <c r="P49" s="472"/>
      <c r="Q49" s="472"/>
      <c r="R49" s="472"/>
      <c r="S49" s="472"/>
      <c r="T49" s="472"/>
      <c r="U49" s="472"/>
      <c r="V49" s="472"/>
    </row>
    <row r="50" spans="2:22" ht="15" customHeight="1">
      <c r="C50" s="977" t="str">
        <f>IF(Indice_index!$Z$1=1,"União Europeia","European Union")</f>
        <v>União Europeia</v>
      </c>
      <c r="D50" s="975">
        <v>0.77931732999999992</v>
      </c>
      <c r="E50" s="975">
        <v>0.88119999999999998</v>
      </c>
      <c r="F50" s="975">
        <v>0.11189797</v>
      </c>
      <c r="G50" s="975">
        <v>7.9398820000000009E-2</v>
      </c>
      <c r="H50" s="978">
        <f t="shared" si="18"/>
        <v>-29.04355637550886</v>
      </c>
      <c r="I50" s="978">
        <f t="shared" si="21"/>
        <v>-1.4136725609009216E-4</v>
      </c>
      <c r="J50" s="487"/>
      <c r="K50" s="487"/>
      <c r="L50" s="487"/>
      <c r="M50" s="472"/>
      <c r="N50" s="486"/>
      <c r="O50" s="486"/>
      <c r="P50" s="472"/>
      <c r="Q50" s="472"/>
      <c r="R50" s="472"/>
      <c r="S50" s="472"/>
      <c r="T50" s="472"/>
      <c r="U50" s="472"/>
      <c r="V50" s="472"/>
    </row>
    <row r="51" spans="2:22" ht="15" customHeight="1">
      <c r="C51" s="977" t="str">
        <f>IF(Indice_index!$Z$1=1,"Outras transferências","Other transfers")</f>
        <v>Outras transferências</v>
      </c>
      <c r="D51" s="975">
        <v>3.3962146200000003</v>
      </c>
      <c r="E51" s="975">
        <v>5.8373850000000003</v>
      </c>
      <c r="F51" s="975">
        <v>2.1408476899999997</v>
      </c>
      <c r="G51" s="975">
        <v>2.1006630700000004</v>
      </c>
      <c r="H51" s="978">
        <f t="shared" si="18"/>
        <v>-1.8770424532162464</v>
      </c>
      <c r="I51" s="978">
        <f t="shared" si="21"/>
        <v>-1.7479809368623324E-4</v>
      </c>
      <c r="J51" s="487"/>
      <c r="K51" s="487"/>
      <c r="L51" s="487"/>
      <c r="M51" s="472"/>
      <c r="N51" s="486"/>
      <c r="O51" s="486"/>
      <c r="P51" s="472"/>
      <c r="Q51" s="472"/>
      <c r="R51" s="472"/>
      <c r="S51" s="472"/>
      <c r="T51" s="472"/>
      <c r="U51" s="472"/>
      <c r="V51" s="472"/>
    </row>
    <row r="52" spans="2:22" ht="15" customHeight="1">
      <c r="C52" s="974" t="str">
        <f>IF(Indice_index!$Z$1=1,"Outras despesas de capital","Other capital expenditure")</f>
        <v>Outras despesas de capital</v>
      </c>
      <c r="D52" s="975">
        <v>0</v>
      </c>
      <c r="E52" s="975">
        <v>0</v>
      </c>
      <c r="F52" s="975">
        <v>0</v>
      </c>
      <c r="G52" s="975">
        <v>0</v>
      </c>
      <c r="H52" s="978" t="str">
        <f t="shared" si="18"/>
        <v>-</v>
      </c>
      <c r="I52" s="978">
        <f t="shared" si="21"/>
        <v>0</v>
      </c>
      <c r="J52" s="487"/>
      <c r="K52" s="487"/>
      <c r="L52" s="487"/>
      <c r="M52" s="472"/>
      <c r="N52" s="486"/>
      <c r="O52" s="486"/>
      <c r="P52" s="472"/>
      <c r="Q52" s="472"/>
      <c r="R52" s="472"/>
      <c r="S52" s="472"/>
      <c r="T52" s="472"/>
      <c r="U52" s="472"/>
      <c r="V52" s="472"/>
    </row>
    <row r="53" spans="2:22" ht="4.5" customHeight="1">
      <c r="C53" s="974"/>
      <c r="D53" s="978"/>
      <c r="E53" s="978"/>
      <c r="F53" s="978"/>
      <c r="G53" s="978"/>
      <c r="H53" s="978"/>
      <c r="I53" s="978"/>
      <c r="J53" s="487"/>
      <c r="K53" s="487"/>
      <c r="L53" s="487"/>
      <c r="M53" s="493"/>
      <c r="N53" s="486"/>
      <c r="O53" s="486"/>
      <c r="P53" s="472"/>
      <c r="Q53" s="472"/>
      <c r="R53" s="472"/>
      <c r="S53" s="472"/>
      <c r="T53" s="472"/>
      <c r="U53" s="472"/>
      <c r="V53" s="472"/>
    </row>
    <row r="54" spans="2:22" s="480" customFormat="1" ht="15" customHeight="1">
      <c r="C54" s="981" t="str">
        <f>IF(Indice_index!$Z$1=1,"Despesa efetiva","Effective Expenditure")</f>
        <v>Despesa efetiva</v>
      </c>
      <c r="D54" s="982">
        <f t="shared" ref="D54:E54" si="27">+D45+D31</f>
        <v>31238.276845639997</v>
      </c>
      <c r="E54" s="982">
        <f t="shared" si="27"/>
        <v>31012.808222000003</v>
      </c>
      <c r="F54" s="982">
        <f t="shared" ref="F54:G54" si="28">+F45+F31</f>
        <v>22989.163756060003</v>
      </c>
      <c r="G54" s="982">
        <f t="shared" si="28"/>
        <v>21961.987746560004</v>
      </c>
      <c r="H54" s="982">
        <f t="shared" ref="H54" si="29">IF(IFERROR((G54-F54)/F54*100,"")&gt;500,"-",IFERROR((G54-F54)/F54*100,""))</f>
        <v>-4.4680877495129971</v>
      </c>
      <c r="I54" s="982"/>
      <c r="J54" s="484"/>
      <c r="K54" s="484"/>
      <c r="L54" s="484"/>
      <c r="M54" s="479"/>
      <c r="N54" s="486"/>
      <c r="O54" s="486"/>
      <c r="P54" s="479"/>
      <c r="Q54" s="479"/>
      <c r="R54" s="479"/>
      <c r="S54" s="479"/>
      <c r="T54" s="479"/>
      <c r="U54" s="479"/>
      <c r="V54" s="479"/>
    </row>
    <row r="55" spans="2:22" ht="4.5" customHeight="1">
      <c r="C55" s="983"/>
      <c r="D55" s="168"/>
      <c r="E55" s="168"/>
      <c r="F55" s="168"/>
      <c r="G55" s="168"/>
      <c r="H55" s="984"/>
      <c r="I55" s="978"/>
      <c r="J55" s="487"/>
      <c r="K55" s="487"/>
      <c r="L55" s="487"/>
      <c r="N55" s="486"/>
      <c r="O55" s="486"/>
      <c r="P55" s="493"/>
      <c r="Q55" s="493"/>
      <c r="R55" s="493"/>
      <c r="S55" s="472"/>
      <c r="T55" s="472"/>
      <c r="U55" s="472"/>
      <c r="V55" s="472"/>
    </row>
    <row r="56" spans="2:22" s="480" customFormat="1" ht="15" customHeight="1">
      <c r="C56" s="985" t="str">
        <f>IF(Indice_index!$Z$1=1,"Saldo global","Overall Balance")</f>
        <v>Saldo global</v>
      </c>
      <c r="D56" s="986">
        <f t="shared" ref="D56:G56" si="30">+D29-D54</f>
        <v>2328.2650340600048</v>
      </c>
      <c r="E56" s="986">
        <f t="shared" ref="E56" si="31">+E29-E54</f>
        <v>2596.0109849999972</v>
      </c>
      <c r="F56" s="986">
        <f>+F29-F54</f>
        <v>449.15950484999485</v>
      </c>
      <c r="G56" s="986">
        <f t="shared" si="30"/>
        <v>2897.7500813499901</v>
      </c>
      <c r="H56" s="986"/>
      <c r="I56" s="986"/>
      <c r="J56" s="494"/>
      <c r="K56" s="495"/>
      <c r="L56" s="484"/>
      <c r="N56" s="486"/>
      <c r="O56" s="486"/>
      <c r="P56" s="479"/>
      <c r="Q56" s="479"/>
      <c r="R56" s="479"/>
      <c r="S56" s="479"/>
      <c r="T56" s="479"/>
      <c r="U56" s="479"/>
      <c r="V56" s="479"/>
    </row>
    <row r="57" spans="2:22" ht="8.25" customHeight="1">
      <c r="B57" s="472"/>
      <c r="C57" s="987"/>
      <c r="D57" s="168"/>
      <c r="E57" s="168"/>
      <c r="F57" s="168"/>
      <c r="G57" s="168"/>
      <c r="H57" s="976"/>
      <c r="I57" s="988"/>
      <c r="J57" s="487"/>
      <c r="K57" s="487"/>
      <c r="L57" s="487"/>
      <c r="N57" s="486"/>
      <c r="O57" s="486"/>
    </row>
    <row r="58" spans="2:22" ht="15" customHeight="1">
      <c r="B58" s="472"/>
      <c r="C58" s="989" t="str">
        <f>IF(Indice_index!$Z$1=1,"Despesa  primária","Primary Expenditure")</f>
        <v>Despesa  primária</v>
      </c>
      <c r="D58" s="990">
        <f t="shared" ref="D58:E58" si="32">+D54-D37</f>
        <v>31231.769790899998</v>
      </c>
      <c r="E58" s="990">
        <f t="shared" si="32"/>
        <v>31002.445415000002</v>
      </c>
      <c r="F58" s="990">
        <f t="shared" ref="F58:G58" si="33">+F54-F37</f>
        <v>22984.270232080002</v>
      </c>
      <c r="G58" s="990">
        <f t="shared" si="33"/>
        <v>21956.837743680004</v>
      </c>
      <c r="H58" s="979">
        <f t="shared" ref="H58" si="34">IF(IFERROR((G58-F58)/F58*100,"")&gt;500,"-",IFERROR((G58-F58)/F58*100,""))</f>
        <v>-4.4701549278078545</v>
      </c>
      <c r="I58" s="978"/>
      <c r="J58" s="487"/>
      <c r="K58" s="487"/>
      <c r="L58" s="487"/>
      <c r="N58" s="486"/>
      <c r="O58" s="486"/>
    </row>
    <row r="59" spans="2:22" ht="15" customHeight="1">
      <c r="B59" s="472"/>
      <c r="C59" s="989" t="str">
        <f>IF(Indice_index!$Z$1=1,"Saldo primário","Primary balance")</f>
        <v>Saldo primário</v>
      </c>
      <c r="D59" s="990">
        <f t="shared" ref="D59:E59" si="35">+D56+D37</f>
        <v>2334.7720888000049</v>
      </c>
      <c r="E59" s="990">
        <f t="shared" si="35"/>
        <v>2606.3737919999971</v>
      </c>
      <c r="F59" s="990">
        <f t="shared" ref="F59:G59" si="36">+F56+F37</f>
        <v>454.05302882999484</v>
      </c>
      <c r="G59" s="990">
        <f t="shared" si="36"/>
        <v>2902.9000842299902</v>
      </c>
      <c r="H59" s="979"/>
      <c r="I59" s="979"/>
      <c r="J59" s="487"/>
      <c r="K59" s="487"/>
      <c r="L59" s="487"/>
      <c r="N59" s="486"/>
      <c r="O59" s="486"/>
    </row>
    <row r="60" spans="2:22" ht="15" customHeight="1">
      <c r="B60" s="472"/>
      <c r="C60" s="989" t="str">
        <f>IF(Indice_index!$Z$1=1,"Saldo corrente","Current balance")</f>
        <v>Saldo corrente</v>
      </c>
      <c r="D60" s="990">
        <f t="shared" ref="D60:E60" si="37">+D8-D31</f>
        <v>2370.1762771700087</v>
      </c>
      <c r="E60" s="990">
        <f t="shared" si="37"/>
        <v>2690.4053229999954</v>
      </c>
      <c r="F60" s="990">
        <f t="shared" ref="F60:G60" si="38">+F8-F31</f>
        <v>471.58276851999835</v>
      </c>
      <c r="G60" s="990">
        <f t="shared" si="38"/>
        <v>2920.0262939699896</v>
      </c>
      <c r="H60" s="979"/>
      <c r="I60" s="979"/>
      <c r="J60" s="487"/>
      <c r="K60" s="487"/>
      <c r="L60" s="487"/>
      <c r="N60" s="486"/>
      <c r="O60" s="486"/>
    </row>
    <row r="61" spans="2:22" ht="15" customHeight="1">
      <c r="B61" s="472"/>
      <c r="C61" s="989" t="str">
        <f>IF(Indice_index!$Z$1=1,"Saldo de capital","Capital balance")</f>
        <v>Saldo de capital</v>
      </c>
      <c r="D61" s="990">
        <f t="shared" ref="D61:E61" si="39">+D20-D45</f>
        <v>-41.911243110000008</v>
      </c>
      <c r="E61" s="990">
        <f t="shared" si="39"/>
        <v>-94.394338000000005</v>
      </c>
      <c r="F61" s="990">
        <f>+F20-F45</f>
        <v>-22.423263669999997</v>
      </c>
      <c r="G61" s="990">
        <f t="shared" ref="G61" si="40">+G20-G45</f>
        <v>-22.276212620000003</v>
      </c>
      <c r="H61" s="979"/>
      <c r="I61" s="979"/>
      <c r="J61" s="487"/>
      <c r="K61" s="487"/>
      <c r="L61" s="487"/>
      <c r="N61" s="486"/>
      <c r="O61" s="486"/>
    </row>
    <row r="62" spans="2:22" ht="4.5" customHeight="1">
      <c r="B62" s="472"/>
      <c r="C62" s="989"/>
      <c r="D62" s="975"/>
      <c r="E62" s="975"/>
      <c r="F62" s="975"/>
      <c r="G62" s="975"/>
      <c r="H62" s="976"/>
      <c r="I62" s="988"/>
      <c r="J62" s="487"/>
      <c r="K62" s="487"/>
      <c r="L62" s="487"/>
      <c r="N62" s="486"/>
      <c r="O62" s="486"/>
    </row>
    <row r="63" spans="2:22" ht="15" customHeight="1">
      <c r="B63" s="472"/>
      <c r="C63" s="989" t="str">
        <f>IF(Indice_index!$Z$1=1,"Ativos financeiros líquidos de reembolsos","Financial assets net of reimbursements")</f>
        <v>Ativos financeiros líquidos de reembolsos</v>
      </c>
      <c r="D63" s="975">
        <v>4376.8330583500019</v>
      </c>
      <c r="E63" s="975">
        <v>451.730343</v>
      </c>
      <c r="F63" s="975">
        <v>1795.3109144699965</v>
      </c>
      <c r="G63" s="975">
        <v>-131.19023186000061</v>
      </c>
      <c r="H63" s="976"/>
      <c r="I63" s="988"/>
      <c r="J63" s="487"/>
      <c r="K63" s="487"/>
      <c r="L63" s="487"/>
      <c r="N63" s="486"/>
      <c r="O63" s="486"/>
    </row>
    <row r="64" spans="2:22" ht="15" customHeight="1">
      <c r="B64" s="472"/>
      <c r="C64" s="987" t="str">
        <f>IF(Indice_index!$Z$1=1,"dos quais Receitas de:","of which revenue from:")</f>
        <v>dos quais Receitas de:</v>
      </c>
      <c r="D64" s="975"/>
      <c r="E64" s="975"/>
      <c r="F64" s="975"/>
      <c r="G64" s="975"/>
      <c r="H64" s="976"/>
      <c r="I64" s="988"/>
      <c r="J64" s="487"/>
      <c r="K64" s="487"/>
      <c r="L64" s="487"/>
      <c r="N64" s="486"/>
      <c r="O64" s="486"/>
    </row>
    <row r="65" spans="2:18" ht="15" hidden="1" customHeight="1">
      <c r="C65" s="991" t="str">
        <f>IF(Indice_index!$Z$1=1,"Alienação de partes de Capital","Disposal of Capital Shares")</f>
        <v>Alienação de partes de Capital</v>
      </c>
      <c r="D65" s="975">
        <v>0</v>
      </c>
      <c r="E65" s="975"/>
      <c r="F65" s="975">
        <v>0</v>
      </c>
      <c r="G65" s="975">
        <v>0</v>
      </c>
      <c r="H65" s="976"/>
      <c r="I65" s="988"/>
      <c r="J65" s="487"/>
      <c r="K65" s="487"/>
      <c r="L65" s="487"/>
      <c r="N65" s="486"/>
      <c r="O65" s="486"/>
    </row>
    <row r="66" spans="2:18" ht="15" customHeight="1">
      <c r="B66" s="475"/>
      <c r="C66" s="991" t="str">
        <f>IF(Indice_index!$Z$1=1,"Outros Ativos","Other Assets")</f>
        <v>Outros Ativos</v>
      </c>
      <c r="D66" s="975">
        <v>7165.9928975199991</v>
      </c>
      <c r="E66" s="975">
        <v>26677.602394000001</v>
      </c>
      <c r="F66" s="975">
        <v>6374.0457669899997</v>
      </c>
      <c r="G66" s="975">
        <v>6570.9338357799998</v>
      </c>
      <c r="H66" s="976"/>
      <c r="I66" s="988"/>
      <c r="J66" s="487"/>
      <c r="K66" s="487"/>
      <c r="L66" s="487"/>
      <c r="N66" s="486"/>
      <c r="O66" s="486"/>
    </row>
    <row r="67" spans="2:18" ht="15" customHeight="1">
      <c r="B67" s="475"/>
      <c r="C67" s="989" t="str">
        <f>IF(Indice_index!$Z$1=1,"Passivos financeiros líquidos de amortizações","Financial liabilities net of amortizations")</f>
        <v>Passivos financeiros líquidos de amortizações</v>
      </c>
      <c r="D67" s="975">
        <v>0</v>
      </c>
      <c r="E67" s="975">
        <v>-39.512804000000003</v>
      </c>
      <c r="F67" s="975">
        <v>0</v>
      </c>
      <c r="G67" s="975">
        <v>-5.8375830000000004E-2</v>
      </c>
      <c r="H67" s="978"/>
      <c r="I67" s="992"/>
      <c r="J67" s="487"/>
      <c r="K67" s="487"/>
      <c r="L67" s="487"/>
      <c r="N67" s="486"/>
      <c r="O67" s="486"/>
    </row>
    <row r="68" spans="2:18" ht="15" customHeight="1">
      <c r="B68" s="472"/>
      <c r="C68" s="971" t="str">
        <f>IF(Indice_index!$Z$1=1,"Poupança (+) / Utilização (-) de saldo da gerência anterior","Saving (+) / Usage (-) of balance from previous management")</f>
        <v>Poupança (+) / Utilização (-) de saldo da gerência anterior</v>
      </c>
      <c r="D68" s="993">
        <f t="shared" ref="D68:E68" si="41">+D56-D63+D67</f>
        <v>-2048.5680242899971</v>
      </c>
      <c r="E68" s="993">
        <f t="shared" si="41"/>
        <v>2104.767837999997</v>
      </c>
      <c r="F68" s="993">
        <f t="shared" ref="F68:G68" si="42">+F56-F63+F67</f>
        <v>-1346.1514096200017</v>
      </c>
      <c r="G68" s="993">
        <f t="shared" si="42"/>
        <v>3028.8819373799906</v>
      </c>
      <c r="H68" s="994"/>
      <c r="I68" s="995"/>
      <c r="J68" s="487"/>
      <c r="K68" s="487"/>
      <c r="L68" s="487"/>
      <c r="N68" s="486"/>
      <c r="O68" s="486"/>
    </row>
    <row r="69" spans="2:18" s="123" customFormat="1" ht="4.5" customHeight="1">
      <c r="C69" s="928"/>
      <c r="D69" s="928"/>
      <c r="E69" s="928"/>
      <c r="F69" s="929"/>
      <c r="G69" s="929"/>
      <c r="H69" s="928"/>
      <c r="I69" s="928"/>
      <c r="J69" s="466"/>
      <c r="K69" s="111"/>
    </row>
    <row r="70" spans="2:18" s="123" customFormat="1" ht="15" customHeight="1">
      <c r="C70" s="996" t="str">
        <f>IF(Indice_index!$Z$1=1,"Notas:","Notes:")</f>
        <v>Notas:</v>
      </c>
      <c r="D70" s="996"/>
      <c r="E70" s="996"/>
      <c r="F70" s="929"/>
      <c r="G70" s="929"/>
      <c r="H70" s="928"/>
      <c r="I70" s="928"/>
      <c r="J70" s="466"/>
      <c r="K70" s="111"/>
    </row>
    <row r="71" spans="2:18" s="96" customFormat="1" ht="15" customHeight="1">
      <c r="C71" s="1714" t="str">
        <f>IF(Indice_index!$Z$1=1,"Valores consolidados - são excluídas transferências intra-setoriais.","Consolidated data - transfers within the subsector are excluded.")</f>
        <v>Valores consolidados - são excluídas transferências intra-setoriais.</v>
      </c>
      <c r="D71" s="1714"/>
      <c r="E71" s="1714"/>
      <c r="F71" s="1714"/>
      <c r="G71" s="1714"/>
      <c r="H71" s="1714"/>
      <c r="I71" s="1714"/>
      <c r="J71" s="111"/>
      <c r="K71" s="111"/>
    </row>
    <row r="72" spans="2:18" s="123" customFormat="1" ht="13.5" customHeight="1">
      <c r="C72" s="1714"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14"/>
      <c r="E72" s="1714"/>
      <c r="F72" s="1714"/>
      <c r="G72" s="1714"/>
      <c r="H72" s="1714"/>
      <c r="I72" s="1714"/>
      <c r="J72" s="464"/>
      <c r="K72" s="135"/>
    </row>
    <row r="73" spans="2:18" s="22" customFormat="1" ht="12.75" customHeight="1">
      <c r="C73" s="1710" t="str">
        <f>+'5 - Conta AC + SS'!$C$64</f>
        <v>Os dados de 2021 são mensalmente revistos e atualizados face ao publicado nas Sínteses de Execução Orçamental de 2021.</v>
      </c>
      <c r="D73" s="1710"/>
      <c r="E73" s="1710"/>
      <c r="F73" s="1710"/>
      <c r="G73" s="1710"/>
      <c r="H73" s="1710"/>
      <c r="I73" s="1710"/>
      <c r="J73" s="62"/>
      <c r="Q73" s="24"/>
      <c r="R73" s="24"/>
    </row>
    <row r="74" spans="2:18" s="123" customFormat="1" ht="4.5" customHeight="1">
      <c r="C74" s="928"/>
      <c r="D74" s="928"/>
      <c r="E74" s="928"/>
      <c r="F74" s="929"/>
      <c r="G74" s="997"/>
      <c r="H74" s="928"/>
      <c r="I74" s="928"/>
      <c r="J74" s="466"/>
      <c r="K74" s="466"/>
    </row>
    <row r="75" spans="2:18" ht="15" customHeight="1">
      <c r="C75" s="928" t="str">
        <f>IF(Indice_index!$Z$1=1,"Fonte: Instituto de Gestão Financeira da Segurança Social, I.P.","Souce: Social Security Finance Management Institute")</f>
        <v>Fonte: Instituto de Gestão Financeira da Segurança Social, I.P.</v>
      </c>
      <c r="D75" s="928"/>
      <c r="E75" s="928"/>
      <c r="F75" s="168"/>
      <c r="G75" s="998"/>
      <c r="H75" s="928"/>
      <c r="I75" s="928"/>
      <c r="J75" s="466"/>
      <c r="K75" s="466"/>
    </row>
    <row r="76" spans="2:18" ht="12.75" customHeight="1">
      <c r="C76" s="624"/>
      <c r="D76" s="624"/>
      <c r="E76" s="624"/>
      <c r="F76" s="999"/>
      <c r="G76" s="137"/>
      <c r="H76" s="625"/>
      <c r="I76" s="626"/>
    </row>
    <row r="77" spans="2:18" ht="12.75" customHeight="1">
      <c r="C77" s="624"/>
      <c r="D77" s="624"/>
      <c r="E77" s="624"/>
      <c r="F77" s="622"/>
      <c r="G77" s="622"/>
      <c r="H77" s="625"/>
      <c r="I77" s="626"/>
    </row>
    <row r="78" spans="2:18" ht="12.75" customHeight="1">
      <c r="F78" s="514"/>
      <c r="G78" s="514"/>
    </row>
    <row r="79" spans="2:18" ht="12.75" customHeight="1">
      <c r="F79" s="514"/>
      <c r="G79" s="514"/>
    </row>
    <row r="80" spans="2:18" ht="12.75" customHeight="1"/>
    <row r="81" spans="6:9" ht="12.75" customHeight="1">
      <c r="F81" s="514"/>
      <c r="G81" s="514"/>
    </row>
    <row r="82" spans="6:9" ht="12.75" customHeight="1">
      <c r="F82" s="514"/>
      <c r="G82" s="514"/>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497"/>
      <c r="G91" s="497"/>
      <c r="I91" s="478"/>
    </row>
    <row r="92" spans="6:9" ht="12.75" customHeight="1">
      <c r="F92" s="497"/>
      <c r="G92" s="497"/>
      <c r="I92" s="478"/>
    </row>
    <row r="93" spans="6:9" ht="12.75" customHeight="1">
      <c r="F93" s="478"/>
      <c r="G93" s="478"/>
      <c r="H93" s="496"/>
      <c r="I93" s="496"/>
    </row>
    <row r="94" spans="6:9" ht="12.75" customHeight="1"/>
    <row r="95" spans="6:9" ht="12.75" customHeight="1"/>
    <row r="96" spans="6:9" ht="12.75" customHeight="1">
      <c r="F96" s="478"/>
      <c r="G96" s="478"/>
      <c r="H96" s="496"/>
      <c r="I96" s="496"/>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6" customWidth="1"/>
    <col min="2" max="2" width="4.453125" style="136" customWidth="1"/>
    <col min="3" max="3" width="40.54296875" style="136" customWidth="1"/>
    <col min="4" max="5" width="8.1796875" style="136" customWidth="1"/>
    <col min="6" max="6" width="7.54296875" style="136" customWidth="1"/>
    <col min="7" max="7" width="8.1796875" style="136" customWidth="1"/>
    <col min="8" max="8" width="8.54296875" style="136" customWidth="1"/>
    <col min="9" max="9" width="8.54296875" style="366" customWidth="1"/>
    <col min="10" max="10" width="7.81640625" style="366" customWidth="1"/>
    <col min="11" max="11" width="8" style="366" customWidth="1"/>
    <col min="12" max="12" width="7.1796875" style="366" customWidth="1"/>
    <col min="13" max="13" width="8.54296875" style="4" customWidth="1"/>
    <col min="14" max="14" width="8.54296875" style="136" customWidth="1"/>
    <col min="15" max="15" width="9.1796875" style="246" customWidth="1"/>
    <col min="16" max="16" width="11" style="246" bestFit="1" customWidth="1"/>
    <col min="17" max="17" width="5.54296875" style="136" customWidth="1"/>
    <col min="18" max="18" width="10.453125" style="136" bestFit="1" customWidth="1"/>
    <col min="19" max="19" width="3.54296875" style="136" customWidth="1"/>
    <col min="20" max="20" width="3.1796875" style="136" customWidth="1"/>
    <col min="21" max="21" width="3.54296875" style="136" customWidth="1"/>
    <col min="22" max="23" width="12.54296875" style="136" bestFit="1" customWidth="1"/>
    <col min="24" max="24" width="3.54296875" style="136" customWidth="1"/>
    <col min="25" max="16384" width="9.179687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803" t="str">
        <f>+'5 - Conta AC + SS'!C5</f>
        <v>Período: janeiro a setembro</v>
      </c>
      <c r="D5" s="1342"/>
      <c r="E5" s="1342"/>
      <c r="F5" s="1343"/>
      <c r="G5" s="1343"/>
      <c r="H5" s="1343"/>
      <c r="I5" s="1343"/>
      <c r="J5" s="1343"/>
      <c r="K5" s="1116"/>
      <c r="L5" s="1116"/>
      <c r="M5" s="1116" t="str">
        <f>IF(Indice_index!$Z$1=1,"€ Milhões","€ Millions")</f>
        <v>€ Milhões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344"/>
      <c r="D6" s="1718" t="str">
        <f>IF(Indice_index!$Z$1=1,"R. Autónoma dos Açores","Azores Autonomous Region")</f>
        <v>R. Autónoma dos Açores</v>
      </c>
      <c r="E6" s="1719"/>
      <c r="F6" s="1720"/>
      <c r="G6" s="1718" t="str">
        <f>IF(Indice_index!$Z$1=1,"R. Autónoma da Madeira","Madeira Autonomous Region")</f>
        <v>R. Autónoma da Madeira</v>
      </c>
      <c r="H6" s="1719"/>
      <c r="I6" s="1720"/>
      <c r="J6" s="1345" t="str">
        <f>IF(Indice_index!$Z$1=1,"Administração Regional","Regional Government")</f>
        <v>Administração Regional</v>
      </c>
      <c r="K6" s="1346"/>
      <c r="L6" s="1346"/>
      <c r="M6" s="1346"/>
      <c r="N6" s="383"/>
      <c r="Q6" s="138"/>
      <c r="R6" s="139"/>
      <c r="S6" s="140"/>
      <c r="T6" s="140"/>
      <c r="U6" s="140"/>
      <c r="V6" s="141"/>
      <c r="W6" s="142"/>
      <c r="X6" s="142"/>
      <c r="Y6" s="140"/>
      <c r="Z6" s="140"/>
      <c r="AA6" s="140"/>
      <c r="AB6" s="138"/>
      <c r="AC6" s="138"/>
      <c r="AD6" s="138"/>
      <c r="AE6" s="138"/>
      <c r="AF6" s="138"/>
      <c r="AG6" s="138"/>
    </row>
    <row r="7" spans="2:33" ht="21.75" customHeight="1">
      <c r="C7" s="1347"/>
      <c r="D7" s="1716" t="str">
        <f>IF(Indice_index!$Z$1=1,"Execução Acumulada","Accumulated Execution")</f>
        <v>Execução Acumulada</v>
      </c>
      <c r="E7" s="1717"/>
      <c r="F7" s="1721"/>
      <c r="G7" s="1716" t="str">
        <f>IF(Indice_index!$Z$1=1,"Execução Acumulada","Accumulated Execution")</f>
        <v>Execução Acumulada</v>
      </c>
      <c r="H7" s="1717"/>
      <c r="I7" s="1721"/>
      <c r="J7" s="1716" t="str">
        <f>IF(Indice_index!$Z$1=1,"Execução Acumulada","Accumulated Execution")</f>
        <v>Execução Acumulada</v>
      </c>
      <c r="K7" s="1717"/>
      <c r="L7" s="1717"/>
      <c r="M7" s="1717"/>
      <c r="N7" s="383"/>
      <c r="Q7" s="1715"/>
      <c r="R7" s="1715"/>
      <c r="S7" s="143"/>
      <c r="T7" s="143"/>
      <c r="U7" s="143"/>
      <c r="V7" s="143"/>
      <c r="W7" s="1715"/>
      <c r="X7" s="1715"/>
      <c r="Y7" s="143"/>
      <c r="Z7" s="143"/>
      <c r="AA7" s="143"/>
      <c r="AB7" s="138"/>
      <c r="AC7" s="138"/>
      <c r="AD7" s="138"/>
      <c r="AE7" s="138"/>
      <c r="AF7" s="138"/>
      <c r="AG7" s="138"/>
    </row>
    <row r="8" spans="2:33" ht="30.75" customHeight="1">
      <c r="C8" s="1348"/>
      <c r="D8" s="1349">
        <v>2021</v>
      </c>
      <c r="E8" s="1350">
        <v>2022</v>
      </c>
      <c r="F8" s="1351" t="str">
        <f>IF(Indice_index!$Z$1=1,"TVH (%)","YOY Change Rate (%)")</f>
        <v>TVH (%)</v>
      </c>
      <c r="G8" s="1352">
        <v>2021</v>
      </c>
      <c r="H8" s="1350">
        <v>2022</v>
      </c>
      <c r="I8" s="1351" t="str">
        <f>IF(Indice_index!$Z$1=1,"TVH (%)","YOY Change Rate (%)")</f>
        <v>TVH (%)</v>
      </c>
      <c r="J8" s="1349">
        <v>2021</v>
      </c>
      <c r="K8" s="1350">
        <v>2022</v>
      </c>
      <c r="L8" s="1351" t="str">
        <f>IF(Indice_index!$Z$1=1,"TVH (%)","YOY Change Rate (%)")</f>
        <v>TVH (%)</v>
      </c>
      <c r="M8" s="1353" t="str">
        <f>IF(Indice_index!$Z$1=1,"Contributo VH (p.p.)","YOY Change Contrib. (p.p.)")</f>
        <v>Contributo VH (p.p.)</v>
      </c>
      <c r="N8" s="383"/>
      <c r="Q8" s="144"/>
      <c r="R8" s="145"/>
      <c r="S8" s="146"/>
      <c r="T8" s="146"/>
      <c r="U8" s="146"/>
      <c r="V8" s="146"/>
      <c r="W8" s="144"/>
      <c r="X8" s="145"/>
      <c r="Y8" s="146"/>
      <c r="Z8" s="146"/>
      <c r="AA8" s="146"/>
      <c r="AB8" s="138"/>
      <c r="AC8" s="138"/>
      <c r="AD8" s="138"/>
      <c r="AE8" s="138"/>
      <c r="AF8" s="138"/>
      <c r="AG8" s="138"/>
    </row>
    <row r="9" spans="2:33" s="298" customFormat="1" ht="15" customHeight="1">
      <c r="C9" s="1354" t="str">
        <f>IF(Indice_index!$Z$1=1,"Receita corrente","Current revenue")</f>
        <v>Receita corrente</v>
      </c>
      <c r="D9" s="1355">
        <v>841.65054215999999</v>
      </c>
      <c r="E9" s="1355">
        <v>753.42573285000003</v>
      </c>
      <c r="F9" s="301">
        <f>IFERROR(IF(ABS((E9-D9)/D9)*100&gt;500,"n.r",((E9-D9)/D9)*100),0)</f>
        <v>-10.482356380782582</v>
      </c>
      <c r="G9" s="1355">
        <v>787.91607132000001</v>
      </c>
      <c r="H9" s="1355">
        <v>913.89823264999995</v>
      </c>
      <c r="I9" s="301">
        <f>IFERROR(IF(ABS((H9-G9)/G9)*100&gt;500,"n.r",((H9-G9)/G9)*100),0)</f>
        <v>15.989286919727547</v>
      </c>
      <c r="J9" s="1355">
        <v>1629.5666134799999</v>
      </c>
      <c r="K9" s="1355">
        <v>1666.5780059400004</v>
      </c>
      <c r="L9" s="301">
        <f>IFERROR(IF(ABS((K9-J9)/J9)*100&gt;500,"n.r",((K9-J9)/J9)*100),0)</f>
        <v>2.2712414548651854</v>
      </c>
      <c r="M9" s="301">
        <f t="shared" ref="M9:M21" si="0">IFERROR((K9-J9)/$J$35*100,"-")</f>
        <v>2.0119006010982687</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356" t="str">
        <f>IF(Indice_index!$Z$1=1,"Receita Fiscal","Tax revenue")</f>
        <v>Receita Fiscal</v>
      </c>
      <c r="D10" s="1357">
        <v>517.88058526999998</v>
      </c>
      <c r="E10" s="1357">
        <v>537.26352139000005</v>
      </c>
      <c r="F10" s="1305">
        <f t="shared" ref="F10:F58" si="1">IFERROR(IF(ABS((E10-D10)/D10)*100&gt;500,"n.r",((E10-D10)/D10)*100),0)</f>
        <v>3.7427423756182452</v>
      </c>
      <c r="G10" s="1357">
        <v>577.70381270999997</v>
      </c>
      <c r="H10" s="1357">
        <v>675.95898413999998</v>
      </c>
      <c r="I10" s="1305">
        <f t="shared" ref="I10:I58" si="2">IFERROR(IF(ABS((H10-G10)/G10)*100&gt;500,"n.r",((H10-G10)/G10)*100),0)</f>
        <v>17.00788003615321</v>
      </c>
      <c r="J10" s="1357">
        <v>1095.5843979799999</v>
      </c>
      <c r="K10" s="1357">
        <v>1213.22250553</v>
      </c>
      <c r="L10" s="1305">
        <f t="shared" ref="L10:L58" si="3">IFERROR(IF(ABS((K10-J10)/J10)*100&gt;500,"n.r",((K10-J10)/J10)*100),0)</f>
        <v>10.73747561273208</v>
      </c>
      <c r="M10" s="1305">
        <f t="shared" si="0"/>
        <v>6.3946845433522208</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309" t="str">
        <f>IF(Indice_index!$Z$1=1,"Impostos diretos","Direct taxes")</f>
        <v>Impostos diretos</v>
      </c>
      <c r="D11" s="1357">
        <v>158.91640999000001</v>
      </c>
      <c r="E11" s="1357">
        <v>159.60024138</v>
      </c>
      <c r="F11" s="1305">
        <f t="shared" si="1"/>
        <v>0.43030885862764295</v>
      </c>
      <c r="G11" s="1357">
        <v>160.02977068000001</v>
      </c>
      <c r="H11" s="1357">
        <v>216.32343309999999</v>
      </c>
      <c r="I11" s="1305">
        <f t="shared" si="2"/>
        <v>35.17699374359934</v>
      </c>
      <c r="J11" s="1357">
        <v>318.94618066999999</v>
      </c>
      <c r="K11" s="1357">
        <v>375.92367447999999</v>
      </c>
      <c r="L11" s="1305">
        <f t="shared" si="3"/>
        <v>17.864297258650101</v>
      </c>
      <c r="M11" s="1305">
        <f t="shared" si="0"/>
        <v>3.0972369972110587</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309" t="str">
        <f>IF(Indice_index!$Z$1=1,"Impostos indiretos","Indirect taxes")</f>
        <v>Impostos indiretos</v>
      </c>
      <c r="D12" s="1357">
        <v>358.96417527999995</v>
      </c>
      <c r="E12" s="1357">
        <v>377.66328000999999</v>
      </c>
      <c r="F12" s="1305">
        <f t="shared" si="1"/>
        <v>5.2091840962720948</v>
      </c>
      <c r="G12" s="1357">
        <v>417.67404202999995</v>
      </c>
      <c r="H12" s="1357">
        <v>459.63555103999994</v>
      </c>
      <c r="I12" s="1305">
        <f t="shared" si="2"/>
        <v>10.046472796359716</v>
      </c>
      <c r="J12" s="1358">
        <v>776.63821730999985</v>
      </c>
      <c r="K12" s="1358">
        <v>837.29883104999999</v>
      </c>
      <c r="L12" s="1305">
        <f t="shared" si="3"/>
        <v>7.8106655567513865</v>
      </c>
      <c r="M12" s="1305">
        <f t="shared" si="0"/>
        <v>3.2974475461411656</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770" t="str">
        <f>IF(Indice_index!$Z$1=1,"Contribuições para Segurança Social, CGA e ADSE","Social security, CGA and ADSE contributions")</f>
        <v>Contribuições para Segurança Social, CGA e ADSE</v>
      </c>
      <c r="D13" s="1357">
        <v>0</v>
      </c>
      <c r="E13" s="1357">
        <v>0</v>
      </c>
      <c r="F13" s="1305">
        <f t="shared" si="1"/>
        <v>0</v>
      </c>
      <c r="G13" s="1357">
        <v>0</v>
      </c>
      <c r="H13" s="1357">
        <v>0</v>
      </c>
      <c r="I13" s="1305">
        <f t="shared" si="2"/>
        <v>0</v>
      </c>
      <c r="J13" s="1357">
        <v>0</v>
      </c>
      <c r="K13" s="1357">
        <v>0</v>
      </c>
      <c r="L13" s="1305">
        <f t="shared" si="3"/>
        <v>0</v>
      </c>
      <c r="M13" s="1305">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356" t="str">
        <f>IF(Indice_index!$Z$1=1,"Transferências correntes","Current transfers")</f>
        <v>Transferências correntes</v>
      </c>
      <c r="D14" s="1357">
        <v>206.10014640999992</v>
      </c>
      <c r="E14" s="1357">
        <v>175.24558926999998</v>
      </c>
      <c r="F14" s="1305">
        <f t="shared" si="1"/>
        <v>-14.970662407303795</v>
      </c>
      <c r="G14" s="1357">
        <v>161.25574473000006</v>
      </c>
      <c r="H14" s="1357">
        <v>164.36644473000007</v>
      </c>
      <c r="I14" s="1305">
        <f t="shared" si="2"/>
        <v>1.9290475543729841</v>
      </c>
      <c r="J14" s="1357">
        <v>367.35589113999998</v>
      </c>
      <c r="K14" s="1357">
        <v>339.61203400000005</v>
      </c>
      <c r="L14" s="1305">
        <f t="shared" si="3"/>
        <v>-7.5523103914037133</v>
      </c>
      <c r="M14" s="1305">
        <f t="shared" si="0"/>
        <v>-1.5081270697144056</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309" t="str">
        <f>IF(Indice_index!$Z$1=1,"Administração Central","Central Administration")</f>
        <v>Administração Central</v>
      </c>
      <c r="D15" s="1357">
        <v>155.13565822000001</v>
      </c>
      <c r="E15" s="1357">
        <v>143.31943974999999</v>
      </c>
      <c r="F15" s="1305">
        <f t="shared" si="1"/>
        <v>-7.6167005094620359</v>
      </c>
      <c r="G15" s="1357">
        <v>140.16837369000001</v>
      </c>
      <c r="H15" s="1357">
        <v>131.10474350999999</v>
      </c>
      <c r="I15" s="1305">
        <f t="shared" si="2"/>
        <v>-6.4662448035855622</v>
      </c>
      <c r="J15" s="1357">
        <v>295.30403191000005</v>
      </c>
      <c r="K15" s="1357">
        <v>274.42418325999995</v>
      </c>
      <c r="L15" s="1305">
        <f t="shared" si="3"/>
        <v>-7.0706276900288509</v>
      </c>
      <c r="M15" s="1305">
        <f t="shared" si="0"/>
        <v>-1.1350067440768625</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359" t="str">
        <f>IF(Indice_index!$Z$1=1,"dos quais:","of which:")</f>
        <v>dos quais:</v>
      </c>
      <c r="D16" s="1357"/>
      <c r="E16" s="1357"/>
      <c r="F16" s="1305"/>
      <c r="G16" s="1357"/>
      <c r="H16" s="1357"/>
      <c r="I16" s="1305"/>
      <c r="J16" s="1357"/>
      <c r="K16" s="1357"/>
      <c r="L16" s="1305"/>
      <c r="M16" s="1305"/>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941" t="str">
        <f>IF(Indice_index!$Z$1=1,"Transferências do OE","State Budget tranfers")</f>
        <v>Transferências do OE</v>
      </c>
      <c r="D17" s="1357">
        <v>153.62353999999999</v>
      </c>
      <c r="E17" s="1357">
        <v>141.08314375999998</v>
      </c>
      <c r="F17" s="1305">
        <f t="shared" si="1"/>
        <v>-8.1630694358429743</v>
      </c>
      <c r="G17" s="1357">
        <v>140.16837369000001</v>
      </c>
      <c r="H17" s="1357">
        <v>131.10444351000001</v>
      </c>
      <c r="I17" s="1305">
        <f t="shared" si="2"/>
        <v>-6.4664588318945766</v>
      </c>
      <c r="J17" s="1357">
        <v>293.79191369</v>
      </c>
      <c r="K17" s="1357">
        <v>272.18758726999999</v>
      </c>
      <c r="L17" s="1305">
        <f t="shared" si="3"/>
        <v>-7.3536150633458934</v>
      </c>
      <c r="M17" s="1305">
        <f>(K17-J17)/J15*100</f>
        <v>-7.3159605306656852</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309" t="str">
        <f>IF(Indice_index!$Z$1=1,"Outros subsectores das AP","Other General Government subsectors")</f>
        <v>Outros subsectores das AP</v>
      </c>
      <c r="D18" s="1357">
        <v>8.9874744999999994</v>
      </c>
      <c r="E18" s="1357">
        <v>9.163612650000001</v>
      </c>
      <c r="F18" s="1305">
        <f t="shared" si="1"/>
        <v>1.9598180779261367</v>
      </c>
      <c r="G18" s="1357">
        <v>6.9915082999999996</v>
      </c>
      <c r="H18" s="1357">
        <v>6.7224676400000005</v>
      </c>
      <c r="I18" s="1305">
        <f t="shared" si="2"/>
        <v>-3.8481061375554551</v>
      </c>
      <c r="J18" s="1357">
        <v>15.978982799999999</v>
      </c>
      <c r="K18" s="1357">
        <v>15.886080290000002</v>
      </c>
      <c r="L18" s="1305">
        <f t="shared" si="3"/>
        <v>-0.58140440579231678</v>
      </c>
      <c r="M18" s="1305">
        <f t="shared" si="0"/>
        <v>-5.0500833200083414E-3</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309" t="str">
        <f>IF(Indice_index!$Z$1=1,"União Europeia","European Union")</f>
        <v>União Europeia</v>
      </c>
      <c r="D19" s="1357">
        <v>31.170274989999999</v>
      </c>
      <c r="E19" s="1357">
        <v>11.990880820000001</v>
      </c>
      <c r="F19" s="1305">
        <f t="shared" si="1"/>
        <v>-61.531039351282921</v>
      </c>
      <c r="G19" s="1357">
        <v>13.953586149999998</v>
      </c>
      <c r="H19" s="1357">
        <v>26.440806610000003</v>
      </c>
      <c r="I19" s="1305">
        <f t="shared" si="2"/>
        <v>89.491119528437551</v>
      </c>
      <c r="J19" s="1357">
        <v>45.123861139999995</v>
      </c>
      <c r="K19" s="1357">
        <v>38.431687430000004</v>
      </c>
      <c r="L19" s="1305">
        <f t="shared" si="3"/>
        <v>-14.830676145458932</v>
      </c>
      <c r="M19" s="1305">
        <f t="shared" si="0"/>
        <v>-0.36377956663894834</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309" t="str">
        <f>IF(Indice_index!$Z$1=1,"Outras transferências","Other transfers")</f>
        <v>Outras transferências</v>
      </c>
      <c r="D20" s="1357">
        <v>10.806738699999915</v>
      </c>
      <c r="E20" s="1357">
        <v>10.771656049999994</v>
      </c>
      <c r="F20" s="1305">
        <f t="shared" si="1"/>
        <v>-0.32463679352145136</v>
      </c>
      <c r="G20" s="1357">
        <v>0.1422765900000531</v>
      </c>
      <c r="H20" s="1357">
        <v>9.8426970000073055E-2</v>
      </c>
      <c r="I20" s="1305">
        <f t="shared" si="2"/>
        <v>-30.819982401858013</v>
      </c>
      <c r="J20" s="1357">
        <v>10.949015289999968</v>
      </c>
      <c r="K20" s="1357">
        <v>10.870083020000067</v>
      </c>
      <c r="L20" s="1305">
        <f t="shared" si="3"/>
        <v>-0.72090747806327871</v>
      </c>
      <c r="M20" s="1305">
        <f t="shared" si="0"/>
        <v>-4.2906756785894441E-3</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356" t="str">
        <f>IF(Indice_index!$Z$1=1,"Outras receitas correntes","Other current revenue")</f>
        <v>Outras receitas correntes</v>
      </c>
      <c r="D21" s="1357">
        <v>117.66981048000002</v>
      </c>
      <c r="E21" s="1357">
        <v>40.916622189999998</v>
      </c>
      <c r="F21" s="1305">
        <f t="shared" si="1"/>
        <v>-65.227595741768894</v>
      </c>
      <c r="G21" s="1357">
        <v>48.956513879999996</v>
      </c>
      <c r="H21" s="1357">
        <v>72.285829699999994</v>
      </c>
      <c r="I21" s="1357">
        <f t="shared" si="2"/>
        <v>47.653139431422275</v>
      </c>
      <c r="J21" s="1357">
        <v>166.62632436000001</v>
      </c>
      <c r="K21" s="1357">
        <v>113.20245188999999</v>
      </c>
      <c r="L21" s="1305">
        <f t="shared" si="3"/>
        <v>-32.062084232606914</v>
      </c>
      <c r="M21" s="1305">
        <f t="shared" si="0"/>
        <v>-2.9040658562509245</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356" t="str">
        <f>IF(Indice_index!$Z$1=1,"Diferenças de consolidação","Consolidation differences")</f>
        <v>Diferenças de consolidação</v>
      </c>
      <c r="D22" s="1357">
        <v>0</v>
      </c>
      <c r="E22" s="1357">
        <v>0</v>
      </c>
      <c r="F22" s="1305"/>
      <c r="G22" s="1357">
        <v>0</v>
      </c>
      <c r="H22" s="1357">
        <v>1.2869740799999931</v>
      </c>
      <c r="I22" s="1360"/>
      <c r="J22" s="1357">
        <v>0</v>
      </c>
      <c r="K22" s="1357">
        <v>0.54101452000020345</v>
      </c>
      <c r="L22" s="1305"/>
      <c r="M22" s="1305"/>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361" t="str">
        <f>IF(Indice_index!$Z$1=1,"Receita de capital","Capital revenue")</f>
        <v>Receita de capital</v>
      </c>
      <c r="D23" s="1362">
        <v>131.95703540999995</v>
      </c>
      <c r="E23" s="1362">
        <v>108.64020832999999</v>
      </c>
      <c r="F23" s="301">
        <f t="shared" si="1"/>
        <v>-17.670014340313802</v>
      </c>
      <c r="G23" s="1362">
        <v>78.099662510000002</v>
      </c>
      <c r="H23" s="1362">
        <v>110.34226650000001</v>
      </c>
      <c r="I23" s="301">
        <f t="shared" si="2"/>
        <v>41.283922303597173</v>
      </c>
      <c r="J23" s="1362">
        <v>210.05669791999998</v>
      </c>
      <c r="K23" s="1362">
        <v>218.98247482999997</v>
      </c>
      <c r="L23" s="301">
        <f t="shared" si="3"/>
        <v>4.2492227090989383</v>
      </c>
      <c r="M23" s="301">
        <f>IFERROR((K23-J23)/$J$35*100,"-")</f>
        <v>0.48519590150264263</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356" t="str">
        <f>IF(Indice_index!$Z$1=1,"Venda de Bens de Investimento","Sale of investment goods")</f>
        <v>Venda de Bens de Investimento</v>
      </c>
      <c r="D24" s="1357">
        <v>0.27635861000000006</v>
      </c>
      <c r="E24" s="1357">
        <v>0.25970943000000002</v>
      </c>
      <c r="F24" s="1305">
        <f t="shared" si="1"/>
        <v>-6.024483912406434</v>
      </c>
      <c r="G24" s="1357">
        <v>2.1803750200000001</v>
      </c>
      <c r="H24" s="1357">
        <v>4.5019275800000003</v>
      </c>
      <c r="I24" s="1305">
        <f t="shared" si="2"/>
        <v>106.47492008049149</v>
      </c>
      <c r="J24" s="1357">
        <v>2.45673363</v>
      </c>
      <c r="K24" s="1357">
        <v>4.7616370100000003</v>
      </c>
      <c r="L24" s="1305">
        <f t="shared" si="3"/>
        <v>93.819832636882182</v>
      </c>
      <c r="M24" s="1305">
        <f t="shared" ref="M24:M26" si="4">IFERROR((K24-J24)/$J$35*100,"-")</f>
        <v>0.1252921381087474</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356" t="str">
        <f>IF(Indice_index!$Z$1=1,"Transferências de capital","Capital transfers")</f>
        <v>Transferências de capital</v>
      </c>
      <c r="D25" s="1357">
        <v>131.46872178999996</v>
      </c>
      <c r="E25" s="1357">
        <v>108.08782726999999</v>
      </c>
      <c r="F25" s="1305">
        <f t="shared" si="1"/>
        <v>-17.784378064728713</v>
      </c>
      <c r="G25" s="1357">
        <v>75.901557409999995</v>
      </c>
      <c r="H25" s="1357">
        <v>105.79796073000001</v>
      </c>
      <c r="I25" s="1305">
        <f t="shared" si="2"/>
        <v>39.388392465397793</v>
      </c>
      <c r="J25" s="1357">
        <v>207.37027919999997</v>
      </c>
      <c r="K25" s="1357">
        <v>213.88578799999999</v>
      </c>
      <c r="L25" s="1305">
        <f t="shared" si="3"/>
        <v>3.1419684754902049</v>
      </c>
      <c r="M25" s="1305">
        <f t="shared" si="4"/>
        <v>0.35417624682313653</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309" t="str">
        <f>IF(Indice_index!$Z$1=1,"Administração Central","Central Administration")</f>
        <v>Administração Central</v>
      </c>
      <c r="D26" s="1357">
        <v>80.322067529999998</v>
      </c>
      <c r="E26" s="1357">
        <v>74.865944220000003</v>
      </c>
      <c r="F26" s="1305">
        <f t="shared" si="1"/>
        <v>-6.7928073539219511</v>
      </c>
      <c r="G26" s="1357">
        <v>36.516669350000001</v>
      </c>
      <c r="H26" s="1357">
        <v>33.279074479999998</v>
      </c>
      <c r="I26" s="1305">
        <f t="shared" si="2"/>
        <v>-8.8660738441634521</v>
      </c>
      <c r="J26" s="1357">
        <v>116.83873688</v>
      </c>
      <c r="K26" s="1357">
        <v>108.14501870000001</v>
      </c>
      <c r="L26" s="1305">
        <f t="shared" si="3"/>
        <v>-7.4407841201920313</v>
      </c>
      <c r="M26" s="1305">
        <f t="shared" si="4"/>
        <v>-0.47258143154230037</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359" t="str">
        <f>IF(Indice_index!$Z$1=1,"dos quais:","of which:")</f>
        <v>dos quais:</v>
      </c>
      <c r="D27" s="1357"/>
      <c r="E27" s="1357"/>
      <c r="F27" s="1305"/>
      <c r="G27" s="1357"/>
      <c r="H27" s="1357"/>
      <c r="I27" s="1305"/>
      <c r="J27" s="1357"/>
      <c r="K27" s="1357"/>
      <c r="L27" s="1305"/>
      <c r="M27" s="1305"/>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941" t="str">
        <f>IF(Indice_index!$Z$1=1,"Transferências do OE","State Budget tranfers")</f>
        <v>Transferências do OE</v>
      </c>
      <c r="D28" s="1357">
        <v>80.322067529999998</v>
      </c>
      <c r="E28" s="1357">
        <v>74.827211219999995</v>
      </c>
      <c r="F28" s="1305">
        <f t="shared" si="1"/>
        <v>-6.8410294692024625</v>
      </c>
      <c r="G28" s="1357">
        <v>36.482373950000003</v>
      </c>
      <c r="H28" s="1357">
        <v>33.279074479999998</v>
      </c>
      <c r="I28" s="1305">
        <f t="shared" si="2"/>
        <v>-8.7804030362448611</v>
      </c>
      <c r="J28" s="1357">
        <v>116.80444148000001</v>
      </c>
      <c r="K28" s="1357">
        <v>108.1062857</v>
      </c>
      <c r="L28" s="1305">
        <f t="shared" si="3"/>
        <v>-7.4467680079523006</v>
      </c>
      <c r="M28" s="1305">
        <f>(K28-J28)/J26*100</f>
        <v>-7.4445821756302504</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309" t="str">
        <f>IF(Indice_index!$Z$1=1,"Outros subsectores das AP","Other General Government subsectors")</f>
        <v>Outros subsectores das AP</v>
      </c>
      <c r="D29" s="1357">
        <v>-3.7744113390303369E-14</v>
      </c>
      <c r="E29" s="1357">
        <v>-1.2975731600306517E-14</v>
      </c>
      <c r="F29" s="1305">
        <f t="shared" si="1"/>
        <v>-65.621840242669364</v>
      </c>
      <c r="G29" s="1357">
        <v>-4.6074255521943996E-15</v>
      </c>
      <c r="H29" s="1357">
        <v>1.4335673490309397E-14</v>
      </c>
      <c r="I29" s="1305">
        <f t="shared" si="2"/>
        <v>-411.1428134412651</v>
      </c>
      <c r="J29" s="1357">
        <v>-4.2351538942497768E-14</v>
      </c>
      <c r="K29" s="1357">
        <v>1.3599418900028803E-15</v>
      </c>
      <c r="L29" s="1305">
        <f t="shared" si="3"/>
        <v>-103.21108022036536</v>
      </c>
      <c r="M29" s="1305">
        <f t="shared" ref="M29:M32" si="5">IFERROR((K29-J29)/$J$35*100,"-")</f>
        <v>2.3761104005164572E-15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309" t="str">
        <f>IF(Indice_index!$Z$1=1,"União Europeia","European Union")</f>
        <v>União Europeia</v>
      </c>
      <c r="D30" s="1357">
        <v>51.14265426</v>
      </c>
      <c r="E30" s="1357">
        <v>33.143198380000001</v>
      </c>
      <c r="F30" s="1305">
        <f t="shared" si="1"/>
        <v>-35.19460642088309</v>
      </c>
      <c r="G30" s="1357">
        <v>39.296687949999999</v>
      </c>
      <c r="H30" s="1357">
        <v>72.518832489999994</v>
      </c>
      <c r="I30" s="1305">
        <f t="shared" si="2"/>
        <v>84.541843786608467</v>
      </c>
      <c r="J30" s="1357">
        <v>90.439342210000007</v>
      </c>
      <c r="K30" s="1357">
        <v>105.66203087</v>
      </c>
      <c r="L30" s="1305">
        <f t="shared" si="3"/>
        <v>16.831932086207495</v>
      </c>
      <c r="M30" s="1305">
        <f t="shared" si="5"/>
        <v>0.82748944121691614</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309" t="str">
        <f>IF(Indice_index!$Z$1=1,"Outras transferências","Other transfers")</f>
        <v>Outras transferências</v>
      </c>
      <c r="D31" s="1357">
        <v>4.0000000000000001E-3</v>
      </c>
      <c r="E31" s="1357">
        <v>7.8684669999999998E-2</v>
      </c>
      <c r="F31" s="1305" t="str">
        <f t="shared" si="1"/>
        <v>n.r</v>
      </c>
      <c r="G31" s="1357">
        <v>8.8200109999999998E-2</v>
      </c>
      <c r="H31" s="1357">
        <v>5.376E-5</v>
      </c>
      <c r="I31" s="1305">
        <f t="shared" si="2"/>
        <v>-99.939047695065227</v>
      </c>
      <c r="J31" s="1357">
        <v>9.2200110000000002E-2</v>
      </c>
      <c r="K31" s="1357">
        <v>7.8738429999999998E-2</v>
      </c>
      <c r="L31" s="1305">
        <f t="shared" si="3"/>
        <v>-14.600503188119845</v>
      </c>
      <c r="M31" s="1305">
        <f t="shared" si="5"/>
        <v>-7.3176285148046562E-4</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356" t="str">
        <f>IF(Indice_index!$Z$1=1,"Outras receitas de capital","Other capital revenue")</f>
        <v>Outras receitas de capital</v>
      </c>
      <c r="D32" s="1357">
        <v>0.21195501</v>
      </c>
      <c r="E32" s="1357">
        <v>0.29267163000000002</v>
      </c>
      <c r="F32" s="1305">
        <f t="shared" si="1"/>
        <v>38.081958996864486</v>
      </c>
      <c r="G32" s="1357">
        <v>1.7730080000000002E-2</v>
      </c>
      <c r="H32" s="1357">
        <v>4.2378190000000003E-2</v>
      </c>
      <c r="I32" s="1305">
        <f t="shared" si="2"/>
        <v>139.01860566900993</v>
      </c>
      <c r="J32" s="1357">
        <v>0.22968509000000001</v>
      </c>
      <c r="K32" s="1357">
        <v>0.33504982</v>
      </c>
      <c r="L32" s="1305">
        <f t="shared" si="3"/>
        <v>45.873561057010704</v>
      </c>
      <c r="M32" s="1305">
        <f t="shared" si="5"/>
        <v>5.7275165707600635E-3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356" t="str">
        <f>IF(Indice_index!$Z$1=1,"Diferenças de consolidação","Consolidation differences")</f>
        <v>Diferenças de consolidação</v>
      </c>
      <c r="D33" s="1357">
        <v>0</v>
      </c>
      <c r="E33" s="1357">
        <v>0</v>
      </c>
      <c r="F33" s="1305"/>
      <c r="G33" s="1357">
        <v>0</v>
      </c>
      <c r="H33" s="1357">
        <v>0</v>
      </c>
      <c r="I33" s="1305"/>
      <c r="J33" s="1357">
        <v>0</v>
      </c>
      <c r="K33" s="1357">
        <v>0</v>
      </c>
      <c r="L33" s="1305"/>
      <c r="M33" s="1305"/>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214"/>
      <c r="D34" s="1363"/>
      <c r="E34" s="1363"/>
      <c r="F34" s="156"/>
      <c r="G34" s="1363"/>
      <c r="H34" s="1363"/>
      <c r="I34" s="156"/>
      <c r="J34" s="1363"/>
      <c r="K34" s="1363"/>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361" t="str">
        <f>IF(Indice_index!$Z$1=1,"Receita Efetiva","Effective revenue")</f>
        <v>Receita Efetiva</v>
      </c>
      <c r="D35" s="1364">
        <v>973.60757756999988</v>
      </c>
      <c r="E35" s="1364">
        <v>862.06594117999998</v>
      </c>
      <c r="F35" s="301">
        <f t="shared" si="1"/>
        <v>-11.456529197152879</v>
      </c>
      <c r="G35" s="1364">
        <v>866.01573383000004</v>
      </c>
      <c r="H35" s="1364">
        <v>1024.24049915</v>
      </c>
      <c r="I35" s="301">
        <f t="shared" si="2"/>
        <v>18.270426175774272</v>
      </c>
      <c r="J35" s="1364">
        <v>1839.6233113999999</v>
      </c>
      <c r="K35" s="1364">
        <v>1885.5604807700004</v>
      </c>
      <c r="L35" s="301">
        <f t="shared" si="3"/>
        <v>2.4970965026009102</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214"/>
      <c r="D36" s="1363"/>
      <c r="E36" s="1363"/>
      <c r="F36" s="156"/>
      <c r="G36" s="1363"/>
      <c r="H36" s="1363"/>
      <c r="I36" s="156"/>
      <c r="J36" s="1363"/>
      <c r="K36" s="1363"/>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361" t="str">
        <f>IF(Indice_index!$Z$1=1,"Despesa Corrente","Current expenditure")</f>
        <v>Despesa Corrente</v>
      </c>
      <c r="D37" s="1362">
        <v>839.50832834999892</v>
      </c>
      <c r="E37" s="1362">
        <v>840.00929818000031</v>
      </c>
      <c r="F37" s="301">
        <f t="shared" si="1"/>
        <v>5.9674194178159022E-2</v>
      </c>
      <c r="G37" s="1362">
        <v>912.43596374999981</v>
      </c>
      <c r="H37" s="1362">
        <v>933.14005241000007</v>
      </c>
      <c r="I37" s="301">
        <f t="shared" si="2"/>
        <v>2.2691004610240251</v>
      </c>
      <c r="J37" s="1362">
        <v>1751.9442920999986</v>
      </c>
      <c r="K37" s="1362">
        <v>1772.4033910300004</v>
      </c>
      <c r="L37" s="301">
        <f t="shared" si="3"/>
        <v>1.1677939202894485</v>
      </c>
      <c r="M37" s="301">
        <f t="shared" ref="M37:M55" si="6">IFERROR((K37-J37)/$J$58*100,"-")</f>
        <v>0.99579191091957353</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356" t="str">
        <f>IF(Indice_index!$Z$1=1,"Despesas com o pessoal","Employees")</f>
        <v>Despesas com o pessoal</v>
      </c>
      <c r="D38" s="1357">
        <v>418.67437916</v>
      </c>
      <c r="E38" s="1357">
        <v>445.19479906000004</v>
      </c>
      <c r="F38" s="1305">
        <f t="shared" si="1"/>
        <v>6.3343785099075847</v>
      </c>
      <c r="G38" s="1357">
        <v>476.10596453999995</v>
      </c>
      <c r="H38" s="1357">
        <v>492.75580745000019</v>
      </c>
      <c r="I38" s="1305">
        <f t="shared" si="2"/>
        <v>3.4970876548641541</v>
      </c>
      <c r="J38" s="1363">
        <v>894.7803437</v>
      </c>
      <c r="K38" s="1363">
        <v>937.95060651000017</v>
      </c>
      <c r="L38" s="1305">
        <f t="shared" si="3"/>
        <v>4.8246771527732841</v>
      </c>
      <c r="M38" s="1305">
        <f t="shared" si="6"/>
        <v>2.1011970588514317</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773" t="str">
        <f>IF(Indice_index!$Z$1=1,"Remunerações Certas e Permanentes","Certain and permanent wages")</f>
        <v>Remunerações Certas e Permanentes</v>
      </c>
      <c r="D39" s="1357">
        <v>303.88175902000006</v>
      </c>
      <c r="E39" s="1357">
        <v>323.97323782000007</v>
      </c>
      <c r="F39" s="1305">
        <f t="shared" si="1"/>
        <v>6.6116106688317799</v>
      </c>
      <c r="G39" s="1357">
        <v>341.25457689999996</v>
      </c>
      <c r="H39" s="1357">
        <v>358.40814549000015</v>
      </c>
      <c r="I39" s="1305">
        <f t="shared" si="2"/>
        <v>5.02661934847157</v>
      </c>
      <c r="J39" s="1363">
        <v>645.13633591999996</v>
      </c>
      <c r="K39" s="1363">
        <v>682.38138331000027</v>
      </c>
      <c r="L39" s="1305">
        <f t="shared" si="3"/>
        <v>5.77320564914187</v>
      </c>
      <c r="M39" s="1305">
        <f t="shared" si="6"/>
        <v>1.8128030486421434</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773" t="str">
        <f>IF(Indice_index!$Z$1=1,"Abonos Variáveis ou Eventuais","Variable or contingent bonuses")</f>
        <v>Abonos Variáveis ou Eventuais</v>
      </c>
      <c r="D40" s="1357">
        <v>33.872468269999999</v>
      </c>
      <c r="E40" s="1357">
        <v>36.200564249999999</v>
      </c>
      <c r="F40" s="1305">
        <f t="shared" si="1"/>
        <v>6.87312173840587</v>
      </c>
      <c r="G40" s="1357">
        <v>44.061112560000005</v>
      </c>
      <c r="H40" s="1357">
        <v>42.933034379999995</v>
      </c>
      <c r="I40" s="1305">
        <f t="shared" si="2"/>
        <v>-2.5602580471926464</v>
      </c>
      <c r="J40" s="1363">
        <v>77.933580830000011</v>
      </c>
      <c r="K40" s="1363">
        <v>79.133598629999995</v>
      </c>
      <c r="L40" s="1305">
        <f t="shared" si="3"/>
        <v>1.5397955377126014</v>
      </c>
      <c r="M40" s="1305">
        <f t="shared" si="6"/>
        <v>5.8407656284761938E-2</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773" t="str">
        <f>IF(Indice_index!$Z$1=1,"Segurança social","Social security")</f>
        <v>Segurança social</v>
      </c>
      <c r="D41" s="1357">
        <v>80.920151869999984</v>
      </c>
      <c r="E41" s="1357">
        <v>85.020996990000029</v>
      </c>
      <c r="F41" s="1305">
        <f t="shared" si="1"/>
        <v>5.0677674537587913</v>
      </c>
      <c r="G41" s="1357">
        <v>90.790275080000001</v>
      </c>
      <c r="H41" s="1357">
        <v>91.414627580000044</v>
      </c>
      <c r="I41" s="1305">
        <f t="shared" si="2"/>
        <v>0.68768653850855055</v>
      </c>
      <c r="J41" s="1363">
        <v>171.71042695</v>
      </c>
      <c r="K41" s="1363">
        <v>176.43562457000007</v>
      </c>
      <c r="L41" s="1305">
        <f t="shared" si="3"/>
        <v>2.751840819413951</v>
      </c>
      <c r="M41" s="1305">
        <f t="shared" si="6"/>
        <v>0.2299863539245362</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356" t="str">
        <f>IF(Indice_index!$Z$1=1,"Aquisição de bens e serviços","Purchase of goods and services")</f>
        <v>Aquisição de bens e serviços</v>
      </c>
      <c r="D42" s="1357">
        <v>232.73536355000002</v>
      </c>
      <c r="E42" s="1357">
        <v>231.53729691000001</v>
      </c>
      <c r="F42" s="1305">
        <f t="shared" si="1"/>
        <v>-0.51477636304403707</v>
      </c>
      <c r="G42" s="1357">
        <v>260.28686448000002</v>
      </c>
      <c r="H42" s="1357">
        <v>239.93327697000004</v>
      </c>
      <c r="I42" s="1305">
        <f t="shared" si="2"/>
        <v>-7.8196752458723928</v>
      </c>
      <c r="J42" s="1363">
        <v>493.02222803000006</v>
      </c>
      <c r="K42" s="1363">
        <v>471.47057388000007</v>
      </c>
      <c r="L42" s="1305">
        <f t="shared" si="3"/>
        <v>-4.3713351903250475</v>
      </c>
      <c r="M42" s="1305">
        <f t="shared" si="6"/>
        <v>-1.0489691135925485</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356" t="str">
        <f>IF(Indice_index!$Z$1=1,"Juros e outros encargos","Interests and other charges")</f>
        <v>Juros e outros encargos</v>
      </c>
      <c r="D43" s="1357">
        <v>31.040916299999996</v>
      </c>
      <c r="E43" s="1357">
        <v>31.879167240000001</v>
      </c>
      <c r="F43" s="1305">
        <f t="shared" si="1"/>
        <v>2.7004709909288516</v>
      </c>
      <c r="G43" s="1357">
        <v>52.981199800000006</v>
      </c>
      <c r="H43" s="1357">
        <v>76.954713700000013</v>
      </c>
      <c r="I43" s="1305">
        <f t="shared" si="2"/>
        <v>45.249095887783206</v>
      </c>
      <c r="J43" s="1363">
        <v>84.022116100000005</v>
      </c>
      <c r="K43" s="1363">
        <v>108.83388094000001</v>
      </c>
      <c r="L43" s="1305">
        <f t="shared" si="3"/>
        <v>29.530040412776522</v>
      </c>
      <c r="M43" s="1305">
        <f t="shared" si="6"/>
        <v>1.2076462804077421</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356" t="str">
        <f>IF(Indice_index!$Z$1=1,"Transferências correntes","Current transfers")</f>
        <v>Transferências correntes</v>
      </c>
      <c r="D44" s="1357">
        <v>102.0242018299985</v>
      </c>
      <c r="E44" s="1357">
        <v>95.215611070000193</v>
      </c>
      <c r="F44" s="1305">
        <f t="shared" si="1"/>
        <v>-6.6735055387577251</v>
      </c>
      <c r="G44" s="1357">
        <v>96.164299379999875</v>
      </c>
      <c r="H44" s="1357">
        <v>96.707183179999902</v>
      </c>
      <c r="I44" s="1305">
        <f t="shared" si="2"/>
        <v>0.56453777909282532</v>
      </c>
      <c r="J44" s="1363">
        <v>198.18850120999838</v>
      </c>
      <c r="K44" s="1363">
        <v>191.92279425000009</v>
      </c>
      <c r="L44" s="1305">
        <f t="shared" si="3"/>
        <v>-3.1614886442676147</v>
      </c>
      <c r="M44" s="1305">
        <f t="shared" si="6"/>
        <v>-0.30496652508039918</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309" t="str">
        <f>IF(Indice_index!$Z$1=1,"Administrações Públicas","General Government")</f>
        <v>Administrações Públicas</v>
      </c>
      <c r="D45" s="1357">
        <v>1.9059027199998724</v>
      </c>
      <c r="E45" s="1357">
        <v>3.8182110499999169</v>
      </c>
      <c r="F45" s="1305">
        <f t="shared" si="1"/>
        <v>100.33609322936339</v>
      </c>
      <c r="G45" s="1357">
        <v>1.4550668799998761</v>
      </c>
      <c r="H45" s="1357">
        <v>1.7366466599998773</v>
      </c>
      <c r="I45" s="1305">
        <f t="shared" si="2"/>
        <v>19.351672687376766</v>
      </c>
      <c r="J45" s="1363">
        <v>3.3609695999997484</v>
      </c>
      <c r="K45" s="1363">
        <v>5.5548577099997942</v>
      </c>
      <c r="L45" s="1305">
        <f t="shared" si="3"/>
        <v>65.275452357564021</v>
      </c>
      <c r="M45" s="1305">
        <f t="shared" si="6"/>
        <v>0.10678163495250691</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309" t="str">
        <f>IF(Indice_index!$Z$1=1,"Outras transferências","Other transfers")</f>
        <v>Outras transferências</v>
      </c>
      <c r="D46" s="1357">
        <v>100.11829910999863</v>
      </c>
      <c r="E46" s="1357">
        <v>91.397400020000276</v>
      </c>
      <c r="F46" s="1305">
        <f t="shared" si="1"/>
        <v>-8.7105945341888198</v>
      </c>
      <c r="G46" s="1357">
        <v>94.709232499999999</v>
      </c>
      <c r="H46" s="1357">
        <v>94.970536520000024</v>
      </c>
      <c r="I46" s="1305">
        <f t="shared" si="2"/>
        <v>0.27590131722377292</v>
      </c>
      <c r="J46" s="1363">
        <v>194.82753160999863</v>
      </c>
      <c r="K46" s="1363">
        <v>186.3679365400003</v>
      </c>
      <c r="L46" s="1305">
        <f t="shared" si="3"/>
        <v>-4.3420942615710789</v>
      </c>
      <c r="M46" s="1305">
        <f t="shared" si="6"/>
        <v>-0.4117481600329061</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356" t="str">
        <f>IF(Indice_index!$Z$1=1,"Subsídios","Subsidies")</f>
        <v>Subsídios</v>
      </c>
      <c r="D47" s="1357">
        <v>43.787960270000177</v>
      </c>
      <c r="E47" s="1357">
        <v>23.017095719999997</v>
      </c>
      <c r="F47" s="1305">
        <f t="shared" si="1"/>
        <v>-47.435104128909671</v>
      </c>
      <c r="G47" s="1357">
        <v>24.685835010000002</v>
      </c>
      <c r="H47" s="1357">
        <v>23.887299969999997</v>
      </c>
      <c r="I47" s="1305">
        <f t="shared" si="2"/>
        <v>-3.2347904767107347</v>
      </c>
      <c r="J47" s="1363">
        <v>68.473795280000175</v>
      </c>
      <c r="K47" s="1363">
        <v>46.904395689999994</v>
      </c>
      <c r="L47" s="1305">
        <f t="shared" si="3"/>
        <v>-31.500225015715127</v>
      </c>
      <c r="M47" s="1305">
        <f t="shared" si="6"/>
        <v>-1.0498328254142839</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356" t="str">
        <f>IF(Indice_index!$Z$1=1,"Outras despesas correntes","Other current expenditure")</f>
        <v>Outras despesas correntes</v>
      </c>
      <c r="D48" s="1357">
        <v>11.24550724</v>
      </c>
      <c r="E48" s="1357">
        <v>12.419368619999998</v>
      </c>
      <c r="F48" s="1305">
        <f t="shared" si="1"/>
        <v>10.438492056850947</v>
      </c>
      <c r="G48" s="1357">
        <v>1.8812221599999992</v>
      </c>
      <c r="H48" s="1357">
        <v>2.9017711399999997</v>
      </c>
      <c r="I48" s="1305">
        <f t="shared" si="2"/>
        <v>54.249253580980614</v>
      </c>
      <c r="J48" s="1363">
        <v>13.126729399999999</v>
      </c>
      <c r="K48" s="1363">
        <v>15.321139759999998</v>
      </c>
      <c r="L48" s="1305">
        <f t="shared" si="3"/>
        <v>16.717114317904652</v>
      </c>
      <c r="M48" s="1305">
        <f t="shared" si="6"/>
        <v>0.10680705407419994</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356" t="str">
        <f>IF(Indice_index!$Z$1=1,"Diferenças de consolidação","Consolidation differences")</f>
        <v>Diferenças de consolidação</v>
      </c>
      <c r="D49" s="1357">
        <v>0</v>
      </c>
      <c r="E49" s="1357">
        <v>0.74595955999990338</v>
      </c>
      <c r="F49" s="1305"/>
      <c r="G49" s="1357">
        <v>0.33057838000001993</v>
      </c>
      <c r="H49" s="1357">
        <v>0</v>
      </c>
      <c r="I49" s="1305"/>
      <c r="J49" s="1357">
        <v>0.33057838000001993</v>
      </c>
      <c r="K49" s="1357">
        <v>0</v>
      </c>
      <c r="L49" s="1357"/>
      <c r="M49" s="876">
        <f t="shared" si="6"/>
        <v>-1.6090018326573866E-2</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361" t="str">
        <f>IF(Indice_index!$Z$1=1,"Despesa de Capital","Capital expenditure")</f>
        <v>Despesa de Capital</v>
      </c>
      <c r="D50" s="1362">
        <v>191.05134589999994</v>
      </c>
      <c r="E50" s="1362">
        <v>180.26142542999997</v>
      </c>
      <c r="F50" s="301">
        <f t="shared" si="1"/>
        <v>-5.6476547805361328</v>
      </c>
      <c r="G50" s="1362">
        <v>111.56000818000001</v>
      </c>
      <c r="H50" s="1362">
        <v>155.95656740000001</v>
      </c>
      <c r="I50" s="301">
        <f t="shared" si="2"/>
        <v>39.796124027139697</v>
      </c>
      <c r="J50" s="1362">
        <v>302.61135407999996</v>
      </c>
      <c r="K50" s="1362">
        <v>336.21799283000007</v>
      </c>
      <c r="L50" s="301">
        <f t="shared" si="3"/>
        <v>11.105544553069111</v>
      </c>
      <c r="M50" s="301">
        <f t="shared" si="6"/>
        <v>1.6357132410837538</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356" t="str">
        <f>IF(Indice_index!$Z$1=1,"Aquisição de bens de capital","Purchase of capital goods")</f>
        <v>Aquisição de bens de capital</v>
      </c>
      <c r="D51" s="1357">
        <v>27.174054580000007</v>
      </c>
      <c r="E51" s="1357">
        <v>43.134459579999998</v>
      </c>
      <c r="F51" s="1305">
        <f t="shared" si="1"/>
        <v>58.733984481457483</v>
      </c>
      <c r="G51" s="1357">
        <v>71.308502160000018</v>
      </c>
      <c r="H51" s="1357">
        <v>81.562838410000012</v>
      </c>
      <c r="I51" s="1305">
        <f t="shared" si="2"/>
        <v>14.380243504472443</v>
      </c>
      <c r="J51" s="1363">
        <v>98.482556740000021</v>
      </c>
      <c r="K51" s="1363">
        <v>124.69729799000001</v>
      </c>
      <c r="L51" s="1305">
        <f t="shared" si="3"/>
        <v>26.618664378513763</v>
      </c>
      <c r="M51" s="1305">
        <f t="shared" si="6"/>
        <v>1.2759324041059985</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356" t="str">
        <f>IF(Indice_index!$Z$1=1,"Transferências de capital","Capital transfers")</f>
        <v>Transferências de capital</v>
      </c>
      <c r="D52" s="1357">
        <v>163.79936931999993</v>
      </c>
      <c r="E52" s="1357">
        <v>137.04521884999997</v>
      </c>
      <c r="F52" s="1305">
        <f t="shared" si="1"/>
        <v>-16.333488084275103</v>
      </c>
      <c r="G52" s="1357">
        <v>40.251506019999994</v>
      </c>
      <c r="H52" s="1357">
        <v>74.195092110000004</v>
      </c>
      <c r="I52" s="1305">
        <f t="shared" si="2"/>
        <v>84.328735608387589</v>
      </c>
      <c r="J52" s="1363">
        <v>204.05087533999992</v>
      </c>
      <c r="K52" s="1363">
        <v>211.24031095999999</v>
      </c>
      <c r="L52" s="1305">
        <f t="shared" si="3"/>
        <v>3.5233544614894039</v>
      </c>
      <c r="M52" s="1305">
        <f t="shared" si="6"/>
        <v>0.34992654656822109</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309" t="str">
        <f>IF(Indice_index!$Z$1=1,"Administrações Públicas","General Government")</f>
        <v>Administrações Públicas</v>
      </c>
      <c r="D53" s="1357">
        <v>4.2634086099999422</v>
      </c>
      <c r="E53" s="1357">
        <v>7.1147837299999708</v>
      </c>
      <c r="F53" s="1305">
        <f t="shared" si="1"/>
        <v>66.880174546536537</v>
      </c>
      <c r="G53" s="1357">
        <v>5.6226088799999943</v>
      </c>
      <c r="H53" s="1357">
        <v>5.664816959999996</v>
      </c>
      <c r="I53" s="1305">
        <f t="shared" si="2"/>
        <v>0.75068497384085875</v>
      </c>
      <c r="J53" s="1363">
        <v>9.8860174899999365</v>
      </c>
      <c r="K53" s="1363">
        <v>12.779600689999967</v>
      </c>
      <c r="L53" s="1305">
        <f t="shared" si="3"/>
        <v>29.269452566991657</v>
      </c>
      <c r="M53" s="1305">
        <f t="shared" si="6"/>
        <v>0.14083742172571581</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309" t="str">
        <f>IF(Indice_index!$Z$1=1,"Outras transferências","Other transfers")</f>
        <v>Outras transferências</v>
      </c>
      <c r="D54" s="1357">
        <v>159.53596070999998</v>
      </c>
      <c r="E54" s="1357">
        <v>129.93043512</v>
      </c>
      <c r="F54" s="1305">
        <f t="shared" si="1"/>
        <v>-18.557274145743278</v>
      </c>
      <c r="G54" s="1357">
        <v>34.628897139999999</v>
      </c>
      <c r="H54" s="1357">
        <v>68.530275150000008</v>
      </c>
      <c r="I54" s="1305">
        <f t="shared" si="2"/>
        <v>97.89909818075138</v>
      </c>
      <c r="J54" s="1363">
        <v>194.16485784999998</v>
      </c>
      <c r="K54" s="1363">
        <v>198.46071026999999</v>
      </c>
      <c r="L54" s="1305">
        <f t="shared" si="3"/>
        <v>2.212476792952272</v>
      </c>
      <c r="M54" s="1305">
        <f t="shared" si="6"/>
        <v>0.20908912484250425</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356" t="str">
        <f>IF(Indice_index!$Z$1=1,"Outras despesas de capital","Other capital expenditure")</f>
        <v>Outras despesas de capital</v>
      </c>
      <c r="D55" s="1357">
        <v>7.7922000000000005E-2</v>
      </c>
      <c r="E55" s="1357">
        <v>8.1747E-2</v>
      </c>
      <c r="F55" s="1305">
        <f t="shared" si="1"/>
        <v>4.9087549087549016</v>
      </c>
      <c r="G55" s="1357">
        <v>0</v>
      </c>
      <c r="H55" s="1357">
        <v>0</v>
      </c>
      <c r="I55" s="1305">
        <f t="shared" si="2"/>
        <v>0</v>
      </c>
      <c r="J55" s="1363">
        <v>7.7922000000000005E-2</v>
      </c>
      <c r="K55" s="1363">
        <v>8.1747E-2</v>
      </c>
      <c r="L55" s="1305">
        <f t="shared" si="3"/>
        <v>4.9087549087549016</v>
      </c>
      <c r="M55" s="1305">
        <f t="shared" si="6"/>
        <v>1.8617164286164524E-4</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356" t="str">
        <f>IF(Indice_index!$Z$1=1,"Diferenças de consolidação","Consolidation differences")</f>
        <v>Diferenças de consolidação</v>
      </c>
      <c r="D56" s="1357">
        <v>0</v>
      </c>
      <c r="E56" s="1357">
        <v>0</v>
      </c>
      <c r="F56" s="1305"/>
      <c r="G56" s="1357">
        <v>0</v>
      </c>
      <c r="H56" s="1357">
        <v>0.19863688000000934</v>
      </c>
      <c r="I56" s="1305"/>
      <c r="J56" s="1357">
        <v>0</v>
      </c>
      <c r="K56" s="1357">
        <v>0.19863688000003776</v>
      </c>
      <c r="L56" s="1305"/>
      <c r="M56" s="876"/>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214"/>
      <c r="D57" s="1363"/>
      <c r="E57" s="1363"/>
      <c r="F57" s="156"/>
      <c r="G57" s="1363"/>
      <c r="H57" s="1363"/>
      <c r="I57" s="156"/>
      <c r="J57" s="1363"/>
      <c r="K57" s="1363"/>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361" t="str">
        <f>IF(Indice_index!$Z$1=1,"Despesa efetiva","Effective expenditure")</f>
        <v>Despesa efetiva</v>
      </c>
      <c r="D58" s="1364">
        <v>1030.5596742499988</v>
      </c>
      <c r="E58" s="1364">
        <v>1020.2707236100002</v>
      </c>
      <c r="F58" s="301">
        <f t="shared" si="1"/>
        <v>-0.99838475122621806</v>
      </c>
      <c r="G58" s="1364">
        <v>1023.9959719299998</v>
      </c>
      <c r="H58" s="1364">
        <v>1089.09661981</v>
      </c>
      <c r="I58" s="301">
        <f t="shared" si="2"/>
        <v>6.3575101528280715</v>
      </c>
      <c r="J58" s="1364">
        <v>2054.5556461799988</v>
      </c>
      <c r="K58" s="1364">
        <v>2108.6213838600006</v>
      </c>
      <c r="L58" s="301">
        <f t="shared" si="3"/>
        <v>2.6315051520033217</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365"/>
      <c r="D59" s="1357"/>
      <c r="E59" s="1357"/>
      <c r="F59" s="1366"/>
      <c r="G59" s="1357"/>
      <c r="H59" s="1357"/>
      <c r="I59" s="1366"/>
      <c r="J59" s="1357"/>
      <c r="K59" s="1357"/>
      <c r="L59" s="1366"/>
      <c r="M59" s="1367"/>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368" t="str">
        <f>IF(Indice_index!$Z$1=1,"Saldo global","Overall balance")</f>
        <v>Saldo global</v>
      </c>
      <c r="D60" s="1369">
        <v>-56.952096679998931</v>
      </c>
      <c r="E60" s="1369">
        <v>-158.20478243000025</v>
      </c>
      <c r="F60" s="1320"/>
      <c r="G60" s="1369">
        <v>-157.98023809999972</v>
      </c>
      <c r="H60" s="1369">
        <v>-64.856120659999988</v>
      </c>
      <c r="I60" s="1320"/>
      <c r="J60" s="1369">
        <v>-214.93233477999888</v>
      </c>
      <c r="K60" s="1369">
        <v>-223.06090309000024</v>
      </c>
      <c r="L60" s="1320"/>
      <c r="M60" s="1320"/>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370"/>
      <c r="D61" s="1363"/>
      <c r="E61" s="1363"/>
      <c r="F61" s="1371"/>
      <c r="G61" s="1363"/>
      <c r="H61" s="1363"/>
      <c r="I61" s="1371"/>
      <c r="J61" s="1363"/>
      <c r="K61" s="1363"/>
      <c r="L61" s="1371"/>
      <c r="M61" s="1372"/>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356" t="str">
        <f>IF(Indice_index!$Z$1=1,"Despesa  primária","Primary Expenditure")</f>
        <v>Despesa  primária</v>
      </c>
      <c r="D62" s="1363">
        <v>999.51875794999876</v>
      </c>
      <c r="E62" s="1363">
        <v>988.39155637000022</v>
      </c>
      <c r="F62" s="1305">
        <f t="shared" ref="F62" si="7">IFERROR(IF(ABS((E62-D62)/D62)*100&gt;500,"n.r",((E62-D62)/D62)*100),0)</f>
        <v>-1.113255903553056</v>
      </c>
      <c r="G62" s="1363">
        <v>971.01477212999976</v>
      </c>
      <c r="H62" s="1363">
        <v>1012.14190611</v>
      </c>
      <c r="I62" s="1305">
        <f t="shared" ref="I62" si="8">IFERROR(IF(ABS((H62-G62)/G62)*100&gt;500,"n.r",((H62-G62)/G62)*100),0)</f>
        <v>4.2354797435042695</v>
      </c>
      <c r="J62" s="1357">
        <v>1970.5335300799984</v>
      </c>
      <c r="K62" s="1357">
        <v>2000.5334624800003</v>
      </c>
      <c r="L62" s="1305">
        <f t="shared" ref="L62" si="9">IFERROR(IF(ABS((K62-J62)/J62)*100&gt;500,"n.r",((K62-J62)/J62)*100),0)</f>
        <v>1.5224268931259413</v>
      </c>
      <c r="M62" s="1305"/>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373" t="str">
        <f>IF(Indice_index!$Z$1=1,"Saldo primário","Primary balance")</f>
        <v>Saldo primário</v>
      </c>
      <c r="D63" s="1363">
        <v>-25.911180379998935</v>
      </c>
      <c r="E63" s="1363">
        <v>-126.32561519000025</v>
      </c>
      <c r="F63" s="1305"/>
      <c r="G63" s="1363">
        <v>-104.99903829999971</v>
      </c>
      <c r="H63" s="1363">
        <v>12.098593040000026</v>
      </c>
      <c r="I63" s="1305"/>
      <c r="J63" s="1357">
        <v>-130.91021867999865</v>
      </c>
      <c r="K63" s="1357">
        <v>-114.22702215000022</v>
      </c>
      <c r="L63" s="1305"/>
      <c r="M63" s="1374"/>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373" t="str">
        <f>IF(Indice_index!$Z$1=1,"Saldo corrente","Current balance")</f>
        <v>Saldo corrente</v>
      </c>
      <c r="D64" s="1363">
        <v>2.142213810001067</v>
      </c>
      <c r="E64" s="1363">
        <v>-86.583565330000283</v>
      </c>
      <c r="F64" s="1305"/>
      <c r="G64" s="1363">
        <v>-124.5198924299998</v>
      </c>
      <c r="H64" s="1363">
        <v>-19.241819760000112</v>
      </c>
      <c r="I64" s="1305"/>
      <c r="J64" s="1357">
        <v>-122.37767861999873</v>
      </c>
      <c r="K64" s="1357">
        <v>-105.8253850900004</v>
      </c>
      <c r="L64" s="1305"/>
      <c r="M64" s="1374"/>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373" t="str">
        <f>IF(Indice_index!$Z$1=1,"Saldo de capital","Capital balance")</f>
        <v>Saldo de capital</v>
      </c>
      <c r="D65" s="1363">
        <v>-59.094310489999998</v>
      </c>
      <c r="E65" s="1363">
        <v>-71.621217099999981</v>
      </c>
      <c r="F65" s="1305"/>
      <c r="G65" s="1363">
        <v>-33.460345670000009</v>
      </c>
      <c r="H65" s="1363">
        <v>-45.614300900000003</v>
      </c>
      <c r="I65" s="1305"/>
      <c r="J65" s="1357">
        <v>-92.554656160000008</v>
      </c>
      <c r="K65" s="1357">
        <v>-117.23551799999998</v>
      </c>
      <c r="L65" s="1305"/>
      <c r="M65" s="1374"/>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365" t="str">
        <f>IF(Indice_index!$Z$1=1,"Activos financeiros líquidos de reembolsos","Financial assets net of reimbursements")</f>
        <v>Activos financeiros líquidos de reembolsos</v>
      </c>
      <c r="D66" s="1363">
        <v>1.4287566900000002</v>
      </c>
      <c r="E66" s="1363">
        <v>14.290248920000002</v>
      </c>
      <c r="F66" s="1305"/>
      <c r="G66" s="1363">
        <v>24.709071580000003</v>
      </c>
      <c r="H66" s="1363">
        <v>26.123784810000004</v>
      </c>
      <c r="I66" s="1305"/>
      <c r="J66" s="1363">
        <v>26.137828270000004</v>
      </c>
      <c r="K66" s="1363">
        <v>40.414033730000007</v>
      </c>
      <c r="L66" s="1305"/>
      <c r="M66" s="1374"/>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375" t="str">
        <f>IF(Indice_index!$Z$1=1,"dos quais Receitas de:","of which Revenues of")</f>
        <v>dos quais Receitas de:</v>
      </c>
      <c r="D67" s="1376"/>
      <c r="E67" s="1376"/>
      <c r="F67" s="1305"/>
      <c r="G67" s="1376"/>
      <c r="H67" s="1376"/>
      <c r="I67" s="1305"/>
      <c r="J67" s="1376"/>
      <c r="K67" s="1376"/>
      <c r="L67" s="1305"/>
      <c r="M67" s="1374"/>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377" t="str">
        <f>IF(Indice_index!$Z$1=1,"Alienação de partes de Capital","Divestment of company shares")</f>
        <v>Alienação de partes de Capital</v>
      </c>
      <c r="D68" s="1363">
        <v>0</v>
      </c>
      <c r="E68" s="1363">
        <v>0</v>
      </c>
      <c r="F68" s="1305"/>
      <c r="G68" s="1363">
        <v>0</v>
      </c>
      <c r="H68" s="1363">
        <v>0</v>
      </c>
      <c r="I68" s="1305"/>
      <c r="J68" s="1363">
        <v>0</v>
      </c>
      <c r="K68" s="1363">
        <v>0</v>
      </c>
      <c r="L68" s="1305"/>
      <c r="M68" s="1374"/>
      <c r="N68" s="385"/>
      <c r="Q68" s="144"/>
      <c r="R68" s="145"/>
      <c r="S68" s="146"/>
      <c r="T68" s="146"/>
      <c r="U68" s="146"/>
      <c r="V68" s="138"/>
      <c r="W68" s="138"/>
      <c r="X68" s="147"/>
      <c r="Y68" s="147"/>
      <c r="Z68" s="147"/>
      <c r="AA68" s="147"/>
      <c r="AB68" s="147"/>
      <c r="AC68" s="147"/>
      <c r="AD68" s="147"/>
      <c r="AE68" s="147"/>
      <c r="AF68" s="147"/>
      <c r="AG68" s="147"/>
    </row>
    <row r="69" spans="2:33" ht="15" customHeight="1">
      <c r="C69" s="1378" t="str">
        <f>IF(Indice_index!$Z$1=1,"Outros Ativos","Other Financial assets")</f>
        <v>Outros Ativos</v>
      </c>
      <c r="D69" s="1363">
        <v>0.42691833000000001</v>
      </c>
      <c r="E69" s="1363">
        <v>0.70148052999999988</v>
      </c>
      <c r="F69" s="1305"/>
      <c r="G69" s="1363">
        <v>5.7952115699999993</v>
      </c>
      <c r="H69" s="1363">
        <v>4.8708783699999998</v>
      </c>
      <c r="I69" s="1305"/>
      <c r="J69" s="1363">
        <v>6.2221298999999997</v>
      </c>
      <c r="K69" s="1363">
        <v>5.5723588999999993</v>
      </c>
      <c r="L69" s="1305"/>
      <c r="M69" s="1374"/>
      <c r="N69" s="385"/>
      <c r="Q69" s="144"/>
      <c r="R69" s="145"/>
      <c r="S69" s="146"/>
      <c r="T69" s="146"/>
      <c r="U69" s="146"/>
      <c r="V69" s="138"/>
      <c r="W69" s="138"/>
      <c r="X69" s="147"/>
      <c r="Y69" s="147"/>
      <c r="Z69" s="147"/>
      <c r="AA69" s="147"/>
      <c r="AB69" s="147"/>
      <c r="AC69" s="147"/>
      <c r="AD69" s="147"/>
      <c r="AE69" s="147"/>
      <c r="AF69" s="147"/>
      <c r="AG69" s="147"/>
    </row>
    <row r="70" spans="2:33" ht="15" customHeight="1">
      <c r="C70" s="1214" t="str">
        <f>IF(Indice_index!$Z$1=1,"Passivos financeiros líquidos de amortizações","Financial liabilities net of amortizations")</f>
        <v>Passivos financeiros líquidos de amortizações</v>
      </c>
      <c r="D70" s="1357">
        <v>217.83252959000001</v>
      </c>
      <c r="E70" s="1357">
        <v>255.69643939000005</v>
      </c>
      <c r="F70" s="1305"/>
      <c r="G70" s="1357">
        <v>117.01294148000002</v>
      </c>
      <c r="H70" s="1357">
        <v>80.393937439999945</v>
      </c>
      <c r="I70" s="1305"/>
      <c r="J70" s="1357">
        <v>334.84547107000003</v>
      </c>
      <c r="K70" s="1357">
        <v>336.09037682999997</v>
      </c>
      <c r="L70" s="1305"/>
      <c r="M70" s="1374"/>
      <c r="N70" s="385"/>
      <c r="Q70" s="144"/>
      <c r="R70" s="145"/>
      <c r="S70" s="146"/>
      <c r="T70" s="146"/>
      <c r="U70" s="146"/>
      <c r="V70" s="138"/>
      <c r="W70" s="138"/>
      <c r="X70" s="147"/>
      <c r="Y70" s="147"/>
      <c r="Z70" s="147"/>
      <c r="AA70" s="147"/>
      <c r="AB70" s="147"/>
      <c r="AC70" s="147"/>
      <c r="AD70" s="147"/>
      <c r="AE70" s="147"/>
      <c r="AF70" s="147"/>
      <c r="AG70" s="147"/>
    </row>
    <row r="71" spans="2:33" ht="15" customHeight="1">
      <c r="C71" s="1379" t="str">
        <f>IF(Indice_index!$Z$1=1,"Poupança (+) / Utilização (-) de saldo da gerência anterior","Saving (+) / Usage (-) of balance from previous management")</f>
        <v>Poupança (+) / Utilização (-) de saldo da gerência anterior</v>
      </c>
      <c r="D71" s="1380">
        <v>159.45167622000108</v>
      </c>
      <c r="E71" s="1380">
        <v>83.201408039999791</v>
      </c>
      <c r="F71" s="1380"/>
      <c r="G71" s="1380">
        <v>-65.6763681999997</v>
      </c>
      <c r="H71" s="1380">
        <v>-10.585968030000046</v>
      </c>
      <c r="I71" s="1380"/>
      <c r="J71" s="1380">
        <v>93.775308020001376</v>
      </c>
      <c r="K71" s="1380">
        <v>72.615440009999745</v>
      </c>
      <c r="L71" s="1380"/>
      <c r="M71" s="1381"/>
      <c r="N71" s="385"/>
      <c r="Q71" s="144"/>
      <c r="R71" s="145"/>
      <c r="S71" s="146"/>
      <c r="T71" s="146"/>
      <c r="U71" s="146"/>
      <c r="V71" s="138"/>
      <c r="W71" s="138"/>
      <c r="X71" s="147"/>
      <c r="Y71" s="147"/>
      <c r="Z71" s="147"/>
      <c r="AA71" s="147"/>
      <c r="AB71" s="147"/>
      <c r="AC71" s="147"/>
      <c r="AD71" s="147"/>
      <c r="AE71" s="147"/>
      <c r="AF71" s="147"/>
      <c r="AG71" s="147"/>
    </row>
    <row r="72" spans="2:33" ht="4.5" customHeight="1">
      <c r="C72" s="1382"/>
      <c r="E72" s="166"/>
      <c r="F72" s="166"/>
      <c r="G72" s="166"/>
      <c r="H72" s="166"/>
      <c r="I72" s="166"/>
      <c r="J72" s="166"/>
      <c r="K72" s="416"/>
      <c r="L72" s="416"/>
      <c r="M72" s="96"/>
      <c r="N72" s="383"/>
      <c r="Q72" s="144"/>
      <c r="R72" s="145"/>
      <c r="S72" s="146"/>
      <c r="T72" s="146"/>
      <c r="U72" s="146"/>
      <c r="V72" s="138"/>
      <c r="W72" s="138"/>
      <c r="X72" s="147"/>
      <c r="Y72" s="147"/>
      <c r="Z72" s="147"/>
      <c r="AA72" s="147"/>
      <c r="AB72" s="147"/>
      <c r="AC72" s="147"/>
      <c r="AD72" s="147"/>
      <c r="AE72" s="147"/>
      <c r="AF72" s="147"/>
      <c r="AG72" s="147"/>
    </row>
    <row r="73" spans="2:33">
      <c r="C73" s="1383" t="s">
        <v>62</v>
      </c>
      <c r="D73" s="166"/>
      <c r="E73" s="166"/>
      <c r="F73" s="166"/>
      <c r="G73" s="166"/>
      <c r="I73" s="166"/>
      <c r="J73" s="166"/>
      <c r="K73" s="416"/>
      <c r="L73" s="416"/>
      <c r="M73" s="96"/>
      <c r="N73" s="383"/>
      <c r="Q73" s="144"/>
      <c r="R73" s="145"/>
      <c r="S73" s="146"/>
      <c r="T73" s="146"/>
      <c r="U73" s="146"/>
      <c r="V73" s="138"/>
      <c r="W73" s="138"/>
      <c r="X73" s="147"/>
      <c r="Y73" s="147"/>
      <c r="Z73" s="147"/>
      <c r="AA73" s="147"/>
      <c r="AB73" s="147"/>
      <c r="AC73" s="147"/>
      <c r="AD73" s="147"/>
      <c r="AE73" s="147"/>
      <c r="AF73" s="147"/>
      <c r="AG73" s="147"/>
    </row>
    <row r="74" spans="2:33" ht="15.75" customHeight="1">
      <c r="B74" s="96"/>
      <c r="C74" s="1365" t="str">
        <f>IF(Indice_index!$Z$1=1,"Fonte: DROT/RAM; DROT/RAA.","Source: DROT/RAM; DROT/RAA.")</f>
        <v>Fonte: DROT/RAM; DROT/RAA.</v>
      </c>
      <c r="D74" s="96"/>
      <c r="E74" s="1384"/>
      <c r="F74" s="96"/>
      <c r="G74" s="96"/>
      <c r="H74" s="96"/>
      <c r="I74" s="96"/>
      <c r="J74" s="96"/>
      <c r="K74" s="96"/>
      <c r="L74" s="96"/>
      <c r="M74" s="96"/>
      <c r="N74" s="383"/>
      <c r="Q74" s="144"/>
      <c r="R74" s="145"/>
      <c r="S74" s="146"/>
      <c r="T74" s="146"/>
      <c r="U74" s="146"/>
      <c r="X74" s="147"/>
      <c r="Y74" s="147"/>
      <c r="Z74" s="147"/>
      <c r="AA74" s="147"/>
      <c r="AB74" s="147"/>
      <c r="AC74" s="147"/>
      <c r="AD74" s="147"/>
      <c r="AE74" s="147"/>
      <c r="AF74" s="147"/>
      <c r="AG74" s="147"/>
    </row>
    <row r="75" spans="2:33">
      <c r="B75" s="96"/>
      <c r="D75" s="96"/>
      <c r="E75" s="96"/>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C76" s="96"/>
      <c r="D76" s="96"/>
      <c r="E76" s="96"/>
      <c r="F76" s="96"/>
      <c r="G76" s="96"/>
      <c r="H76" s="96"/>
      <c r="I76" s="96"/>
      <c r="J76" s="96"/>
      <c r="K76" s="96"/>
      <c r="L76" s="96"/>
      <c r="M76" s="9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C79" s="96"/>
      <c r="D79" s="166"/>
      <c r="E79" s="166"/>
      <c r="F79" s="166"/>
      <c r="G79" s="166"/>
      <c r="H79" s="166"/>
      <c r="I79" s="166"/>
      <c r="J79" s="166"/>
      <c r="K79" s="166"/>
      <c r="L79" s="166"/>
      <c r="M79" s="416"/>
      <c r="X79" s="147"/>
      <c r="Y79" s="147"/>
      <c r="Z79" s="147"/>
      <c r="AA79" s="147"/>
      <c r="AB79" s="147"/>
      <c r="AC79" s="147"/>
      <c r="AD79" s="147"/>
      <c r="AE79" s="147"/>
      <c r="AF79" s="147"/>
      <c r="AG79" s="147"/>
    </row>
    <row r="80" spans="2:33">
      <c r="C80" s="166"/>
      <c r="D80" s="166"/>
      <c r="E80" s="166"/>
      <c r="F80" s="166"/>
      <c r="G80" s="166"/>
      <c r="H80" s="166"/>
      <c r="I80" s="166"/>
      <c r="J80" s="166"/>
      <c r="K80" s="166"/>
      <c r="L80" s="166"/>
      <c r="M80" s="416"/>
      <c r="X80" s="147"/>
      <c r="Y80" s="147"/>
      <c r="Z80" s="147"/>
      <c r="AA80" s="147"/>
      <c r="AB80" s="147"/>
      <c r="AC80" s="147"/>
      <c r="AD80" s="147"/>
      <c r="AE80" s="147"/>
      <c r="AF80" s="147"/>
      <c r="AG80" s="147"/>
    </row>
    <row r="81" spans="3:33">
      <c r="C81" s="166"/>
      <c r="D81" s="166"/>
      <c r="E81" s="166"/>
      <c r="F81" s="166"/>
      <c r="G81" s="166"/>
      <c r="H81" s="166"/>
      <c r="I81" s="166"/>
      <c r="J81" s="166"/>
      <c r="K81" s="166"/>
      <c r="L81" s="166"/>
      <c r="M81" s="416"/>
      <c r="X81" s="147"/>
      <c r="Y81" s="147"/>
      <c r="Z81" s="147"/>
      <c r="AA81" s="147"/>
      <c r="AB81" s="147"/>
      <c r="AC81" s="147"/>
      <c r="AD81" s="147"/>
      <c r="AE81" s="147"/>
      <c r="AF81" s="147"/>
      <c r="AG81" s="147"/>
    </row>
    <row r="82" spans="3:33">
      <c r="C82" s="166"/>
      <c r="D82" s="166"/>
      <c r="E82" s="166"/>
      <c r="F82" s="166"/>
      <c r="G82" s="166"/>
      <c r="H82" s="166"/>
      <c r="I82" s="166"/>
      <c r="J82" s="166"/>
      <c r="K82" s="166"/>
      <c r="L82" s="166"/>
      <c r="M82" s="416"/>
      <c r="X82" s="147"/>
      <c r="Y82" s="147"/>
      <c r="Z82" s="147"/>
      <c r="AA82" s="147"/>
      <c r="AB82" s="147"/>
      <c r="AC82" s="147"/>
      <c r="AD82" s="147"/>
      <c r="AE82" s="147"/>
      <c r="AF82" s="147"/>
      <c r="AG82" s="147"/>
    </row>
    <row r="83" spans="3:33">
      <c r="C83" s="166"/>
      <c r="D83" s="166"/>
      <c r="E83" s="166"/>
      <c r="F83" s="166"/>
      <c r="G83" s="166"/>
      <c r="H83" s="166"/>
      <c r="I83" s="166"/>
      <c r="J83" s="166"/>
      <c r="K83" s="166"/>
      <c r="L83" s="166"/>
      <c r="M83" s="416"/>
      <c r="X83" s="147"/>
      <c r="Y83" s="147"/>
      <c r="Z83" s="147"/>
      <c r="AA83" s="147"/>
      <c r="AB83" s="147"/>
      <c r="AC83" s="147"/>
      <c r="AD83" s="147"/>
      <c r="AE83" s="147"/>
      <c r="AF83" s="147"/>
      <c r="AG83" s="147"/>
    </row>
    <row r="84" spans="3:33">
      <c r="C84" s="166"/>
      <c r="D84" s="166"/>
      <c r="E84" s="166"/>
      <c r="F84" s="166"/>
      <c r="G84" s="166"/>
      <c r="H84" s="166"/>
      <c r="I84" s="166"/>
      <c r="J84" s="166"/>
      <c r="K84" s="166"/>
      <c r="L84" s="166"/>
      <c r="M84" s="416"/>
      <c r="X84" s="147"/>
      <c r="Y84" s="147"/>
      <c r="Z84" s="147"/>
      <c r="AA84" s="147"/>
      <c r="AB84" s="147"/>
      <c r="AC84" s="147"/>
      <c r="AD84" s="147"/>
      <c r="AE84" s="147"/>
      <c r="AF84" s="147"/>
      <c r="AG84" s="147"/>
    </row>
    <row r="85" spans="3:33">
      <c r="C85" s="166"/>
      <c r="D85" s="166"/>
      <c r="E85" s="166"/>
      <c r="F85" s="166"/>
      <c r="G85" s="166"/>
      <c r="H85" s="166"/>
      <c r="I85" s="166"/>
      <c r="J85" s="166"/>
      <c r="K85" s="166"/>
      <c r="L85" s="166"/>
      <c r="M85" s="416"/>
      <c r="X85" s="147"/>
      <c r="Y85" s="147"/>
      <c r="Z85" s="147"/>
      <c r="AA85" s="147"/>
      <c r="AB85" s="147"/>
      <c r="AC85" s="147"/>
      <c r="AD85" s="147"/>
      <c r="AE85" s="147"/>
      <c r="AF85" s="147"/>
      <c r="AG85" s="147"/>
    </row>
    <row r="86" spans="3:33">
      <c r="C86" s="166"/>
      <c r="D86" s="166"/>
      <c r="E86" s="166"/>
      <c r="F86" s="166"/>
      <c r="G86" s="166"/>
      <c r="H86" s="166"/>
      <c r="I86" s="166"/>
      <c r="J86" s="166"/>
      <c r="K86" s="166"/>
      <c r="L86" s="166"/>
      <c r="M86" s="416"/>
      <c r="X86" s="147"/>
      <c r="Y86" s="147"/>
      <c r="Z86" s="147"/>
      <c r="AA86" s="147"/>
      <c r="AB86" s="147"/>
      <c r="AC86" s="147"/>
      <c r="AD86" s="147"/>
      <c r="AE86" s="147"/>
      <c r="AF86" s="147"/>
      <c r="AG86" s="147"/>
    </row>
    <row r="87" spans="3:33">
      <c r="C87" s="166"/>
      <c r="D87" s="166"/>
      <c r="E87" s="166"/>
      <c r="F87" s="166"/>
      <c r="G87" s="166"/>
      <c r="H87" s="166"/>
      <c r="I87" s="166"/>
      <c r="J87" s="166"/>
      <c r="K87" s="166"/>
      <c r="L87" s="166"/>
      <c r="M87" s="416"/>
      <c r="X87" s="147"/>
      <c r="Y87" s="147"/>
      <c r="Z87" s="147"/>
      <c r="AA87" s="147"/>
      <c r="AB87" s="147"/>
      <c r="AC87" s="147"/>
      <c r="AD87" s="147"/>
      <c r="AE87" s="147"/>
      <c r="AF87" s="147"/>
      <c r="AG87" s="147"/>
    </row>
    <row r="88" spans="3:33">
      <c r="C88" s="166"/>
      <c r="D88" s="166"/>
      <c r="E88" s="166"/>
      <c r="F88" s="166"/>
      <c r="G88" s="166"/>
      <c r="H88" s="166"/>
      <c r="I88" s="166"/>
      <c r="J88" s="166"/>
      <c r="K88" s="166"/>
      <c r="L88" s="166"/>
      <c r="M88" s="416"/>
      <c r="X88" s="147"/>
      <c r="Y88" s="147"/>
      <c r="Z88" s="147"/>
      <c r="AA88" s="147"/>
      <c r="AB88" s="147"/>
      <c r="AC88" s="147"/>
      <c r="AD88" s="147"/>
      <c r="AE88" s="147"/>
      <c r="AF88" s="147"/>
      <c r="AG88" s="147"/>
    </row>
    <row r="89" spans="3:33">
      <c r="C89" s="166"/>
      <c r="D89" s="166"/>
      <c r="E89" s="166"/>
      <c r="F89" s="166"/>
      <c r="G89" s="166"/>
      <c r="H89" s="166"/>
      <c r="I89" s="166"/>
      <c r="J89" s="166"/>
      <c r="K89" s="166"/>
      <c r="L89" s="166"/>
      <c r="M89" s="416"/>
      <c r="X89" s="147"/>
      <c r="Y89" s="147"/>
      <c r="Z89" s="147"/>
      <c r="AA89" s="147"/>
      <c r="AB89" s="147"/>
      <c r="AC89" s="147"/>
      <c r="AD89" s="147"/>
      <c r="AE89" s="147"/>
      <c r="AF89" s="147"/>
      <c r="AG89" s="147"/>
    </row>
    <row r="90" spans="3:33">
      <c r="C90" s="166"/>
      <c r="D90" s="166"/>
      <c r="E90" s="166"/>
      <c r="F90" s="166"/>
      <c r="G90" s="166"/>
      <c r="H90" s="166"/>
      <c r="I90" s="166"/>
      <c r="J90" s="166"/>
      <c r="K90" s="166"/>
      <c r="L90" s="166"/>
      <c r="M90" s="416"/>
      <c r="X90" s="147"/>
      <c r="Y90" s="147"/>
      <c r="Z90" s="147"/>
      <c r="AA90" s="147"/>
      <c r="AB90" s="147"/>
      <c r="AC90" s="147"/>
      <c r="AD90" s="147"/>
      <c r="AE90" s="147"/>
      <c r="AF90" s="147"/>
      <c r="AG90" s="147"/>
    </row>
    <row r="91" spans="3:33">
      <c r="C91" s="166"/>
      <c r="D91" s="166"/>
      <c r="E91" s="166"/>
      <c r="F91" s="166"/>
      <c r="G91" s="166"/>
      <c r="H91" s="166"/>
      <c r="I91" s="166"/>
      <c r="J91" s="166"/>
      <c r="K91" s="166"/>
      <c r="L91" s="166"/>
      <c r="M91" s="416"/>
      <c r="X91" s="147"/>
      <c r="Y91" s="147"/>
      <c r="Z91" s="147"/>
      <c r="AA91" s="147"/>
      <c r="AB91" s="147"/>
      <c r="AC91" s="147"/>
      <c r="AD91" s="147"/>
      <c r="AE91" s="147"/>
      <c r="AF91" s="147"/>
      <c r="AG91" s="147"/>
    </row>
    <row r="92" spans="3:33">
      <c r="C92" s="166"/>
      <c r="D92" s="166"/>
      <c r="E92" s="166"/>
      <c r="F92" s="166"/>
      <c r="G92" s="166"/>
      <c r="H92" s="166"/>
      <c r="I92" s="166"/>
      <c r="J92" s="166"/>
      <c r="K92" s="166"/>
      <c r="L92" s="166"/>
      <c r="M92" s="416"/>
      <c r="X92" s="147"/>
      <c r="Y92" s="147"/>
      <c r="Z92" s="147"/>
      <c r="AA92" s="147"/>
      <c r="AB92" s="147"/>
      <c r="AC92" s="147"/>
      <c r="AD92" s="147"/>
      <c r="AE92" s="147"/>
      <c r="AF92" s="147"/>
      <c r="AG92" s="147"/>
    </row>
    <row r="93" spans="3:33">
      <c r="C93" s="166"/>
      <c r="D93" s="166"/>
      <c r="E93" s="166"/>
      <c r="F93" s="166"/>
      <c r="G93" s="166"/>
      <c r="H93" s="166"/>
      <c r="I93" s="166"/>
      <c r="J93" s="166"/>
      <c r="K93" s="166"/>
      <c r="L93" s="166"/>
      <c r="M93" s="416"/>
      <c r="X93" s="147"/>
      <c r="Y93" s="147"/>
      <c r="Z93" s="147"/>
      <c r="AA93" s="147"/>
      <c r="AB93" s="147"/>
      <c r="AC93" s="147"/>
      <c r="AD93" s="147"/>
      <c r="AE93" s="147"/>
      <c r="AF93" s="147"/>
      <c r="AG93" s="147"/>
    </row>
    <row r="94" spans="3:33">
      <c r="C94" s="166"/>
      <c r="D94" s="166"/>
      <c r="E94" s="166"/>
      <c r="F94" s="166"/>
      <c r="G94" s="166"/>
      <c r="H94" s="166"/>
      <c r="I94" s="166"/>
      <c r="J94" s="166"/>
      <c r="K94" s="166"/>
      <c r="L94" s="166"/>
      <c r="M94" s="416"/>
      <c r="X94" s="147"/>
      <c r="Y94" s="147"/>
      <c r="Z94" s="147"/>
      <c r="AA94" s="147"/>
      <c r="AB94" s="147"/>
      <c r="AC94" s="147"/>
      <c r="AD94" s="147"/>
      <c r="AE94" s="147"/>
      <c r="AF94" s="147"/>
      <c r="AG94" s="147"/>
    </row>
    <row r="95" spans="3:33">
      <c r="C95" s="166"/>
      <c r="D95" s="166"/>
      <c r="E95" s="166"/>
      <c r="F95" s="166"/>
      <c r="G95" s="166"/>
      <c r="H95" s="166"/>
      <c r="I95" s="166"/>
      <c r="J95" s="166"/>
      <c r="K95" s="166"/>
      <c r="L95" s="166"/>
      <c r="M95" s="416"/>
      <c r="X95" s="147"/>
      <c r="Y95" s="147"/>
      <c r="Z95" s="147"/>
      <c r="AA95" s="147"/>
      <c r="AB95" s="147"/>
      <c r="AC95" s="147"/>
      <c r="AD95" s="147"/>
      <c r="AE95" s="147"/>
      <c r="AF95" s="147"/>
      <c r="AG95" s="147"/>
    </row>
    <row r="96" spans="3:33">
      <c r="C96" s="166"/>
      <c r="D96" s="166"/>
      <c r="E96" s="166"/>
      <c r="F96" s="166"/>
      <c r="G96" s="166"/>
      <c r="H96" s="166"/>
      <c r="I96" s="166"/>
      <c r="J96" s="166"/>
      <c r="K96" s="166"/>
      <c r="L96" s="166"/>
      <c r="M96" s="416"/>
      <c r="X96" s="147"/>
      <c r="Y96" s="147"/>
      <c r="Z96" s="147"/>
      <c r="AA96" s="147"/>
      <c r="AB96" s="147"/>
      <c r="AC96" s="147"/>
      <c r="AD96" s="147"/>
      <c r="AE96" s="147"/>
      <c r="AF96" s="147"/>
      <c r="AG96" s="147"/>
    </row>
    <row r="97" spans="3:33">
      <c r="C97" s="166"/>
      <c r="D97" s="166"/>
      <c r="E97" s="166"/>
      <c r="F97" s="166"/>
      <c r="G97" s="166"/>
      <c r="H97" s="166"/>
      <c r="I97" s="166"/>
      <c r="J97" s="166"/>
      <c r="K97" s="166"/>
      <c r="L97" s="166"/>
      <c r="M97" s="416"/>
      <c r="X97" s="147"/>
      <c r="Y97" s="147"/>
      <c r="Z97" s="147"/>
      <c r="AA97" s="147"/>
      <c r="AB97" s="147"/>
      <c r="AC97" s="147"/>
      <c r="AD97" s="147"/>
      <c r="AE97" s="147"/>
      <c r="AF97" s="147"/>
      <c r="AG97" s="147"/>
    </row>
    <row r="98" spans="3:33">
      <c r="C98" s="166"/>
      <c r="D98" s="166"/>
      <c r="E98" s="166"/>
      <c r="F98" s="166"/>
      <c r="G98" s="166"/>
      <c r="H98" s="166"/>
      <c r="I98" s="166"/>
      <c r="J98" s="166"/>
      <c r="K98" s="166"/>
      <c r="L98" s="166"/>
      <c r="M98" s="416"/>
    </row>
    <row r="99" spans="3:33">
      <c r="C99" s="166"/>
      <c r="D99" s="166"/>
      <c r="E99" s="166"/>
      <c r="F99" s="166"/>
      <c r="G99" s="166"/>
      <c r="H99" s="166"/>
      <c r="I99" s="166"/>
      <c r="J99" s="166"/>
      <c r="K99" s="166"/>
      <c r="L99" s="166"/>
      <c r="M99" s="416"/>
    </row>
    <row r="100" spans="3:33">
      <c r="C100" s="166"/>
      <c r="D100" s="166"/>
      <c r="E100" s="166"/>
      <c r="F100" s="166"/>
      <c r="G100" s="166"/>
      <c r="H100" s="166"/>
      <c r="I100" s="367"/>
      <c r="J100" s="367"/>
      <c r="K100" s="367"/>
      <c r="L100" s="367"/>
      <c r="M100" s="368"/>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F116" s="166"/>
      <c r="G116" s="166"/>
      <c r="I116" s="367"/>
      <c r="J116" s="367"/>
      <c r="K116" s="367"/>
      <c r="L116" s="367"/>
      <c r="M116" s="368"/>
    </row>
    <row r="117" spans="3:13">
      <c r="C117" s="166"/>
      <c r="D117" s="166"/>
      <c r="E117" s="166"/>
      <c r="F117" s="166"/>
      <c r="G117" s="166"/>
      <c r="H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dimension ref="B1:V180"/>
  <sheetViews>
    <sheetView showGridLines="0" zoomScaleNormal="100" zoomScaleSheetLayoutView="100" workbookViewId="0">
      <selection activeCell="B2" sqref="B2"/>
    </sheetView>
  </sheetViews>
  <sheetFormatPr defaultColWidth="9.1796875" defaultRowHeight="12.5"/>
  <cols>
    <col min="1" max="1" width="2.54296875" style="96" customWidth="1"/>
    <col min="2" max="2" width="4.453125" style="96" customWidth="1"/>
    <col min="3" max="3" width="40.453125" style="96" customWidth="1"/>
    <col min="4" max="7" width="9.453125" style="96" customWidth="1"/>
    <col min="8" max="8" width="10.1796875" style="96" customWidth="1"/>
    <col min="9" max="9" width="9.54296875" style="96" bestFit="1" customWidth="1"/>
    <col min="10" max="10" width="11.54296875" style="96" bestFit="1" customWidth="1"/>
    <col min="11" max="12" width="8.54296875" style="96" customWidth="1"/>
    <col min="13" max="13" width="15.453125" style="96" customWidth="1"/>
    <col min="14" max="15" width="8.54296875" style="96" customWidth="1"/>
    <col min="16" max="18" width="9.1796875" style="96"/>
    <col min="19" max="21" width="9.1796875" style="50" customWidth="1"/>
    <col min="22" max="16384" width="9.179687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Execução Orçamental da Administração Local</v>
      </c>
      <c r="D2" s="51"/>
      <c r="E2" s="51"/>
      <c r="F2" s="51"/>
      <c r="G2" s="51"/>
      <c r="S2" s="80"/>
      <c r="U2" s="80"/>
    </row>
    <row r="3" spans="2:22" ht="15" customHeight="1">
      <c r="S3" s="80"/>
    </row>
    <row r="4" spans="2:22" ht="15" customHeight="1">
      <c r="S4" s="80"/>
    </row>
    <row r="5" spans="2:22" s="250" customFormat="1" ht="15" customHeight="1">
      <c r="C5" s="803" t="str">
        <f>+'5 - Conta AC + SS'!C5</f>
        <v>Período: janeiro a setembro</v>
      </c>
      <c r="D5" s="1298"/>
      <c r="E5" s="1298"/>
      <c r="F5" s="1299"/>
      <c r="G5" s="1116" t="str">
        <f>IF(Indice_index!$Z$1=1,"€ Milhões","€ Millions")</f>
        <v>€ Milhões</v>
      </c>
      <c r="S5" s="248"/>
      <c r="T5" s="248"/>
      <c r="U5" s="248"/>
    </row>
    <row r="6" spans="2:22" ht="24" customHeight="1">
      <c r="C6" s="1723"/>
      <c r="D6" s="1725" t="str">
        <f>IF(Indice_index!$Z$1=1,"Execução Acumulada","Accumulated Execution")</f>
        <v>Execução Acumulada</v>
      </c>
      <c r="E6" s="1725"/>
      <c r="F6" s="1726" t="str">
        <f>IF(Indice_index!$Z$1=1,"Variação Homóloga Acumulada","YOY Change Rate (%)")</f>
        <v>Variação Homóloga Acumulada</v>
      </c>
      <c r="G6" s="1727"/>
    </row>
    <row r="7" spans="2:22" ht="36" customHeight="1">
      <c r="C7" s="1724"/>
      <c r="D7" s="1300">
        <v>2021</v>
      </c>
      <c r="E7" s="1300">
        <v>2022</v>
      </c>
      <c r="F7" s="1297" t="str">
        <f>IF(Indice_index!$Z$1=1,"TVH (%)","YOY Change Rate (%)")</f>
        <v>TVH (%)</v>
      </c>
      <c r="G7" s="1296" t="str">
        <f>IF(Indice_index!$Z$1=1,"Contributo    VH (p.p.)","YOY Change Contrib. (p.p.)")</f>
        <v>Contributo    VH (p.p.)</v>
      </c>
      <c r="H7" s="246"/>
      <c r="I7" s="246"/>
      <c r="J7"/>
    </row>
    <row r="8" spans="2:22" s="250" customFormat="1" ht="15" customHeight="1">
      <c r="C8" s="1301" t="str">
        <f>IF(Indice_index!$Z$1=1,"Receita corrente","Current revenue")</f>
        <v>Receita corrente</v>
      </c>
      <c r="D8" s="1302">
        <v>5986.4816699936164</v>
      </c>
      <c r="E8" s="1302">
        <v>6769.8810550505414</v>
      </c>
      <c r="F8" s="301">
        <f t="shared" ref="F8:F19" si="0">IFERROR(IF(ABS((E8-D8)/D8)*100&gt;500,"n.r.",((E8-D8)/D8)*100),0)</f>
        <v>13.086140211263025</v>
      </c>
      <c r="G8" s="159">
        <f>IFERROR((E8-D8)/D43*100,"-")</f>
        <v>11.468462472612845</v>
      </c>
      <c r="H8" s="441"/>
      <c r="I8" s="441"/>
      <c r="J8" s="442"/>
      <c r="K8" s="441"/>
      <c r="L8" s="301"/>
      <c r="M8" s="310"/>
      <c r="N8" s="310"/>
      <c r="O8" s="159"/>
      <c r="P8" s="159"/>
      <c r="Q8" s="311"/>
      <c r="R8" s="311"/>
      <c r="S8" s="312"/>
      <c r="T8" s="312"/>
      <c r="U8" s="312"/>
      <c r="V8" s="313"/>
    </row>
    <row r="9" spans="2:22" ht="15" customHeight="1">
      <c r="C9" s="1303" t="str">
        <f>IF(Indice_index!$Z$1=1,"Receita Fiscal","Tax income")</f>
        <v>Receita Fiscal</v>
      </c>
      <c r="D9" s="1304">
        <v>2413.6889777816336</v>
      </c>
      <c r="E9" s="1304">
        <v>2743.7459458829035</v>
      </c>
      <c r="F9" s="1305">
        <f t="shared" si="0"/>
        <v>13.674378560762937</v>
      </c>
      <c r="G9" s="1306">
        <f>IFERROR((E9-D9)/D43*100,"-")</f>
        <v>4.8318214498199241</v>
      </c>
      <c r="H9" s="441"/>
      <c r="I9" s="441"/>
      <c r="J9" s="442"/>
      <c r="K9" s="215"/>
      <c r="L9" s="156"/>
      <c r="M9" s="157"/>
      <c r="N9" s="157"/>
      <c r="O9" s="158"/>
      <c r="P9" s="159"/>
      <c r="Q9" s="160"/>
      <c r="R9" s="160"/>
      <c r="S9" s="161"/>
      <c r="T9" s="161"/>
      <c r="U9" s="161"/>
      <c r="V9" s="111"/>
    </row>
    <row r="10" spans="2:22" ht="15" customHeight="1">
      <c r="C10" s="1307" t="str">
        <f>IF(Indice_index!$Z$1=1,"Impostos diretos","Direct taxes")</f>
        <v>Impostos diretos</v>
      </c>
      <c r="D10" s="1304">
        <v>2386.0030569242012</v>
      </c>
      <c r="E10" s="1304">
        <v>2732.5041740791753</v>
      </c>
      <c r="F10" s="1305">
        <f t="shared" si="0"/>
        <v>14.522241124101868</v>
      </c>
      <c r="G10" s="1306">
        <f>IFERROR((E10-D10)/D43*100,"-")</f>
        <v>5.0725532016105577</v>
      </c>
      <c r="H10" s="441"/>
      <c r="I10" s="441"/>
      <c r="J10" s="442"/>
      <c r="K10" s="215"/>
      <c r="L10" s="156"/>
      <c r="M10" s="157"/>
      <c r="N10" s="157"/>
      <c r="O10" s="158"/>
      <c r="P10" s="159"/>
      <c r="Q10" s="160"/>
      <c r="R10" s="160"/>
      <c r="S10" s="161"/>
      <c r="T10" s="161"/>
      <c r="U10" s="161"/>
      <c r="V10" s="111"/>
    </row>
    <row r="11" spans="2:22" ht="15" customHeight="1">
      <c r="C11" s="1308" t="str">
        <f>IF(Indice_index!$Z$1=1,"Imposto Municipal sobre Transmissões","Municipal Property Transfer Tax")</f>
        <v>Imposto Municipal sobre Transmissões</v>
      </c>
      <c r="D11" s="1304">
        <v>946.9324416156843</v>
      </c>
      <c r="E11" s="1304">
        <v>1287.717571922112</v>
      </c>
      <c r="F11" s="1305">
        <f t="shared" si="0"/>
        <v>35.988325600606736</v>
      </c>
      <c r="G11" s="1306">
        <f>IFERROR((E11-D11)/D43*100,"-")</f>
        <v>4.9888748353558556</v>
      </c>
      <c r="H11" s="441"/>
      <c r="I11" s="441"/>
      <c r="J11" s="442"/>
      <c r="K11" s="215"/>
      <c r="L11" s="156"/>
      <c r="M11" s="157"/>
      <c r="N11" s="157"/>
      <c r="O11" s="158"/>
      <c r="P11" s="159"/>
      <c r="Q11" s="160"/>
      <c r="R11" s="160"/>
      <c r="S11" s="161"/>
      <c r="T11" s="161"/>
      <c r="U11" s="161"/>
      <c r="V11" s="111"/>
    </row>
    <row r="12" spans="2:22" ht="15" customHeight="1">
      <c r="C12" s="1308" t="str">
        <f>IF(Indice_index!$Z$1=1,"Imposto Municipal sobre Imóveis","Municipal Real Estate Tax")</f>
        <v>Imposto Municipal sobre Imóveis</v>
      </c>
      <c r="D12" s="1304">
        <v>980.51875024327046</v>
      </c>
      <c r="E12" s="1304">
        <v>1001.0042156226766</v>
      </c>
      <c r="F12" s="1305">
        <f t="shared" si="0"/>
        <v>2.0892476940725131</v>
      </c>
      <c r="G12" s="1306">
        <f>IFERROR((E12-D12)/D43*100,"-")</f>
        <v>0.2998940201116671</v>
      </c>
      <c r="H12" s="441"/>
      <c r="I12" s="441"/>
      <c r="J12" s="442"/>
      <c r="K12" s="215"/>
      <c r="L12" s="156"/>
      <c r="M12" s="157"/>
      <c r="N12" s="157"/>
      <c r="O12" s="158"/>
      <c r="P12" s="159"/>
      <c r="Q12" s="160"/>
      <c r="R12" s="160"/>
      <c r="S12" s="161"/>
      <c r="T12" s="161"/>
      <c r="U12" s="161"/>
      <c r="V12" s="111"/>
    </row>
    <row r="13" spans="2:22" ht="15" customHeight="1">
      <c r="C13" s="1308" t="str">
        <f>IF(Indice_index!$Z$1=1,"Imposto Único de Circulação","Municipal Vehicle Tax")</f>
        <v>Imposto Único de Circulação</v>
      </c>
      <c r="D13" s="1304">
        <v>223.18809886282406</v>
      </c>
      <c r="E13" s="1304">
        <v>237.86762826148106</v>
      </c>
      <c r="F13" s="1305">
        <f t="shared" si="0"/>
        <v>6.577200788685122</v>
      </c>
      <c r="G13" s="1306">
        <f>IFERROR((E13-D13)/D43*100,"-")</f>
        <v>0.21489885649052642</v>
      </c>
      <c r="H13" s="441"/>
      <c r="I13" s="441"/>
      <c r="J13" s="442"/>
      <c r="K13" s="215"/>
      <c r="L13" s="156"/>
      <c r="M13" s="157"/>
      <c r="N13" s="157"/>
      <c r="O13" s="158"/>
      <c r="P13" s="159"/>
      <c r="Q13" s="160"/>
      <c r="R13" s="160"/>
      <c r="S13" s="161"/>
      <c r="T13" s="161"/>
      <c r="U13" s="161"/>
      <c r="V13" s="111"/>
    </row>
    <row r="14" spans="2:22" ht="15" customHeight="1">
      <c r="C14" s="1308" t="str">
        <f>IF(Indice_index!$Z$1=1,"Derrama","Overtax")</f>
        <v>Derrama</v>
      </c>
      <c r="D14" s="1304">
        <v>234.79555175242217</v>
      </c>
      <c r="E14" s="1304">
        <v>205.61660223519911</v>
      </c>
      <c r="F14" s="1305">
        <f t="shared" si="0"/>
        <v>-12.427385995791996</v>
      </c>
      <c r="G14" s="1306">
        <f>IFERROR((E14-D14)/D43*100,"-")</f>
        <v>-0.42716102911444243</v>
      </c>
      <c r="H14" s="441"/>
      <c r="I14" s="441"/>
      <c r="J14" s="442"/>
      <c r="K14" s="215"/>
      <c r="L14" s="156"/>
      <c r="M14" s="157"/>
      <c r="N14" s="157"/>
      <c r="O14" s="158"/>
      <c r="P14" s="159"/>
      <c r="Q14" s="160"/>
      <c r="R14" s="160"/>
      <c r="S14" s="161"/>
      <c r="T14" s="161"/>
      <c r="U14" s="161"/>
      <c r="V14" s="111"/>
    </row>
    <row r="15" spans="2:22" ht="15" customHeight="1">
      <c r="C15" s="1308" t="str">
        <f>IF(Indice_index!$Z$1=1,"Outros ","Others")</f>
        <v xml:space="preserve">Outros </v>
      </c>
      <c r="D15" s="1304">
        <v>0.56821445000000004</v>
      </c>
      <c r="E15" s="1304">
        <v>0.29815603770659294</v>
      </c>
      <c r="F15" s="1305">
        <f t="shared" si="0"/>
        <v>-47.527550961332835</v>
      </c>
      <c r="G15" s="1306">
        <f>IFERROR((E15-D15)/D43*100,"-")</f>
        <v>-3.9534812330434691E-3</v>
      </c>
      <c r="H15" s="441"/>
      <c r="I15" s="441"/>
      <c r="J15" s="442"/>
      <c r="K15" s="215"/>
      <c r="L15" s="156"/>
      <c r="M15" s="157"/>
      <c r="N15" s="157"/>
      <c r="O15" s="158"/>
      <c r="P15" s="159"/>
      <c r="Q15" s="160"/>
      <c r="R15" s="160"/>
      <c r="S15" s="161"/>
      <c r="T15" s="161"/>
      <c r="U15" s="161"/>
      <c r="V15" s="111"/>
    </row>
    <row r="16" spans="2:22" ht="15" customHeight="1">
      <c r="C16" s="1307" t="str">
        <f>IF(Indice_index!$Z$1=1,"Impostos indiretos","Indirect taxes")</f>
        <v>Impostos indiretos</v>
      </c>
      <c r="D16" s="1304">
        <v>27.685920857432571</v>
      </c>
      <c r="E16" s="1304">
        <v>11.241771803728021</v>
      </c>
      <c r="F16" s="1305">
        <f t="shared" si="0"/>
        <v>-59.395348048500793</v>
      </c>
      <c r="G16" s="1306">
        <f>IFERROR((E16-D16)/D43*100,"-")</f>
        <v>-0.24073175179063871</v>
      </c>
      <c r="H16" s="441"/>
      <c r="I16" s="441"/>
      <c r="J16" s="442"/>
      <c r="K16" s="215"/>
      <c r="L16" s="156"/>
      <c r="M16" s="157"/>
      <c r="N16" s="157"/>
      <c r="O16" s="158"/>
      <c r="P16" s="159"/>
      <c r="Q16" s="160"/>
      <c r="R16" s="160"/>
      <c r="S16" s="161"/>
      <c r="T16" s="161"/>
      <c r="U16" s="161"/>
      <c r="V16" s="111"/>
    </row>
    <row r="17" spans="3:22" ht="15" customHeight="1">
      <c r="C17" s="1303" t="str">
        <f>IF(Indice_index!$Z$1=1,"Taxas, Multas e Outras Penalidades","Taxes, fines and other penalties")</f>
        <v>Taxas, Multas e Outras Penalidades</v>
      </c>
      <c r="D17" s="1304">
        <v>255.61454904894617</v>
      </c>
      <c r="E17" s="1304">
        <v>327.75621481001207</v>
      </c>
      <c r="F17" s="1305">
        <f t="shared" si="0"/>
        <v>28.222832397248212</v>
      </c>
      <c r="G17" s="1306">
        <f>IFERROR((E17-D17)/D43*100,"-")</f>
        <v>1.0561075260895747</v>
      </c>
      <c r="H17" s="441"/>
      <c r="I17" s="441"/>
      <c r="J17" s="442"/>
      <c r="K17" s="215"/>
      <c r="L17" s="156"/>
      <c r="M17" s="157"/>
      <c r="N17" s="157"/>
      <c r="O17" s="158"/>
      <c r="P17" s="159"/>
      <c r="Q17" s="160"/>
      <c r="R17" s="160"/>
      <c r="S17" s="161"/>
      <c r="T17" s="161"/>
      <c r="U17" s="161"/>
      <c r="V17" s="111"/>
    </row>
    <row r="18" spans="3:22" ht="15" customHeight="1">
      <c r="C18" s="1303" t="str">
        <f>IF(Indice_index!$Z$1=1,"Transferências Correntes","Current transfers")</f>
        <v>Transferências Correntes</v>
      </c>
      <c r="D18" s="1304">
        <v>2476.1312388055057</v>
      </c>
      <c r="E18" s="1304">
        <v>2776.678854870549</v>
      </c>
      <c r="F18" s="1305">
        <f t="shared" si="0"/>
        <v>12.137790249358044</v>
      </c>
      <c r="G18" s="1306">
        <f>IFERROR((E18-D18)/D43*100,"-")</f>
        <v>4.3998235406129949</v>
      </c>
      <c r="H18" s="441"/>
      <c r="I18" s="441"/>
      <c r="J18" s="442"/>
      <c r="K18" s="215"/>
      <c r="L18" s="156"/>
      <c r="M18" s="157"/>
      <c r="N18" s="157"/>
      <c r="O18" s="158"/>
      <c r="P18" s="159"/>
      <c r="Q18" s="160"/>
      <c r="R18" s="160"/>
      <c r="S18" s="161"/>
      <c r="T18" s="161"/>
      <c r="U18" s="161"/>
      <c r="V18" s="111"/>
    </row>
    <row r="19" spans="3:22" ht="15" customHeight="1">
      <c r="C19" s="1309" t="str">
        <f>IF(Indice_index!$Z$1=1,"Administração Central","Central Administration")</f>
        <v>Administração Central</v>
      </c>
      <c r="D19" s="1304">
        <v>2409.8538817445065</v>
      </c>
      <c r="E19" s="1304">
        <v>2662.4725869328117</v>
      </c>
      <c r="F19" s="1305">
        <f t="shared" si="0"/>
        <v>10.4827395180256</v>
      </c>
      <c r="G19" s="1306">
        <f>IFERROR((E19-D19)/D43*100,"-")</f>
        <v>3.6981751525393505</v>
      </c>
      <c r="H19" s="441"/>
      <c r="I19" s="441"/>
      <c r="J19" s="442"/>
      <c r="K19" s="215"/>
      <c r="L19" s="156"/>
      <c r="M19" s="157"/>
      <c r="N19" s="157"/>
      <c r="O19" s="158"/>
      <c r="P19" s="159"/>
      <c r="Q19" s="160"/>
      <c r="R19" s="160"/>
      <c r="S19" s="161"/>
      <c r="T19" s="161"/>
      <c r="U19" s="161"/>
      <c r="V19" s="111"/>
    </row>
    <row r="20" spans="3:22" ht="15" customHeight="1">
      <c r="C20" s="1310" t="str">
        <f>IF(Indice_index!$Z$1=1,"das quais:","of which:")</f>
        <v>das quais:</v>
      </c>
      <c r="D20" s="1304"/>
      <c r="E20" s="1304"/>
      <c r="F20" s="1305"/>
      <c r="G20" s="1306"/>
      <c r="H20" s="441"/>
      <c r="I20" s="441"/>
      <c r="J20" s="442"/>
      <c r="K20" s="215"/>
      <c r="L20" s="156"/>
      <c r="M20" s="157"/>
      <c r="N20" s="157"/>
      <c r="O20" s="158"/>
      <c r="P20" s="159"/>
      <c r="Q20" s="160"/>
      <c r="R20" s="160"/>
      <c r="S20" s="161"/>
      <c r="T20" s="161"/>
      <c r="U20" s="161"/>
      <c r="V20" s="111"/>
    </row>
    <row r="21" spans="3:22" ht="15" customHeight="1">
      <c r="C21" s="941" t="str">
        <f>IF(Indice_index!$Z$1=1,"Transferências do OE","State Budget transfers")</f>
        <v>Transferências do OE</v>
      </c>
      <c r="D21" s="1304">
        <v>1991.9363106400001</v>
      </c>
      <c r="E21" s="1304">
        <v>2019.70914855</v>
      </c>
      <c r="F21" s="1305">
        <f t="shared" ref="F21:F33" si="1">IFERROR(IF(ABS((E21-D21)/D21)*100&gt;500,"n.r.",((E21-D21)/D21)*100),0)</f>
        <v>1.3942633487652334</v>
      </c>
      <c r="G21" s="1306">
        <f>IFERROR((E21-D21)/D43*100,"-")</f>
        <v>0.40657646074824139</v>
      </c>
      <c r="H21" s="441"/>
      <c r="I21" s="441"/>
      <c r="J21" s="442"/>
      <c r="K21" s="215"/>
      <c r="L21" s="156"/>
      <c r="M21" s="157"/>
      <c r="N21" s="157"/>
      <c r="O21" s="158"/>
      <c r="P21" s="159"/>
      <c r="Q21" s="160"/>
      <c r="R21" s="160"/>
      <c r="S21" s="161"/>
      <c r="T21" s="161"/>
      <c r="U21" s="161"/>
      <c r="V21" s="111"/>
    </row>
    <row r="22" spans="3:22" ht="15" customHeight="1">
      <c r="C22" s="1311" t="str">
        <f>IF(Indice_index!$Z$1=1,"Fundo de Equilíbrio Financeiro","Financial Balance Fund")</f>
        <v>Fundo de Equilíbrio Financeiro</v>
      </c>
      <c r="D22" s="1304">
        <v>1460.080856</v>
      </c>
      <c r="E22" s="1304">
        <v>1457.2849739999999</v>
      </c>
      <c r="F22" s="1305">
        <f t="shared" si="1"/>
        <v>-0.19148816235147731</v>
      </c>
      <c r="G22" s="1306">
        <f>IFERROR((E22-D22)/D43*100,"-")</f>
        <v>-4.0929911876973438E-2</v>
      </c>
      <c r="H22" s="441"/>
      <c r="I22" s="441"/>
      <c r="J22" s="442"/>
      <c r="K22" s="215"/>
      <c r="L22" s="156"/>
      <c r="M22" s="157"/>
      <c r="N22" s="157"/>
      <c r="O22" s="158"/>
      <c r="P22" s="159"/>
      <c r="Q22" s="160"/>
      <c r="R22" s="160"/>
      <c r="S22" s="161"/>
      <c r="T22" s="161"/>
      <c r="U22" s="161"/>
      <c r="V22" s="111"/>
    </row>
    <row r="23" spans="3:22" ht="15" customHeight="1">
      <c r="C23" s="1311" t="str">
        <f>IF(Indice_index!$Z$1=1,"Fundo Social Municipal","Municipal Social Fund")</f>
        <v>Fundo Social Municipal</v>
      </c>
      <c r="D23" s="1304">
        <v>122.911756</v>
      </c>
      <c r="E23" s="1304">
        <v>155.19343799999999</v>
      </c>
      <c r="F23" s="1305">
        <f t="shared" si="1"/>
        <v>26.264112604493249</v>
      </c>
      <c r="G23" s="1306">
        <f>IFERROR((E23-D23)/D43*100,"-")</f>
        <v>0.47258303444151883</v>
      </c>
      <c r="H23" s="441"/>
      <c r="I23" s="441"/>
      <c r="J23" s="442"/>
      <c r="K23" s="215"/>
      <c r="L23" s="156"/>
      <c r="M23" s="157"/>
      <c r="N23" s="157"/>
      <c r="O23" s="158"/>
      <c r="P23" s="159"/>
      <c r="Q23" s="160"/>
      <c r="R23" s="160"/>
      <c r="S23" s="161"/>
      <c r="T23" s="161"/>
      <c r="U23" s="161"/>
      <c r="V23" s="111"/>
    </row>
    <row r="24" spans="3:22" ht="15" customHeight="1">
      <c r="C24" s="1311" t="str">
        <f>IF(Indice_index!$Z$1=1,"Participação IRS","Personal income tax (IRS) participation")</f>
        <v>Participação IRS</v>
      </c>
      <c r="D24" s="1304">
        <v>365.22751699999998</v>
      </c>
      <c r="E24" s="1304">
        <v>371.58411000000001</v>
      </c>
      <c r="F24" s="1305">
        <f t="shared" si="1"/>
        <v>1.7404474482682619</v>
      </c>
      <c r="G24" s="1306">
        <f>IFERROR((E24-D24)/D43*100,"-")</f>
        <v>9.3056427749016735E-2</v>
      </c>
      <c r="H24" s="441"/>
      <c r="I24" s="441"/>
      <c r="J24" s="442"/>
      <c r="K24" s="215"/>
      <c r="L24" s="156"/>
      <c r="M24" s="157"/>
      <c r="N24" s="157"/>
      <c r="O24" s="158"/>
      <c r="P24" s="159"/>
      <c r="Q24" s="160"/>
      <c r="R24" s="160"/>
      <c r="S24" s="161"/>
      <c r="T24" s="161"/>
      <c r="U24" s="162"/>
      <c r="V24" s="111"/>
    </row>
    <row r="25" spans="3:22" ht="15" customHeight="1">
      <c r="C25" s="1311" t="str">
        <f>IF(Indice_index!$Z$1=1,"Participação no IVA","Value-added tax (IVA) participation")</f>
        <v>Participação no IVA</v>
      </c>
      <c r="D25" s="1304">
        <v>43.716181640000002</v>
      </c>
      <c r="E25" s="1304">
        <v>35.646626549999993</v>
      </c>
      <c r="F25" s="1305">
        <f t="shared" ref="F25" si="2">IFERROR(IF(ABS((E25-D25)/D25)*100&gt;500,"n.r.",((E25-D25)/D25)*100),0)</f>
        <v>-18.458965964713673</v>
      </c>
      <c r="G25" s="1306">
        <f>IFERROR((E25-D25)/D43*100,"-")</f>
        <v>-0.11813308956532095</v>
      </c>
      <c r="H25" s="441"/>
      <c r="I25" s="441"/>
      <c r="J25" s="442"/>
      <c r="K25" s="215"/>
      <c r="L25" s="156"/>
      <c r="M25" s="157"/>
      <c r="N25" s="157"/>
      <c r="O25" s="158"/>
      <c r="P25" s="159"/>
      <c r="Q25" s="160"/>
      <c r="R25" s="160"/>
      <c r="S25" s="161"/>
      <c r="T25" s="161"/>
      <c r="U25" s="162"/>
      <c r="V25" s="111"/>
    </row>
    <row r="26" spans="3:22" ht="15" customHeight="1">
      <c r="C26" s="1307" t="str">
        <f>IF(Indice_index!$Z$1=1,"Outros subsectores das AP","Other General Government subsectors")</f>
        <v>Outros subsectores das AP</v>
      </c>
      <c r="D26" s="1304">
        <v>2.1667880999983993</v>
      </c>
      <c r="E26" s="1304">
        <v>5.4776126899984003</v>
      </c>
      <c r="F26" s="1305">
        <f t="shared" si="1"/>
        <v>152.79872498849551</v>
      </c>
      <c r="G26" s="1306">
        <f>IFERROR((E26-D26)/D43*100,"-")</f>
        <v>4.8468339761410156E-2</v>
      </c>
      <c r="H26" s="441"/>
      <c r="I26" s="441"/>
      <c r="J26" s="442"/>
      <c r="K26" s="215"/>
      <c r="L26" s="156"/>
      <c r="M26" s="157"/>
      <c r="N26" s="157"/>
      <c r="O26" s="158"/>
      <c r="P26" s="159"/>
      <c r="Q26" s="160"/>
      <c r="R26" s="160"/>
      <c r="S26" s="161"/>
      <c r="T26" s="161"/>
      <c r="U26" s="161"/>
      <c r="V26" s="111"/>
    </row>
    <row r="27" spans="3:22" ht="15" customHeight="1">
      <c r="C27" s="1307" t="str">
        <f>IF(Indice_index!$Z$1=1,"União Europeia","European Union")</f>
        <v>União Europeia</v>
      </c>
      <c r="D27" s="1304">
        <v>50.64330649100048</v>
      </c>
      <c r="E27" s="1304">
        <v>87.13996716647992</v>
      </c>
      <c r="F27" s="1305">
        <f t="shared" si="1"/>
        <v>72.066109431391581</v>
      </c>
      <c r="G27" s="1306">
        <f>IFERROR((E27-D27)/D43*100,"-")</f>
        <v>0.53428760772132422</v>
      </c>
      <c r="H27" s="441"/>
      <c r="I27" s="441"/>
      <c r="J27" s="442"/>
      <c r="K27" s="215"/>
      <c r="L27" s="156"/>
      <c r="M27" s="157"/>
      <c r="N27" s="157"/>
      <c r="O27" s="158"/>
      <c r="P27" s="159"/>
      <c r="Q27" s="160"/>
      <c r="R27" s="160"/>
      <c r="S27" s="161"/>
      <c r="T27" s="161"/>
      <c r="U27" s="161"/>
      <c r="V27" s="111"/>
    </row>
    <row r="28" spans="3:22" ht="15" customHeight="1">
      <c r="C28" s="1307" t="str">
        <f>IF(Indice_index!$Z$1=1,"Outras transferências","Other transfers")</f>
        <v>Outras transferências</v>
      </c>
      <c r="D28" s="1304">
        <v>13.467262469999998</v>
      </c>
      <c r="E28" s="1304">
        <v>21.588688081259022</v>
      </c>
      <c r="F28" s="1305">
        <f t="shared" si="1"/>
        <v>60.304947864129844</v>
      </c>
      <c r="G28" s="1306">
        <f>IFERROR((E28-D28)/D43*100,"-")</f>
        <v>0.11889244059091648</v>
      </c>
      <c r="H28" s="441"/>
      <c r="I28" s="441"/>
      <c r="J28" s="442"/>
      <c r="K28" s="215"/>
      <c r="L28" s="156"/>
      <c r="M28" s="157"/>
      <c r="N28" s="157"/>
      <c r="O28" s="158"/>
      <c r="P28" s="159"/>
      <c r="Q28" s="160"/>
      <c r="R28" s="160"/>
      <c r="S28" s="161"/>
      <c r="T28" s="161"/>
      <c r="U28" s="161"/>
      <c r="V28" s="111"/>
    </row>
    <row r="29" spans="3:22" ht="15" customHeight="1">
      <c r="C29" s="1303" t="str">
        <f>IF(Indice_index!$Z$1=1,"Outras receitas correntes","Other current revenue")</f>
        <v>Outras receitas correntes</v>
      </c>
      <c r="D29" s="1304">
        <v>841.04690435753071</v>
      </c>
      <c r="E29" s="1304">
        <v>921.70003948707676</v>
      </c>
      <c r="F29" s="1305">
        <f t="shared" si="1"/>
        <v>9.5896120313475706</v>
      </c>
      <c r="G29" s="1306">
        <f>IFERROR((E29-D29)/D43*100,"-")</f>
        <v>1.1807099560903533</v>
      </c>
      <c r="H29" s="441"/>
      <c r="I29" s="441"/>
      <c r="J29" s="442"/>
      <c r="K29" s="215"/>
      <c r="L29" s="156"/>
      <c r="M29" s="157"/>
      <c r="N29" s="157"/>
      <c r="O29" s="158"/>
      <c r="P29" s="159"/>
      <c r="Q29" s="160"/>
      <c r="R29" s="160"/>
      <c r="S29" s="161"/>
      <c r="T29" s="161"/>
      <c r="U29" s="161"/>
      <c r="V29" s="111"/>
    </row>
    <row r="30" spans="3:22" s="250" customFormat="1" ht="15" customHeight="1">
      <c r="C30" s="1312" t="str">
        <f>IF(Indice_index!$Z$1=1,"Receita de capital","Capital revenue")</f>
        <v>Receita de capital</v>
      </c>
      <c r="D30" s="1302">
        <v>844.4199170998105</v>
      </c>
      <c r="E30" s="1302">
        <v>647.4429241114658</v>
      </c>
      <c r="F30" s="301">
        <f t="shared" si="1"/>
        <v>-23.32690039629442</v>
      </c>
      <c r="G30" s="159">
        <f>IFERROR((E30-D30)/D43*100,"-")</f>
        <v>-2.8836163202895606</v>
      </c>
      <c r="H30" s="441"/>
      <c r="I30" s="441"/>
      <c r="J30" s="442"/>
      <c r="K30" s="309"/>
      <c r="L30" s="301"/>
      <c r="M30" s="310"/>
      <c r="N30" s="310"/>
      <c r="O30" s="159"/>
      <c r="P30" s="159"/>
      <c r="Q30" s="311"/>
      <c r="R30" s="311"/>
      <c r="S30" s="312"/>
      <c r="T30" s="312"/>
      <c r="U30" s="312"/>
      <c r="V30" s="313"/>
    </row>
    <row r="31" spans="3:22" ht="15" customHeight="1">
      <c r="C31" s="1303" t="str">
        <f>IF(Indice_index!$Z$1=1,"Venda de Bens de Investimento","Sale of investment goods")</f>
        <v>Venda de Bens de Investimento</v>
      </c>
      <c r="D31" s="1304">
        <v>64.626278339404976</v>
      </c>
      <c r="E31" s="1304">
        <v>32.075474410115135</v>
      </c>
      <c r="F31" s="1305">
        <f t="shared" si="1"/>
        <v>-50.367752508258611</v>
      </c>
      <c r="G31" s="1306">
        <f>IFERROR((E31-D31)/D43*100,"-")</f>
        <v>-0.47652280616650378</v>
      </c>
      <c r="H31" s="441"/>
      <c r="I31" s="441"/>
      <c r="J31" s="442"/>
      <c r="K31" s="215"/>
      <c r="L31" s="156"/>
      <c r="M31" s="157"/>
      <c r="N31" s="157"/>
      <c r="O31" s="158"/>
      <c r="P31" s="159"/>
      <c r="Q31" s="160"/>
      <c r="R31" s="160"/>
      <c r="S31" s="161"/>
      <c r="T31" s="161"/>
      <c r="U31" s="161"/>
      <c r="V31" s="111"/>
    </row>
    <row r="32" spans="3:22" ht="15" customHeight="1">
      <c r="C32" s="1303" t="str">
        <f>IF(Indice_index!$Z$1=1,"Transferências de Capital","Capital transfers")</f>
        <v>Transferências de Capital</v>
      </c>
      <c r="D32" s="1304">
        <v>766.34038655932136</v>
      </c>
      <c r="E32" s="1304">
        <v>599.37868764603718</v>
      </c>
      <c r="F32" s="1305">
        <f t="shared" si="1"/>
        <v>-21.78688502414715</v>
      </c>
      <c r="G32" s="1306">
        <f>IFERROR((E32-D32)/D43*100,"-")</f>
        <v>-2.4442117454707319</v>
      </c>
      <c r="H32" s="441"/>
      <c r="I32" s="441"/>
      <c r="J32" s="442"/>
      <c r="K32" s="215"/>
      <c r="L32" s="156"/>
      <c r="M32" s="157"/>
      <c r="N32" s="157"/>
      <c r="O32" s="158"/>
      <c r="P32" s="159"/>
      <c r="Q32" s="160"/>
      <c r="R32" s="160"/>
      <c r="S32" s="161"/>
      <c r="T32" s="161"/>
      <c r="U32" s="161"/>
      <c r="V32" s="111"/>
    </row>
    <row r="33" spans="3:22" ht="15" customHeight="1">
      <c r="C33" s="1309" t="str">
        <f>IF(Indice_index!$Z$1=1,"Administração Central","Central Administration")</f>
        <v>Administração Central</v>
      </c>
      <c r="D33" s="1304">
        <v>314.61926662573376</v>
      </c>
      <c r="E33" s="1304">
        <v>272.32063792661802</v>
      </c>
      <c r="F33" s="1305">
        <f t="shared" si="1"/>
        <v>-13.444386020209478</v>
      </c>
      <c r="G33" s="1306">
        <f>IFERROR((E33-D33)/D43*100,"-")</f>
        <v>-0.61922468300577516</v>
      </c>
      <c r="H33" s="441"/>
      <c r="I33" s="441"/>
      <c r="J33" s="442"/>
      <c r="K33" s="215"/>
      <c r="L33" s="156"/>
      <c r="M33" s="157"/>
      <c r="N33" s="157"/>
      <c r="O33" s="158"/>
      <c r="P33" s="159"/>
      <c r="Q33" s="160"/>
      <c r="R33" s="160"/>
      <c r="S33" s="161"/>
      <c r="T33" s="161"/>
      <c r="U33" s="161"/>
      <c r="V33" s="111"/>
    </row>
    <row r="34" spans="3:22" ht="15" customHeight="1">
      <c r="C34" s="1310" t="str">
        <f>IF(Indice_index!$Z$1=1,"das quais:","of which:")</f>
        <v>das quais:</v>
      </c>
      <c r="D34" s="1304"/>
      <c r="E34" s="1304"/>
      <c r="F34" s="1305"/>
      <c r="G34" s="1306"/>
      <c r="H34" s="441"/>
      <c r="I34" s="441"/>
      <c r="J34" s="442"/>
      <c r="K34" s="215"/>
      <c r="L34" s="156"/>
      <c r="M34" s="157"/>
      <c r="N34" s="157"/>
      <c r="O34" s="158"/>
      <c r="P34" s="159"/>
      <c r="Q34" s="160"/>
      <c r="R34" s="160"/>
      <c r="S34" s="161"/>
      <c r="T34" s="161"/>
      <c r="U34" s="161"/>
      <c r="V34" s="111"/>
    </row>
    <row r="35" spans="3:22" ht="15" customHeight="1">
      <c r="C35" s="941" t="str">
        <f>IF(Indice_index!$Z$1=1,"Transferências do OE","State Budget transfers")</f>
        <v>Transferências do OE</v>
      </c>
      <c r="D35" s="1304">
        <v>291.08796541999999</v>
      </c>
      <c r="E35" s="1304">
        <v>230.63889771000001</v>
      </c>
      <c r="F35" s="1305">
        <f t="shared" ref="F35:F41" si="3">IFERROR(IF(ABS((E35-D35)/D35)*100&gt;500,"n.r.",((E35-D35)/D35)*100),0)</f>
        <v>-20.766598036019893</v>
      </c>
      <c r="G35" s="1306">
        <f>IFERROR((E35-D35)/D43*100,"-")</f>
        <v>-0.88493542088521393</v>
      </c>
      <c r="H35" s="441"/>
      <c r="I35" s="441"/>
      <c r="J35" s="442"/>
      <c r="K35" s="215"/>
      <c r="L35" s="156"/>
      <c r="M35" s="157"/>
      <c r="N35" s="157"/>
      <c r="O35" s="158"/>
      <c r="P35" s="159"/>
      <c r="Q35" s="160"/>
      <c r="R35" s="160"/>
      <c r="S35" s="161"/>
      <c r="T35" s="161"/>
      <c r="U35" s="161"/>
      <c r="V35" s="111"/>
    </row>
    <row r="36" spans="3:22" ht="15" customHeight="1">
      <c r="C36" s="1311" t="str">
        <f>IF(Indice_index!$Z$1=1,"Fundo de Equilíbrio Financeiro","Financial Balance Fund")</f>
        <v>Fundo de Equilíbrio Financeiro</v>
      </c>
      <c r="D36" s="1304">
        <v>165.90987441999999</v>
      </c>
      <c r="E36" s="1304">
        <v>164.27228671</v>
      </c>
      <c r="F36" s="1305">
        <f t="shared" si="3"/>
        <v>-0.98703450636967294</v>
      </c>
      <c r="G36" s="1306">
        <f>IFERROR((E36-D36)/D43*100,"-")</f>
        <v>-2.3973229435688453E-2</v>
      </c>
      <c r="H36" s="441"/>
      <c r="I36" s="441"/>
      <c r="J36" s="442"/>
      <c r="K36" s="215"/>
      <c r="L36" s="156"/>
      <c r="M36" s="157"/>
      <c r="N36" s="157"/>
      <c r="O36" s="158"/>
      <c r="P36" s="159"/>
      <c r="Q36" s="160"/>
      <c r="R36" s="160"/>
      <c r="S36" s="161"/>
      <c r="T36" s="161"/>
      <c r="U36" s="161"/>
      <c r="V36" s="111"/>
    </row>
    <row r="37" spans="3:22" ht="15" customHeight="1">
      <c r="C37" s="1311" t="str">
        <f>IF(Indice_index!$Z$1=1,"Adicional 2018","Additional 2018")</f>
        <v>Adicional 2018</v>
      </c>
      <c r="D37" s="1304">
        <v>125.17809100000001</v>
      </c>
      <c r="E37" s="1304">
        <v>66.366611000000006</v>
      </c>
      <c r="F37" s="1305">
        <f t="shared" si="3"/>
        <v>-46.982247077086356</v>
      </c>
      <c r="G37" s="1306">
        <f>IFERROR((E37-D37)/D43*100,"-")</f>
        <v>-0.86096219144952568</v>
      </c>
      <c r="H37" s="441"/>
      <c r="I37" s="441"/>
      <c r="J37" s="442"/>
      <c r="K37" s="215"/>
      <c r="L37" s="156"/>
      <c r="M37" s="157"/>
      <c r="N37" s="157"/>
      <c r="O37" s="158"/>
      <c r="P37" s="159"/>
      <c r="Q37" s="160"/>
      <c r="R37" s="160"/>
      <c r="S37" s="161"/>
      <c r="T37" s="161"/>
      <c r="U37" s="161"/>
      <c r="V37" s="111"/>
    </row>
    <row r="38" spans="3:22" ht="15" customHeight="1">
      <c r="C38" s="1307" t="str">
        <f>IF(Indice_index!$Z$1=1,"Outros subsectores das AP","Other General Government subsectors")</f>
        <v>Outros subsectores das AP</v>
      </c>
      <c r="D38" s="1304">
        <v>4.8692698800000755</v>
      </c>
      <c r="E38" s="1304">
        <v>4.9581774800000744</v>
      </c>
      <c r="F38" s="1305">
        <f t="shared" si="3"/>
        <v>1.8258918111147597</v>
      </c>
      <c r="G38" s="1306">
        <f>IFERROR((E38-D38)/D43*100,"-")</f>
        <v>1.3015500057559659E-3</v>
      </c>
      <c r="H38" s="441"/>
      <c r="I38" s="441"/>
      <c r="J38" s="442"/>
      <c r="K38" s="215"/>
      <c r="L38" s="156"/>
      <c r="M38" s="157"/>
      <c r="N38" s="157"/>
      <c r="O38" s="158"/>
      <c r="P38" s="159"/>
      <c r="Q38" s="160"/>
      <c r="R38" s="160"/>
      <c r="S38" s="161"/>
      <c r="T38" s="161"/>
      <c r="U38" s="161"/>
      <c r="V38" s="111"/>
    </row>
    <row r="39" spans="3:22" ht="15" customHeight="1">
      <c r="C39" s="1307" t="str">
        <f>IF(Indice_index!$Z$1=1,"União Europeia","European Union")</f>
        <v>União Europeia</v>
      </c>
      <c r="D39" s="1304">
        <v>442.39727908358759</v>
      </c>
      <c r="E39" s="1304">
        <v>318.55476103396597</v>
      </c>
      <c r="F39" s="1305">
        <f t="shared" si="3"/>
        <v>-27.993508076305893</v>
      </c>
      <c r="G39" s="1306">
        <f>IFERROR((E39-D39)/D43*100,"-")</f>
        <v>-1.8129747072277329</v>
      </c>
      <c r="H39" s="441"/>
      <c r="I39" s="441"/>
      <c r="J39" s="442"/>
      <c r="K39" s="215"/>
      <c r="L39" s="156"/>
      <c r="M39" s="157"/>
      <c r="N39" s="157"/>
      <c r="O39" s="158"/>
      <c r="P39" s="159"/>
      <c r="Q39" s="160"/>
      <c r="R39" s="160"/>
      <c r="S39" s="161"/>
      <c r="T39" s="161"/>
      <c r="U39" s="161"/>
      <c r="V39" s="111"/>
    </row>
    <row r="40" spans="3:22" ht="15" customHeight="1">
      <c r="C40" s="1307" t="str">
        <f>IF(Indice_index!$Z$1=1,"Outras transferências","Other transfers")</f>
        <v>Outras transferências</v>
      </c>
      <c r="D40" s="1304">
        <v>4.4545709700000007</v>
      </c>
      <c r="E40" s="1304">
        <v>3.5451112054531806</v>
      </c>
      <c r="F40" s="1305">
        <f t="shared" si="3"/>
        <v>-20.416326750021899</v>
      </c>
      <c r="G40" s="1306">
        <f>IFERROR((E40-D40)/D43*100,"-")</f>
        <v>-1.3313905242979769E-2</v>
      </c>
      <c r="H40" s="441"/>
      <c r="I40" s="441"/>
      <c r="J40" s="442"/>
      <c r="K40" s="215"/>
      <c r="L40" s="156"/>
      <c r="M40" s="157"/>
      <c r="N40" s="157"/>
      <c r="O40" s="158"/>
      <c r="P40" s="159"/>
      <c r="Q40" s="160"/>
      <c r="R40" s="160"/>
      <c r="S40" s="161"/>
      <c r="T40" s="161"/>
      <c r="U40" s="161"/>
      <c r="V40" s="111"/>
    </row>
    <row r="41" spans="3:22" ht="15" customHeight="1">
      <c r="C41" s="1303" t="str">
        <f>IF(Indice_index!$Z$1=1,"Outras receitas de capital","Other capital revenue")</f>
        <v>Outras receitas de capital</v>
      </c>
      <c r="D41" s="1304">
        <v>13.45325220108418</v>
      </c>
      <c r="E41" s="1304">
        <v>15.988762055313538</v>
      </c>
      <c r="F41" s="1305">
        <f t="shared" si="3"/>
        <v>18.846817232973791</v>
      </c>
      <c r="G41" s="1306">
        <f>IFERROR((E41-D41)/D43*100,"-")</f>
        <v>3.7118231347675251E-2</v>
      </c>
      <c r="H41" s="441"/>
      <c r="I41" s="441"/>
      <c r="J41" s="442"/>
      <c r="K41" s="215"/>
      <c r="L41" s="156"/>
      <c r="M41" s="157"/>
      <c r="N41" s="157"/>
      <c r="O41" s="158"/>
      <c r="P41" s="159"/>
      <c r="Q41" s="160"/>
      <c r="R41" s="160"/>
      <c r="S41" s="161"/>
      <c r="T41" s="161"/>
      <c r="U41" s="161"/>
      <c r="V41" s="111"/>
    </row>
    <row r="42" spans="3:22" ht="4.5" customHeight="1">
      <c r="C42" s="1303"/>
      <c r="D42" s="1304"/>
      <c r="E42" s="1304"/>
      <c r="F42" s="1313"/>
      <c r="G42" s="1314"/>
      <c r="H42" s="441"/>
      <c r="I42" s="441"/>
      <c r="J42" s="442"/>
      <c r="K42" s="215"/>
      <c r="L42" s="156"/>
      <c r="M42" s="157"/>
      <c r="N42" s="157"/>
      <c r="O42" s="158"/>
      <c r="P42" s="159"/>
      <c r="Q42" s="160"/>
      <c r="R42" s="160"/>
      <c r="S42" s="161"/>
      <c r="T42" s="161"/>
      <c r="U42" s="161"/>
      <c r="V42" s="111"/>
    </row>
    <row r="43" spans="3:22" s="250" customFormat="1" ht="15" customHeight="1">
      <c r="C43" s="1312" t="str">
        <f>IF(Indice_index!$Z$1=1,"Receita Efetiva","Effective revenue")</f>
        <v>Receita Efetiva</v>
      </c>
      <c r="D43" s="1302">
        <v>6830.9015870934272</v>
      </c>
      <c r="E43" s="1302">
        <v>7417.3239791620072</v>
      </c>
      <c r="F43" s="301">
        <f>IFERROR(IF(ABS((E43-D43)/D43)*100&gt;500,"n.r.",((E43-D43)/D43)*100),0)</f>
        <v>8.58484615232328</v>
      </c>
      <c r="G43" s="1315">
        <f>IFERROR((E43-D43)/D43*100,"-")</f>
        <v>8.58484615232328</v>
      </c>
      <c r="H43" s="441"/>
      <c r="I43" s="441"/>
      <c r="J43" s="442"/>
      <c r="K43" s="309"/>
      <c r="L43" s="301"/>
      <c r="M43" s="310"/>
      <c r="N43" s="310"/>
      <c r="O43" s="159"/>
      <c r="P43" s="159"/>
      <c r="Q43" s="311"/>
      <c r="R43" s="311"/>
      <c r="S43" s="312"/>
      <c r="T43" s="312"/>
      <c r="U43" s="312"/>
      <c r="V43" s="313"/>
    </row>
    <row r="44" spans="3:22" ht="4.5" customHeight="1">
      <c r="C44" s="1214"/>
      <c r="D44" s="1304"/>
      <c r="E44" s="1304"/>
      <c r="F44" s="1305"/>
      <c r="G44" s="1314"/>
      <c r="H44" s="441"/>
      <c r="I44" s="441"/>
      <c r="J44" s="442"/>
      <c r="K44" s="215"/>
      <c r="L44" s="156"/>
      <c r="M44" s="157"/>
      <c r="N44" s="157"/>
      <c r="O44" s="158"/>
      <c r="P44" s="159"/>
      <c r="Q44" s="160"/>
      <c r="R44" s="160"/>
      <c r="S44" s="161"/>
      <c r="T44" s="161"/>
      <c r="U44" s="161"/>
      <c r="V44" s="111"/>
    </row>
    <row r="45" spans="3:22" s="250" customFormat="1" ht="15" customHeight="1">
      <c r="C45" s="1316" t="str">
        <f>IF(Indice_index!$Z$1=1,"Despesa Corrente","Current expenditure")</f>
        <v>Despesa Corrente</v>
      </c>
      <c r="D45" s="1302">
        <v>4722.8639023496162</v>
      </c>
      <c r="E45" s="1302">
        <v>5162.5776879471186</v>
      </c>
      <c r="F45" s="301">
        <f t="shared" ref="F45:F62" si="4">IFERROR(IF(ABS((E45-D45)/D45)*100&gt;500,"n.r.",((E45-D45)/D45)*100),0)</f>
        <v>9.3103209130956674</v>
      </c>
      <c r="G45" s="1315">
        <f>IFERROR((E45-D45)/D64*100,"-")</f>
        <v>6.6912205828177775</v>
      </c>
      <c r="H45" s="441"/>
      <c r="I45" s="441"/>
      <c r="J45" s="442"/>
      <c r="K45" s="309"/>
      <c r="L45" s="301"/>
      <c r="M45" s="310"/>
      <c r="N45" s="310"/>
      <c r="O45" s="159"/>
      <c r="P45" s="159"/>
      <c r="Q45" s="311"/>
      <c r="R45" s="311"/>
      <c r="S45" s="312"/>
      <c r="T45" s="312"/>
      <c r="U45" s="312"/>
      <c r="V45" s="313"/>
    </row>
    <row r="46" spans="3:22" ht="15" customHeight="1">
      <c r="C46" s="1303" t="str">
        <f>IF(Indice_index!$Z$1=1,"Despesas com o pessoal","Employees")</f>
        <v>Despesas com o pessoal</v>
      </c>
      <c r="D46" s="1304">
        <v>2093.1315851591944</v>
      </c>
      <c r="E46" s="1304">
        <v>2315.6481071723329</v>
      </c>
      <c r="F46" s="1305">
        <f t="shared" si="4"/>
        <v>10.630794718823893</v>
      </c>
      <c r="G46" s="1314">
        <f>IFERROR((E46-D46)/D64*100,"-")</f>
        <v>3.3860824492644563</v>
      </c>
      <c r="H46" s="441"/>
      <c r="I46" s="441"/>
      <c r="J46" s="442"/>
      <c r="K46" s="215"/>
      <c r="L46" s="156"/>
      <c r="M46" s="157"/>
      <c r="N46" s="157"/>
      <c r="O46" s="158"/>
      <c r="P46" s="159"/>
      <c r="Q46" s="160"/>
      <c r="R46" s="160"/>
      <c r="S46" s="161"/>
      <c r="T46" s="161"/>
      <c r="U46" s="161"/>
      <c r="V46" s="111"/>
    </row>
    <row r="47" spans="3:22" ht="15" customHeight="1">
      <c r="C47" s="786" t="str">
        <f>IF(Indice_index!$Z$1=1,"Remunerações Certas e Permanentes","Certain and permanent wages")</f>
        <v>Remunerações Certas e Permanentes</v>
      </c>
      <c r="D47" s="1304">
        <v>1551.4761532871464</v>
      </c>
      <c r="E47" s="1304">
        <v>1716.5186786117608</v>
      </c>
      <c r="F47" s="1305">
        <f t="shared" si="4"/>
        <v>10.637773901644264</v>
      </c>
      <c r="G47" s="1314">
        <f>IFERROR((E47-D47)/D64*100,"-")</f>
        <v>2.5114881058178877</v>
      </c>
      <c r="H47" s="441"/>
      <c r="I47" s="441"/>
      <c r="J47" s="442"/>
      <c r="K47" s="215"/>
      <c r="L47" s="156"/>
      <c r="M47" s="157"/>
      <c r="N47" s="157"/>
      <c r="O47" s="158"/>
      <c r="P47" s="159"/>
      <c r="Q47" s="160"/>
      <c r="R47" s="160"/>
      <c r="S47" s="161"/>
      <c r="T47" s="161"/>
      <c r="U47" s="161"/>
      <c r="V47" s="111"/>
    </row>
    <row r="48" spans="3:22" ht="15" customHeight="1">
      <c r="C48" s="786" t="str">
        <f>IF(Indice_index!$Z$1=1,"Abonos Variáveis ou Eventuais","Variable or contingent bonuses")</f>
        <v>Abonos Variáveis ou Eventuais</v>
      </c>
      <c r="D48" s="1304">
        <v>87.762657450448359</v>
      </c>
      <c r="E48" s="1304">
        <v>102.96879530467845</v>
      </c>
      <c r="F48" s="1305">
        <f t="shared" si="4"/>
        <v>17.326432785852713</v>
      </c>
      <c r="G48" s="1314">
        <f>IFERROR((E48-D48)/D64*100,"-")</f>
        <v>0.23139511638719676</v>
      </c>
      <c r="H48" s="441"/>
      <c r="I48" s="441"/>
      <c r="J48" s="442"/>
      <c r="K48" s="215"/>
      <c r="L48" s="156"/>
      <c r="M48" s="157"/>
      <c r="N48" s="157"/>
      <c r="O48" s="158"/>
      <c r="P48" s="159"/>
      <c r="Q48" s="160"/>
      <c r="R48" s="160"/>
      <c r="S48" s="161"/>
      <c r="T48" s="161"/>
      <c r="U48" s="161"/>
      <c r="V48" s="111"/>
    </row>
    <row r="49" spans="3:22" ht="15" customHeight="1">
      <c r="C49" s="786" t="str">
        <f>IF(Indice_index!$Z$1=1,"Segurança social","Social security")</f>
        <v>Segurança social</v>
      </c>
      <c r="D49" s="1304">
        <v>453.89277442159965</v>
      </c>
      <c r="E49" s="1304">
        <v>496.16063325589369</v>
      </c>
      <c r="F49" s="1305">
        <f t="shared" si="4"/>
        <v>9.3123004410361929</v>
      </c>
      <c r="G49" s="1314">
        <f>IFERROR((E49-D49)/D64*100,"-")</f>
        <v>0.64319922705937305</v>
      </c>
      <c r="H49" s="441"/>
      <c r="I49" s="441"/>
      <c r="J49" s="442"/>
      <c r="K49" s="215"/>
      <c r="L49" s="156"/>
      <c r="M49" s="157"/>
      <c r="N49" s="157"/>
      <c r="O49" s="158"/>
      <c r="P49" s="159"/>
      <c r="Q49" s="160"/>
      <c r="R49" s="160"/>
      <c r="S49" s="161"/>
      <c r="T49" s="161"/>
      <c r="U49" s="161"/>
      <c r="V49" s="111"/>
    </row>
    <row r="50" spans="3:22" ht="15" customHeight="1">
      <c r="C50" s="1303" t="str">
        <f>IF(Indice_index!$Z$1=1,"Aquisição de bens e serviços","Purchase of goods and services")</f>
        <v>Aquisição de bens e serviços</v>
      </c>
      <c r="D50" s="1304">
        <v>1619.0483329766951</v>
      </c>
      <c r="E50" s="1304">
        <v>1823.2775732125033</v>
      </c>
      <c r="F50" s="1305">
        <f t="shared" si="4"/>
        <v>12.614153393452025</v>
      </c>
      <c r="G50" s="1314">
        <f>IFERROR((E50-D50)/D64*100,"-")</f>
        <v>3.107800893761286</v>
      </c>
      <c r="H50" s="441"/>
      <c r="I50" s="441"/>
      <c r="J50" s="442"/>
      <c r="K50" s="215"/>
      <c r="L50" s="156"/>
      <c r="M50" s="157"/>
      <c r="N50" s="157"/>
      <c r="O50" s="158"/>
      <c r="P50" s="159"/>
      <c r="Q50" s="160"/>
      <c r="R50" s="160"/>
      <c r="S50" s="161"/>
      <c r="T50" s="161"/>
      <c r="U50" s="161"/>
      <c r="V50" s="111"/>
    </row>
    <row r="51" spans="3:22" ht="15" customHeight="1">
      <c r="C51" s="1303" t="str">
        <f>IF(Indice_index!$Z$1=1,"Juros e outros encargos","Interests and other charges")</f>
        <v>Juros e outros encargos</v>
      </c>
      <c r="D51" s="1304">
        <v>23.848209605758765</v>
      </c>
      <c r="E51" s="1304">
        <v>21.157022103508858</v>
      </c>
      <c r="F51" s="1305">
        <f t="shared" si="4"/>
        <v>-11.284652167767135</v>
      </c>
      <c r="G51" s="1314">
        <f>IFERROR((E51-D51)/D64*100,"-")</f>
        <v>-4.0952387205253044E-2</v>
      </c>
      <c r="H51" s="441"/>
      <c r="I51" s="441"/>
      <c r="J51" s="442"/>
      <c r="K51" s="215"/>
      <c r="L51" s="156"/>
      <c r="M51" s="157"/>
      <c r="N51" s="157"/>
      <c r="O51" s="158"/>
      <c r="P51" s="159"/>
      <c r="Q51" s="160"/>
      <c r="R51" s="160"/>
      <c r="S51" s="161"/>
      <c r="T51" s="161"/>
      <c r="U51" s="161"/>
      <c r="V51" s="111"/>
    </row>
    <row r="52" spans="3:22" ht="15" customHeight="1">
      <c r="C52" s="1303" t="str">
        <f>IF(Indice_index!$Z$1=1,"Transferências correntes","Current transfers")</f>
        <v>Transferências correntes</v>
      </c>
      <c r="D52" s="1304">
        <v>735.56173943501835</v>
      </c>
      <c r="E52" s="1304">
        <v>718.12334063569324</v>
      </c>
      <c r="F52" s="1305">
        <f t="shared" si="4"/>
        <v>-2.3707593617796747</v>
      </c>
      <c r="G52" s="1314">
        <f>IFERROR((E52-D52)/D64*100,"-")</f>
        <v>-0.26536391807428422</v>
      </c>
      <c r="H52" s="441"/>
      <c r="I52" s="441"/>
      <c r="J52" s="442"/>
      <c r="K52" s="215"/>
      <c r="L52" s="156"/>
      <c r="M52" s="157"/>
      <c r="N52" s="157"/>
      <c r="O52" s="158"/>
      <c r="P52" s="159"/>
      <c r="Q52" s="160"/>
      <c r="R52" s="160"/>
      <c r="S52" s="161"/>
      <c r="T52" s="161"/>
      <c r="U52" s="161"/>
      <c r="V52" s="111"/>
    </row>
    <row r="53" spans="3:22" ht="15" customHeight="1">
      <c r="C53" s="1307" t="str">
        <f>IF(Indice_index!$Z$1=1,"Subsectores das AP","General Government subsectors")</f>
        <v>Subsectores das AP</v>
      </c>
      <c r="D53" s="1304">
        <v>308.12321039278686</v>
      </c>
      <c r="E53" s="1304">
        <v>333.33534646278684</v>
      </c>
      <c r="F53" s="1305">
        <f t="shared" si="4"/>
        <v>8.1824851941079864</v>
      </c>
      <c r="G53" s="1314">
        <f>IFERROR((E53-D53)/D64*100,"-")</f>
        <v>0.38365857367685091</v>
      </c>
      <c r="H53" s="441"/>
      <c r="I53" s="441"/>
      <c r="J53" s="442"/>
      <c r="K53" s="215"/>
      <c r="L53" s="156"/>
      <c r="M53" s="157"/>
      <c r="N53" s="157"/>
      <c r="O53" s="158"/>
      <c r="P53" s="159"/>
      <c r="Q53" s="160"/>
      <c r="R53" s="160"/>
      <c r="S53" s="161"/>
      <c r="T53" s="161"/>
      <c r="U53" s="161"/>
      <c r="V53" s="111"/>
    </row>
    <row r="54" spans="3:22" ht="15" customHeight="1">
      <c r="C54" s="1307" t="str">
        <f>IF(Indice_index!$Z$1=1,"Outras transferências","Other transfers")</f>
        <v>Outras transferências</v>
      </c>
      <c r="D54" s="1304">
        <v>427.43852904223149</v>
      </c>
      <c r="E54" s="1304">
        <v>384.78799417290645</v>
      </c>
      <c r="F54" s="1305">
        <f t="shared" si="4"/>
        <v>-9.9781680806577722</v>
      </c>
      <c r="G54" s="1314">
        <f>IFERROR((E54-D54)/D64*100,"-")</f>
        <v>-0.64902249175113425</v>
      </c>
      <c r="H54" s="441"/>
      <c r="I54" s="441"/>
      <c r="J54" s="442"/>
      <c r="K54" s="215"/>
      <c r="L54" s="156"/>
      <c r="M54" s="157"/>
      <c r="N54" s="157"/>
      <c r="O54" s="158"/>
      <c r="P54" s="159"/>
      <c r="Q54" s="160"/>
      <c r="R54" s="160"/>
      <c r="S54" s="161"/>
      <c r="T54" s="161"/>
      <c r="U54" s="161"/>
      <c r="V54" s="111"/>
    </row>
    <row r="55" spans="3:22" ht="15" customHeight="1">
      <c r="C55" s="1303" t="str">
        <f>IF(Indice_index!$Z$1=1,"Subsídios","Subsidies")</f>
        <v>Subsídios</v>
      </c>
      <c r="D55" s="1304">
        <v>185.23304874617008</v>
      </c>
      <c r="E55" s="1304">
        <v>191.53060756757219</v>
      </c>
      <c r="F55" s="1305">
        <f t="shared" si="4"/>
        <v>3.3998030394845049</v>
      </c>
      <c r="G55" s="1314">
        <f>IFERROR((E55-D55)/D64*100,"-")</f>
        <v>9.5831326165978586E-2</v>
      </c>
      <c r="H55" s="441"/>
      <c r="I55" s="441"/>
      <c r="J55" s="442"/>
      <c r="K55" s="215"/>
      <c r="L55" s="156"/>
      <c r="M55" s="157"/>
      <c r="N55" s="157"/>
      <c r="O55" s="158"/>
      <c r="P55" s="159"/>
      <c r="Q55" s="160"/>
      <c r="R55" s="160"/>
      <c r="S55" s="161"/>
      <c r="T55" s="161"/>
      <c r="U55" s="161"/>
      <c r="V55" s="111"/>
    </row>
    <row r="56" spans="3:22" ht="15" customHeight="1">
      <c r="C56" s="1303" t="str">
        <f>IF(Indice_index!$Z$1=1,"Outras despesas correntes","Other current expenditure")</f>
        <v>Outras despesas correntes</v>
      </c>
      <c r="D56" s="1304">
        <v>66.04098642677927</v>
      </c>
      <c r="E56" s="1304">
        <v>92.841037255507061</v>
      </c>
      <c r="F56" s="1305">
        <f t="shared" si="4"/>
        <v>40.580936595248239</v>
      </c>
      <c r="G56" s="1314">
        <f>IFERROR((E56-D56)/D64*100,"-")</f>
        <v>0.40782221890558024</v>
      </c>
      <c r="H56" s="441"/>
      <c r="I56" s="441"/>
      <c r="J56" s="442"/>
      <c r="K56" s="215"/>
      <c r="L56" s="156"/>
      <c r="M56" s="157"/>
      <c r="N56" s="157"/>
      <c r="O56" s="158"/>
      <c r="P56" s="159"/>
      <c r="Q56" s="160"/>
      <c r="R56" s="160"/>
      <c r="S56" s="161"/>
      <c r="T56" s="161"/>
      <c r="U56" s="161"/>
      <c r="V56" s="111"/>
    </row>
    <row r="57" spans="3:22" s="250" customFormat="1" ht="15" customHeight="1">
      <c r="C57" s="1316" t="str">
        <f>IF(Indice_index!$Z$1=1,"Despesa de Capital","Capital expenditure")</f>
        <v>Despesa de Capital</v>
      </c>
      <c r="D57" s="1302">
        <v>1848.6394602301914</v>
      </c>
      <c r="E57" s="1302">
        <v>1694.6068519262903</v>
      </c>
      <c r="F57" s="301">
        <f t="shared" si="4"/>
        <v>-8.3322146701726787</v>
      </c>
      <c r="G57" s="1315">
        <f>IFERROR((E57-D57)/D64*100,"-")</f>
        <v>-2.3439477971054661</v>
      </c>
      <c r="H57" s="441"/>
      <c r="I57" s="441"/>
      <c r="J57" s="442"/>
      <c r="K57" s="309"/>
      <c r="L57" s="301"/>
      <c r="M57" s="310"/>
      <c r="N57" s="310"/>
      <c r="O57" s="159"/>
      <c r="P57" s="159"/>
      <c r="Q57" s="311"/>
      <c r="R57" s="311"/>
      <c r="S57" s="312"/>
      <c r="T57" s="312"/>
      <c r="U57" s="312"/>
      <c r="V57" s="313"/>
    </row>
    <row r="58" spans="3:22" ht="15" customHeight="1">
      <c r="C58" s="1303" t="str">
        <f>IF(Indice_index!$Z$1=1,"Aquisição de bens de capital","Purchase of capital goods")</f>
        <v>Aquisição de bens de capital</v>
      </c>
      <c r="D58" s="1304">
        <v>1611.8271084289863</v>
      </c>
      <c r="E58" s="1304">
        <v>1468.2228487511704</v>
      </c>
      <c r="F58" s="1305">
        <f t="shared" si="4"/>
        <v>-8.9094083929252132</v>
      </c>
      <c r="G58" s="1314">
        <f>IFERROR((E58-D58)/D64*100,"-")</f>
        <v>-2.1852573415018455</v>
      </c>
      <c r="H58" s="441"/>
      <c r="I58" s="441"/>
      <c r="J58" s="442"/>
      <c r="K58" s="215"/>
      <c r="L58" s="156"/>
      <c r="M58" s="157"/>
      <c r="N58" s="157"/>
      <c r="O58" s="158"/>
      <c r="P58" s="159"/>
      <c r="Q58" s="160"/>
      <c r="R58" s="160"/>
      <c r="S58" s="161"/>
      <c r="T58" s="161"/>
      <c r="U58" s="161"/>
      <c r="V58" s="111"/>
    </row>
    <row r="59" spans="3:22" ht="15" customHeight="1">
      <c r="C59" s="1303" t="str">
        <f>IF(Indice_index!$Z$1=1,"Transferências de capital","Capital transfers")</f>
        <v>Transferências de capital</v>
      </c>
      <c r="D59" s="1304">
        <v>229.49102264120501</v>
      </c>
      <c r="E59" s="1304">
        <v>215.81830257784682</v>
      </c>
      <c r="F59" s="1305">
        <f t="shared" si="4"/>
        <v>-5.9578452812660281</v>
      </c>
      <c r="G59" s="1314">
        <f>IFERROR((E59-D59)/D64*100,"-")</f>
        <v>-0.20806076340483859</v>
      </c>
      <c r="H59" s="441"/>
      <c r="I59" s="441"/>
      <c r="J59" s="442"/>
      <c r="K59" s="215"/>
      <c r="L59" s="156"/>
      <c r="M59" s="157"/>
      <c r="N59" s="157"/>
      <c r="O59" s="158"/>
      <c r="P59" s="159"/>
      <c r="Q59" s="160"/>
      <c r="R59" s="160"/>
      <c r="S59" s="161"/>
      <c r="T59" s="161"/>
      <c r="U59" s="161"/>
      <c r="V59" s="111"/>
    </row>
    <row r="60" spans="3:22" ht="15" customHeight="1">
      <c r="C60" s="1307" t="str">
        <f>IF(Indice_index!$Z$1=1,"Subsectores das AP","General Government subsectors")</f>
        <v>Subsectores das AP</v>
      </c>
      <c r="D60" s="1304">
        <v>137.47119723</v>
      </c>
      <c r="E60" s="1304">
        <v>137.95243970999999</v>
      </c>
      <c r="F60" s="1305">
        <f t="shared" si="4"/>
        <v>0.35006786126612077</v>
      </c>
      <c r="G60" s="1314">
        <f>IFERROR((E60-D60)/D64*100,"-")</f>
        <v>7.3231717834968584E-3</v>
      </c>
      <c r="H60" s="441"/>
      <c r="I60" s="441"/>
      <c r="J60" s="442"/>
      <c r="K60" s="215"/>
      <c r="L60" s="156"/>
      <c r="M60" s="157"/>
      <c r="N60" s="157"/>
      <c r="O60" s="158"/>
      <c r="P60" s="159"/>
      <c r="Q60" s="160"/>
      <c r="R60" s="160"/>
      <c r="S60" s="161"/>
      <c r="T60" s="161"/>
      <c r="U60" s="161"/>
      <c r="V60" s="111"/>
    </row>
    <row r="61" spans="3:22" ht="15" customHeight="1">
      <c r="C61" s="1307" t="str">
        <f>IF(Indice_index!$Z$1=1,"Outras transferências","Other transfers")</f>
        <v>Outras transferências</v>
      </c>
      <c r="D61" s="1304">
        <v>92.019825411205005</v>
      </c>
      <c r="E61" s="1304">
        <v>77.865862867846829</v>
      </c>
      <c r="F61" s="1305">
        <f t="shared" si="4"/>
        <v>-15.381427295812589</v>
      </c>
      <c r="G61" s="1314">
        <f>IFERROR((E61-D61)/D64*100,"-")</f>
        <v>-0.21538393518833543</v>
      </c>
      <c r="H61" s="441"/>
      <c r="I61" s="441"/>
      <c r="J61" s="442"/>
      <c r="K61" s="215"/>
      <c r="L61" s="156"/>
      <c r="M61" s="157"/>
      <c r="N61" s="157"/>
      <c r="O61" s="158"/>
      <c r="P61" s="159"/>
      <c r="Q61" s="160"/>
      <c r="R61" s="160"/>
      <c r="S61" s="161"/>
      <c r="T61" s="161"/>
      <c r="U61" s="161"/>
      <c r="V61" s="111"/>
    </row>
    <row r="62" spans="3:22" ht="15" customHeight="1">
      <c r="C62" s="1303" t="str">
        <f>IF(Indice_index!$Z$1=1,"Outras despesas de capital","Other capital expenditure")</f>
        <v>Outras despesas de capital</v>
      </c>
      <c r="D62" s="1304">
        <v>7.3213291599999986</v>
      </c>
      <c r="E62" s="1304">
        <v>10.565700597273032</v>
      </c>
      <c r="F62" s="1305">
        <f t="shared" si="4"/>
        <v>44.313967674047788</v>
      </c>
      <c r="G62" s="1314">
        <f>IFERROR((E62-D62)/D64*100,"-")</f>
        <v>4.9370307801217872E-2</v>
      </c>
      <c r="H62" s="441"/>
      <c r="I62" s="441"/>
      <c r="J62" s="442"/>
      <c r="K62" s="215"/>
      <c r="L62" s="156"/>
      <c r="M62" s="157"/>
      <c r="N62" s="157"/>
      <c r="O62" s="158"/>
      <c r="P62" s="159"/>
      <c r="Q62" s="160"/>
      <c r="R62" s="160"/>
      <c r="S62" s="161"/>
      <c r="T62" s="161"/>
      <c r="U62" s="161"/>
      <c r="V62" s="111"/>
    </row>
    <row r="63" spans="3:22" ht="4.5" customHeight="1">
      <c r="C63" s="1303"/>
      <c r="D63" s="1304"/>
      <c r="E63" s="1304"/>
      <c r="F63" s="1305"/>
      <c r="G63" s="1314"/>
      <c r="H63" s="441"/>
      <c r="I63" s="441"/>
      <c r="J63" s="442"/>
      <c r="K63" s="215"/>
      <c r="L63" s="156"/>
      <c r="M63" s="157"/>
      <c r="N63" s="157"/>
      <c r="O63" s="158"/>
      <c r="P63" s="159"/>
      <c r="Q63" s="160"/>
      <c r="R63" s="160"/>
      <c r="S63" s="161"/>
      <c r="T63" s="161"/>
      <c r="U63" s="161"/>
      <c r="V63" s="111"/>
    </row>
    <row r="64" spans="3:22" s="250" customFormat="1" ht="15" customHeight="1">
      <c r="C64" s="1316" t="str">
        <f>IF(Indice_index!$Z$1=1,"Despesa efetiva","Effective expenditure")</f>
        <v>Despesa efetiva</v>
      </c>
      <c r="D64" s="1302">
        <v>6571.5033625798078</v>
      </c>
      <c r="E64" s="1302">
        <v>6857.1845398734094</v>
      </c>
      <c r="F64" s="301">
        <f>IFERROR(IF(ABS((E64-D64)/D64)*100&gt;500,"n.r.",((E64-D64)/D64)*100),0)</f>
        <v>4.347272785712315</v>
      </c>
      <c r="G64" s="1315">
        <f>IFERROR((E64-D64)/D64*100,"-")</f>
        <v>4.347272785712315</v>
      </c>
      <c r="H64" s="441"/>
      <c r="I64" s="441"/>
      <c r="J64" s="442"/>
      <c r="K64" s="309"/>
      <c r="L64" s="301"/>
      <c r="M64" s="310"/>
      <c r="N64" s="310"/>
      <c r="O64" s="159"/>
      <c r="P64" s="159"/>
      <c r="Q64" s="311"/>
      <c r="R64" s="311"/>
      <c r="S64" s="312"/>
      <c r="T64" s="312"/>
      <c r="U64" s="312"/>
      <c r="V64" s="313"/>
    </row>
    <row r="65" spans="3:22" ht="4.5" customHeight="1">
      <c r="C65" s="1214"/>
      <c r="D65" s="1304"/>
      <c r="E65" s="1304"/>
      <c r="F65" s="1317"/>
      <c r="G65" s="1314"/>
      <c r="H65" s="441"/>
      <c r="I65" s="441"/>
      <c r="J65" s="442"/>
      <c r="K65" s="215"/>
      <c r="L65" s="156"/>
      <c r="M65" s="157"/>
      <c r="N65" s="157"/>
      <c r="O65" s="158"/>
      <c r="P65" s="159"/>
      <c r="Q65" s="160"/>
      <c r="R65" s="160"/>
      <c r="S65" s="161"/>
      <c r="T65" s="161"/>
      <c r="U65" s="161"/>
      <c r="V65" s="111"/>
    </row>
    <row r="66" spans="3:22" s="250" customFormat="1" ht="15" customHeight="1">
      <c r="C66" s="1318" t="str">
        <f>IF(Indice_index!$Z$1=1,"Saldo global","Overall balance")</f>
        <v>Saldo global</v>
      </c>
      <c r="D66" s="1319">
        <v>259.39822451361943</v>
      </c>
      <c r="E66" s="1319">
        <v>560.13943928859771</v>
      </c>
      <c r="F66" s="1320"/>
      <c r="G66" s="1320"/>
      <c r="H66" s="441"/>
      <c r="I66" s="441"/>
      <c r="J66" s="440"/>
      <c r="K66" s="309"/>
      <c r="L66" s="314"/>
      <c r="M66" s="310"/>
      <c r="N66" s="310"/>
      <c r="O66" s="159"/>
      <c r="P66" s="159"/>
      <c r="Q66" s="311"/>
      <c r="R66" s="311"/>
      <c r="S66" s="312"/>
      <c r="T66" s="312"/>
      <c r="U66" s="312"/>
      <c r="V66" s="313"/>
    </row>
    <row r="67" spans="3:22" ht="4.5" customHeight="1">
      <c r="C67" s="1321"/>
      <c r="D67" s="1322"/>
      <c r="E67" s="1322"/>
      <c r="F67" s="1317"/>
      <c r="G67" s="1323"/>
      <c r="H67" s="441"/>
      <c r="I67" s="441"/>
      <c r="J67" s="442"/>
      <c r="K67" s="215"/>
      <c r="L67" s="156"/>
      <c r="M67" s="157"/>
      <c r="N67" s="157"/>
      <c r="O67" s="158"/>
      <c r="P67" s="159"/>
      <c r="Q67" s="160"/>
      <c r="R67" s="160"/>
      <c r="S67" s="161"/>
      <c r="T67" s="161"/>
      <c r="U67" s="161"/>
      <c r="V67" s="111"/>
    </row>
    <row r="68" spans="3:22" ht="15" customHeight="1">
      <c r="C68" s="1214" t="str">
        <f>IF(Indice_index!$Z$1=1,"Despesa  primária","Primary Expenditure")</f>
        <v>Despesa  primária</v>
      </c>
      <c r="D68" s="1304">
        <v>6547.6551529740491</v>
      </c>
      <c r="E68" s="1304">
        <v>6836.0275177699004</v>
      </c>
      <c r="F68" s="1317">
        <f>IFERROR(IF(ABS((E68-D68)/D68)*100&gt;500,"n.r.",((E68-D68)/D68)*100),0)</f>
        <v>4.4042081945147649</v>
      </c>
      <c r="G68" s="1305">
        <f>IFERROR((E68-D68)/D64*100,"-")</f>
        <v>4.388225172917565</v>
      </c>
      <c r="H68" s="441"/>
      <c r="I68" s="441"/>
      <c r="J68" s="442"/>
      <c r="K68" s="215"/>
      <c r="L68" s="156"/>
      <c r="M68" s="157"/>
      <c r="N68" s="157"/>
      <c r="O68" s="158"/>
      <c r="P68" s="159"/>
      <c r="Q68" s="160"/>
      <c r="R68" s="160"/>
      <c r="S68" s="161"/>
      <c r="T68" s="161"/>
      <c r="U68" s="111"/>
      <c r="V68" s="111"/>
    </row>
    <row r="69" spans="3:22" ht="15" customHeight="1">
      <c r="C69" s="1324" t="str">
        <f>IF(Indice_index!$Z$1=1,"Saldo primário","Primary balance")</f>
        <v>Saldo primário</v>
      </c>
      <c r="D69" s="1304">
        <v>283.24643411937819</v>
      </c>
      <c r="E69" s="1304">
        <v>581.29646139210661</v>
      </c>
      <c r="F69" s="1325"/>
      <c r="G69" s="1313"/>
      <c r="H69" s="441"/>
      <c r="I69" s="441"/>
      <c r="J69" s="442"/>
      <c r="K69" s="210"/>
      <c r="L69" s="156"/>
      <c r="M69" s="157"/>
      <c r="N69" s="157"/>
      <c r="O69" s="158"/>
      <c r="P69" s="159"/>
      <c r="Q69" s="160"/>
      <c r="R69" s="160"/>
      <c r="S69" s="161"/>
      <c r="T69" s="161"/>
      <c r="U69" s="161"/>
      <c r="V69" s="111"/>
    </row>
    <row r="70" spans="3:22" ht="15" customHeight="1">
      <c r="C70" s="1324" t="str">
        <f>IF(Indice_index!$Z$1=1,"Saldo corrente","Current balance")</f>
        <v>Saldo corrente</v>
      </c>
      <c r="D70" s="1304">
        <v>1263.6177676440002</v>
      </c>
      <c r="E70" s="1304">
        <v>1607.3033671034227</v>
      </c>
      <c r="F70" s="1313"/>
      <c r="G70" s="1313"/>
      <c r="H70" s="441"/>
      <c r="I70" s="441"/>
      <c r="J70" s="442"/>
      <c r="K70" s="210"/>
      <c r="L70" s="156"/>
      <c r="M70" s="157"/>
      <c r="N70" s="157"/>
      <c r="O70" s="158"/>
      <c r="P70" s="159"/>
      <c r="Q70" s="160"/>
      <c r="R70" s="160"/>
      <c r="S70" s="161"/>
      <c r="T70" s="161"/>
      <c r="U70" s="161"/>
      <c r="V70" s="111"/>
    </row>
    <row r="71" spans="3:22" ht="15" customHeight="1">
      <c r="C71" s="1324" t="str">
        <f>IF(Indice_index!$Z$1=1,"Saldo de capital","Capital balance")</f>
        <v>Saldo de capital</v>
      </c>
      <c r="D71" s="1304">
        <v>-1004.2195431303809</v>
      </c>
      <c r="E71" s="1304">
        <v>-1047.1639278148245</v>
      </c>
      <c r="F71" s="1313"/>
      <c r="G71" s="1313"/>
      <c r="H71" s="441"/>
      <c r="I71" s="441"/>
      <c r="J71" s="442"/>
      <c r="K71" s="210"/>
      <c r="L71" s="156"/>
      <c r="M71" s="157"/>
      <c r="N71" s="157"/>
      <c r="O71" s="158"/>
      <c r="P71" s="159"/>
      <c r="Q71" s="160"/>
      <c r="R71" s="160"/>
      <c r="S71" s="161"/>
      <c r="T71" s="161"/>
      <c r="U71" s="161"/>
      <c r="V71" s="111"/>
    </row>
    <row r="72" spans="3:22" ht="15" customHeight="1">
      <c r="C72" s="1214" t="str">
        <f>IF(Indice_index!$Z$1=1,"Ativos financeiros líquidos de reembolsos","Financial assets net of reimbursements")</f>
        <v>Ativos financeiros líquidos de reembolsos</v>
      </c>
      <c r="D72" s="1304">
        <v>-25.694779262702848</v>
      </c>
      <c r="E72" s="1304">
        <v>-25.26789898270285</v>
      </c>
      <c r="F72" s="1313"/>
      <c r="G72" s="1313"/>
      <c r="H72" s="441"/>
      <c r="I72" s="441"/>
      <c r="J72" s="442"/>
      <c r="K72" s="210"/>
      <c r="L72" s="156"/>
      <c r="M72" s="157"/>
      <c r="N72" s="157"/>
      <c r="O72" s="158"/>
      <c r="P72" s="159"/>
      <c r="Q72" s="160"/>
      <c r="R72" s="160"/>
      <c r="S72" s="161"/>
      <c r="T72" s="161"/>
      <c r="U72" s="161"/>
      <c r="V72" s="111"/>
    </row>
    <row r="73" spans="3:22" ht="15" customHeight="1">
      <c r="C73" s="1326" t="str">
        <f>IF(Indice_index!$Z$1=1,"dos quais Receitas de:","of which Revenues of")</f>
        <v>dos quais Receitas de:</v>
      </c>
      <c r="D73" s="1304">
        <v>0</v>
      </c>
      <c r="E73" s="1304"/>
      <c r="F73" s="1313"/>
      <c r="G73" s="1313"/>
      <c r="H73" s="441"/>
      <c r="I73" s="441"/>
      <c r="J73" s="442"/>
      <c r="K73" s="210"/>
      <c r="L73" s="156"/>
      <c r="M73" s="157"/>
      <c r="N73" s="157"/>
      <c r="O73" s="158"/>
      <c r="P73" s="159"/>
      <c r="Q73" s="160"/>
      <c r="R73" s="160"/>
      <c r="S73" s="161"/>
      <c r="T73" s="161"/>
      <c r="U73" s="161"/>
      <c r="V73" s="111"/>
    </row>
    <row r="74" spans="3:22" ht="15" customHeight="1">
      <c r="C74" s="1327" t="str">
        <f>IF(Indice_index!$Z$1=1,"Alienação de partes de Capital","Divestment of company shares")</f>
        <v>Alienação de partes de Capital</v>
      </c>
      <c r="D74" s="1304">
        <v>0.24305103999999997</v>
      </c>
      <c r="E74" s="1304">
        <v>0.16587677000000001</v>
      </c>
      <c r="F74" s="1313"/>
      <c r="G74" s="1313"/>
      <c r="H74" s="441"/>
      <c r="I74" s="441"/>
      <c r="J74" s="442"/>
      <c r="K74" s="210"/>
      <c r="L74" s="156"/>
      <c r="M74" s="157"/>
      <c r="N74" s="157"/>
      <c r="O74" s="158"/>
      <c r="P74" s="159"/>
      <c r="Q74" s="160"/>
      <c r="R74" s="160"/>
      <c r="S74" s="161"/>
      <c r="T74" s="161"/>
      <c r="U74" s="161"/>
      <c r="V74" s="111"/>
    </row>
    <row r="75" spans="3:22" ht="15" customHeight="1">
      <c r="C75" s="1328" t="str">
        <f>IF(Indice_index!$Z$1=1,"Outros Ativos","Other Financial assets")</f>
        <v>Outros Ativos</v>
      </c>
      <c r="D75" s="1304">
        <v>2.5627172099999997</v>
      </c>
      <c r="E75" s="1304">
        <v>6.5668199999999996E-2</v>
      </c>
      <c r="F75" s="1313"/>
      <c r="G75" s="1313"/>
      <c r="H75" s="441"/>
      <c r="I75" s="441"/>
      <c r="J75" s="442"/>
      <c r="K75" s="210"/>
      <c r="L75" s="156"/>
      <c r="M75" s="157"/>
      <c r="N75" s="157"/>
      <c r="O75" s="158"/>
      <c r="P75" s="159"/>
      <c r="Q75" s="160"/>
      <c r="R75" s="160"/>
      <c r="S75" s="161"/>
      <c r="T75" s="161"/>
      <c r="U75" s="161"/>
      <c r="V75" s="111"/>
    </row>
    <row r="76" spans="3:22" ht="15" customHeight="1">
      <c r="C76" s="1214" t="str">
        <f>IF(Indice_index!$Z$1=1,"Passivos financeiros líquidos de amortizações","Financial liabilities net of amortizations")</f>
        <v>Passivos financeiros líquidos de amortizações</v>
      </c>
      <c r="D76" s="1304">
        <v>-7.4344161037745851</v>
      </c>
      <c r="E76" s="1304">
        <v>-26.137648493774648</v>
      </c>
      <c r="F76" s="1313"/>
      <c r="G76" s="1313"/>
      <c r="H76" s="441"/>
      <c r="I76" s="441"/>
      <c r="J76" s="442"/>
      <c r="K76" s="210"/>
      <c r="L76" s="156"/>
      <c r="M76" s="157"/>
      <c r="N76" s="157"/>
      <c r="O76" s="158"/>
      <c r="P76" s="159"/>
      <c r="Q76" s="160"/>
      <c r="R76" s="160"/>
      <c r="S76" s="161"/>
      <c r="T76" s="161"/>
      <c r="U76" s="161"/>
      <c r="V76" s="111"/>
    </row>
    <row r="77" spans="3:22" ht="15" customHeight="1">
      <c r="C77" s="1214" t="str">
        <f>IF(Indice_index!$Z$1=1,"Poupança (+) / Utilização (-) de saldo da gerência anterior","Saving (+) / Usage (-) of balance from previous management")</f>
        <v>Poupança (+) / Utilização (-) de saldo da gerência anterior</v>
      </c>
      <c r="D77" s="1304">
        <v>277.6585876725477</v>
      </c>
      <c r="E77" s="1304">
        <v>559.26968977752585</v>
      </c>
      <c r="F77" s="1313"/>
      <c r="G77" s="1313"/>
      <c r="H77" s="441"/>
      <c r="I77" s="441"/>
      <c r="J77" s="442"/>
      <c r="K77" s="210"/>
      <c r="L77" s="156"/>
      <c r="M77" s="157"/>
      <c r="N77" s="157"/>
      <c r="O77" s="158"/>
      <c r="P77" s="159"/>
      <c r="Q77" s="160"/>
      <c r="R77" s="160"/>
      <c r="S77" s="161"/>
      <c r="T77" s="161"/>
      <c r="U77" s="161"/>
      <c r="V77" s="111"/>
    </row>
    <row r="78" spans="3:22" ht="15" customHeight="1">
      <c r="C78" s="1329" t="str">
        <f>IF(Indice_index!$Z$1=1,"Taxa de comparticip. financiam. comunitário","Community financing rate")</f>
        <v>Taxa de comparticip. financiam. comunitário</v>
      </c>
      <c r="D78" s="1330">
        <v>0.27446943705692034</v>
      </c>
      <c r="E78" s="1330">
        <v>0.21696621960686677</v>
      </c>
      <c r="F78" s="1331"/>
      <c r="G78" s="1331"/>
      <c r="H78" s="441"/>
      <c r="I78" s="441"/>
      <c r="J78" s="442"/>
      <c r="K78" s="210"/>
      <c r="L78" s="156"/>
      <c r="M78" s="157"/>
      <c r="N78" s="157"/>
      <c r="O78" s="158"/>
      <c r="P78" s="159"/>
      <c r="Q78" s="160"/>
      <c r="R78" s="160"/>
      <c r="S78" s="161"/>
      <c r="T78" s="161"/>
      <c r="U78" s="161"/>
      <c r="V78" s="111"/>
    </row>
    <row r="79" spans="3:22" ht="4.5" customHeight="1">
      <c r="C79" s="1214"/>
      <c r="D79" s="1332"/>
      <c r="E79" s="1332"/>
      <c r="F79" s="1333"/>
      <c r="G79" s="1333"/>
      <c r="H79" s="441"/>
      <c r="I79" s="441"/>
      <c r="J79" s="442"/>
      <c r="K79" s="210"/>
      <c r="L79" s="156"/>
      <c r="M79" s="157"/>
      <c r="N79" s="157"/>
      <c r="O79" s="158"/>
      <c r="P79" s="159"/>
      <c r="Q79" s="160"/>
      <c r="R79" s="160"/>
      <c r="S79" s="161"/>
      <c r="T79" s="161"/>
      <c r="U79" s="161"/>
      <c r="V79" s="111"/>
    </row>
    <row r="80" spans="3:22" ht="15" customHeight="1">
      <c r="C80" s="1334" t="str">
        <f>IF(Indice_index!$Z$1=1,"Notas:","Notes:")</f>
        <v>Notas:</v>
      </c>
      <c r="D80" s="1335"/>
      <c r="E80" s="1335"/>
      <c r="F80" s="1336"/>
      <c r="G80" s="1336"/>
      <c r="H80" s="246"/>
      <c r="I80" s="246"/>
      <c r="J80"/>
      <c r="K80" s="210"/>
      <c r="L80" s="156"/>
    </row>
    <row r="81" spans="3:17" ht="24" customHeight="1">
      <c r="C81" s="1728"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29"/>
      <c r="E81" s="1729"/>
      <c r="F81" s="1729"/>
      <c r="G81" s="1729"/>
      <c r="H81" s="246"/>
      <c r="I81" s="246"/>
      <c r="J81"/>
      <c r="K81" s="156"/>
      <c r="L81" s="156"/>
    </row>
    <row r="82" spans="3:17" ht="24" customHeight="1">
      <c r="C82" s="1728"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28"/>
      <c r="E82" s="1728"/>
      <c r="F82" s="1728"/>
      <c r="G82" s="1728"/>
      <c r="H82" s="246"/>
      <c r="I82" s="246"/>
      <c r="J82"/>
      <c r="K82" s="156"/>
      <c r="L82" s="156"/>
    </row>
    <row r="83" spans="3:17" ht="15" customHeight="1">
      <c r="C83" s="1337">
        <v>2021</v>
      </c>
      <c r="D83" s="1338"/>
      <c r="E83" s="1338"/>
      <c r="F83" s="1338"/>
      <c r="G83" s="1338"/>
      <c r="H83" s="246"/>
      <c r="I83" s="246"/>
      <c r="J83"/>
      <c r="K83" s="156"/>
      <c r="L83" s="156"/>
    </row>
    <row r="84" spans="3:17" ht="15" customHeight="1">
      <c r="C84" s="1722" t="str">
        <f>IF(Indice_index!$Z$1=1,"Dados reportados de 2021: 302 municipios; Em falta: 6.","Entities in default (6 municipalities) in the reporting of budget execution, in the month under review:")</f>
        <v>Dados reportados de 2021: 302 municipios; Em falta: 6.</v>
      </c>
      <c r="D84" s="1722"/>
      <c r="E84" s="1722"/>
      <c r="F84" s="1722"/>
      <c r="G84" s="1722"/>
      <c r="H84" s="246"/>
      <c r="I84" s="246"/>
      <c r="J84"/>
      <c r="K84" s="156"/>
      <c r="L84" s="156"/>
    </row>
    <row r="85" spans="3:17" ht="4.5" customHeight="1">
      <c r="C85" s="1731"/>
      <c r="D85" s="1731"/>
      <c r="E85" s="1731"/>
      <c r="F85" s="1731"/>
      <c r="G85" s="1731"/>
      <c r="H85" s="246"/>
      <c r="I85" s="246"/>
      <c r="J85"/>
      <c r="K85" s="156"/>
      <c r="L85" s="156"/>
    </row>
    <row r="86" spans="3:17" ht="11.25" customHeight="1">
      <c r="C86" s="1732">
        <v>2022</v>
      </c>
      <c r="D86" s="1732"/>
      <c r="E86" s="1732"/>
      <c r="F86" s="1339"/>
      <c r="G86" s="1339"/>
      <c r="H86" s="246"/>
      <c r="I86" s="246"/>
      <c r="J86"/>
    </row>
    <row r="87" spans="3:17" ht="15" customHeight="1">
      <c r="C87" s="1722" t="str">
        <f>IF(Indice_index!$Z$1=1,"Dados reportados de 2022: 260 municipios; Em falta: 48.","Entities in default (48 municipalities) in the reporting of budget execution, in the month under review:")</f>
        <v>Dados reportados de 2022: 260 municipios; Em falta: 48.</v>
      </c>
      <c r="D87" s="1722"/>
      <c r="E87" s="1722"/>
      <c r="F87" s="1722"/>
      <c r="G87" s="1722"/>
      <c r="H87" s="246"/>
      <c r="I87" s="246"/>
    </row>
    <row r="88" spans="3:17" ht="4.5" customHeight="1">
      <c r="C88" s="1339"/>
      <c r="D88" s="1339"/>
      <c r="E88" s="1339"/>
      <c r="F88" s="1339"/>
      <c r="G88" s="1339"/>
      <c r="H88" s="246"/>
      <c r="I88" s="246"/>
    </row>
    <row r="89" spans="3:17" ht="26.25" customHeight="1">
      <c r="C89" s="1739"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89" s="1729"/>
      <c r="E89" s="1729"/>
      <c r="F89" s="1729"/>
      <c r="G89" s="1729"/>
      <c r="H89" s="246"/>
      <c r="I89" s="1733"/>
      <c r="J89" s="1722"/>
      <c r="K89" s="1722"/>
      <c r="L89" s="1722"/>
      <c r="M89" s="1722"/>
    </row>
    <row r="90" spans="3:17" ht="4.5" customHeight="1">
      <c r="C90" s="1340"/>
      <c r="D90" s="1341"/>
      <c r="E90" s="1341"/>
      <c r="F90" s="1341"/>
      <c r="G90" s="1341"/>
      <c r="H90" s="246"/>
      <c r="I90" s="673"/>
      <c r="J90" s="463"/>
      <c r="K90" s="463"/>
      <c r="L90" s="463"/>
      <c r="M90" s="463"/>
    </row>
    <row r="91" spans="3:17" ht="24" customHeight="1">
      <c r="C91" s="1739"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1" s="1729"/>
      <c r="E91" s="1729"/>
      <c r="F91" s="1729"/>
      <c r="G91" s="1729"/>
      <c r="H91" s="1340"/>
      <c r="I91" s="246"/>
    </row>
    <row r="92" spans="3:17">
      <c r="D92" s="627"/>
      <c r="E92" s="627"/>
      <c r="F92" s="627"/>
      <c r="G92" s="627"/>
      <c r="H92" s="164"/>
    </row>
    <row r="93" spans="3:17" ht="26.25" customHeight="1">
      <c r="C93" s="1734"/>
      <c r="D93" s="1735"/>
      <c r="E93" s="1735"/>
      <c r="F93" s="1735"/>
      <c r="G93" s="1735"/>
      <c r="H93" s="164"/>
    </row>
    <row r="94" spans="3:17" ht="6.75" customHeight="1">
      <c r="C94" s="1294"/>
      <c r="D94" s="1295"/>
      <c r="E94" s="1295"/>
      <c r="F94" s="1295"/>
      <c r="G94" s="1295"/>
      <c r="H94" s="164"/>
    </row>
    <row r="95" spans="3:17" ht="13.5" customHeight="1">
      <c r="D95" s="212"/>
      <c r="E95" s="212"/>
      <c r="F95" s="212"/>
      <c r="G95" s="212"/>
      <c r="H95" s="163"/>
    </row>
    <row r="96" spans="3:17" ht="12.75" customHeight="1">
      <c r="C96" s="213"/>
      <c r="D96" s="213"/>
      <c r="E96" s="213"/>
      <c r="F96" s="213"/>
      <c r="G96" s="213"/>
      <c r="H96" s="163"/>
      <c r="I96" s="165"/>
      <c r="J96" s="165"/>
      <c r="K96" s="165"/>
      <c r="L96" s="165"/>
      <c r="M96" s="165"/>
      <c r="N96" s="165"/>
      <c r="O96" s="163"/>
      <c r="P96" s="163"/>
      <c r="Q96" s="163"/>
    </row>
    <row r="97" spans="3:8" ht="27" customHeight="1">
      <c r="C97" s="1736"/>
      <c r="D97" s="1736"/>
      <c r="E97" s="1736"/>
      <c r="F97" s="1736"/>
      <c r="G97" s="1736"/>
      <c r="H97" s="165"/>
    </row>
    <row r="99" spans="3:8" ht="12.75" customHeight="1">
      <c r="C99" s="214"/>
      <c r="D99" s="247"/>
      <c r="E99" s="247"/>
      <c r="F99" s="247"/>
      <c r="G99" s="247"/>
      <c r="H99" s="247"/>
    </row>
    <row r="100" spans="3:8" ht="12.75" customHeight="1">
      <c r="C100" s="1737"/>
      <c r="D100" s="1738"/>
      <c r="E100" s="1738"/>
      <c r="F100" s="1738"/>
      <c r="G100" s="1738"/>
      <c r="H100" s="1738"/>
    </row>
    <row r="101" spans="3:8" ht="12.75" customHeight="1"/>
    <row r="102" spans="3:8">
      <c r="C102" s="1730"/>
      <c r="D102" s="1730"/>
      <c r="E102" s="1730"/>
      <c r="F102" s="1730"/>
      <c r="G102" s="1730"/>
    </row>
    <row r="103" spans="3:8">
      <c r="C103" s="166"/>
      <c r="D103" s="166"/>
      <c r="E103" s="166"/>
      <c r="F103" s="166"/>
      <c r="G103" s="166"/>
    </row>
    <row r="104" spans="3:8">
      <c r="C104" s="166"/>
      <c r="D104" s="166"/>
      <c r="E104" s="166"/>
      <c r="F104" s="166"/>
      <c r="G104" s="166"/>
    </row>
    <row r="105" spans="3:8">
      <c r="C105" s="166"/>
      <c r="D105" s="166"/>
      <c r="E105" s="166"/>
      <c r="F105" s="166"/>
      <c r="G105" s="166"/>
    </row>
    <row r="106" spans="3:8">
      <c r="C106" s="166"/>
      <c r="D106" s="166"/>
      <c r="E106" s="166"/>
      <c r="F106" s="166"/>
      <c r="G106" s="166"/>
    </row>
    <row r="107" spans="3:8">
      <c r="C107" s="166"/>
      <c r="D107" s="166"/>
      <c r="E107" s="166"/>
      <c r="F107" s="166"/>
      <c r="G107" s="166"/>
    </row>
    <row r="108" spans="3:8">
      <c r="C108" s="166"/>
      <c r="D108" s="166"/>
      <c r="E108" s="166"/>
      <c r="F108" s="166"/>
      <c r="G108" s="166"/>
    </row>
    <row r="109" spans="3:8">
      <c r="C109" s="166"/>
      <c r="D109" s="166"/>
      <c r="E109" s="166"/>
      <c r="F109" s="166"/>
      <c r="G109" s="166"/>
    </row>
    <row r="110" spans="3:8">
      <c r="C110" s="166"/>
      <c r="D110" s="166"/>
      <c r="E110" s="166"/>
      <c r="F110" s="166"/>
      <c r="G110" s="166"/>
    </row>
    <row r="111" spans="3:8">
      <c r="C111" s="166"/>
      <c r="D111" s="166"/>
      <c r="E111" s="166"/>
      <c r="F111" s="166"/>
      <c r="G111" s="166"/>
    </row>
    <row r="112" spans="3:8">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election activeCell="B4" sqref="B4"/>
    </sheetView>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35" t="s">
        <v>585</v>
      </c>
      <c r="C1" s="1635"/>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5" t="str">
        <f>IF(Indice_index!$Z$1=1,"1 - Receita, despesa e saldo das Administrações Públicas","1 - General Government revenue, expenditure and balance")</f>
        <v>1 - Receita, despesa e saldo das Administrações Públicas</v>
      </c>
      <c r="E6" s="1636" t="str">
        <f>IF(Indice_index!$Z$1=1,"27-outubro-22","27-October-22")</f>
        <v>27-outubro-22</v>
      </c>
      <c r="F6" s="1637" t="str">
        <f>IF(Indice_index!$Z$1=1,"25-novembro-22","25-November-22")</f>
        <v>25-novembro-22</v>
      </c>
      <c r="G6" s="1637" t="str">
        <f>IF(Indice_index!$Z$1=1,"setembro 2022","September 2022")</f>
        <v>setembro 2022</v>
      </c>
    </row>
    <row r="7" spans="2:26" ht="20.25" customHeight="1">
      <c r="C7" s="365" t="str">
        <f>IF(Indice_index!$Z$1=1,"2 - Conta Consolidada das Administrações Públicas","2 - General Government Consolidated Account")</f>
        <v>2 - Conta Consolidada das Administrações Públicas</v>
      </c>
      <c r="E7" s="1636"/>
      <c r="F7" s="1637"/>
      <c r="G7" s="1637"/>
    </row>
    <row r="8" spans="2:26" ht="20.25" customHeight="1">
      <c r="C8" s="601"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36"/>
      <c r="F8" s="1637"/>
      <c r="G8" s="1637"/>
    </row>
    <row r="9" spans="2:26" ht="20.25" customHeight="1">
      <c r="C9" s="601"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36"/>
      <c r="F9" s="1637"/>
      <c r="G9" s="1637"/>
    </row>
    <row r="10" spans="2:26" ht="20.25" customHeight="1">
      <c r="C10" s="365"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36"/>
      <c r="F10" s="1637"/>
      <c r="G10" s="1637"/>
    </row>
    <row r="11" spans="2:26" ht="20.25" customHeight="1">
      <c r="C11" s="365" t="str">
        <f>IF(Indice_index!$Z$1=1,"6 - Conta consolidada da Administração Central","6 - Central Government consolidated execution")</f>
        <v>6 - Conta consolidada da Administração Central</v>
      </c>
      <c r="E11" s="1636"/>
      <c r="F11" s="1637"/>
      <c r="G11" s="1637"/>
    </row>
    <row r="12" spans="2:26" ht="20.25" customHeight="1">
      <c r="C12" s="365" t="str">
        <f>IF(Indice_index!$Z$1=1,"7 - Execução Orçamental do Estado","7 - State Budget Execution")</f>
        <v>7 - Execução Orçamental do Estado</v>
      </c>
      <c r="E12" s="1636"/>
      <c r="F12" s="1637"/>
      <c r="G12" s="1637"/>
      <c r="L12" s="13"/>
    </row>
    <row r="13" spans="2:26" ht="20.25" customHeight="1">
      <c r="C13" s="365" t="str">
        <f>IF(Indice_index!$Z$1=1,"8 - Execução da Receita do Estado","8 - State revenue implementation")</f>
        <v>8 - Execução da Receita do Estado</v>
      </c>
      <c r="E13" s="1636"/>
      <c r="F13" s="1637"/>
      <c r="G13" s="1637"/>
    </row>
    <row r="14" spans="2:26" ht="20.25" customHeight="1">
      <c r="C14" s="365" t="str">
        <f>IF(Indice_index!$Z$1=1,"9 - Execução Orçamental dos Serviços e Fundos Autónomos","9 - Autonomous Services and Funds Budget Execution")</f>
        <v>9 - Execução Orçamental dos Serviços e Fundos Autónomos</v>
      </c>
      <c r="E14" s="1636"/>
      <c r="F14" s="1637"/>
      <c r="G14" s="1637"/>
    </row>
    <row r="15" spans="2:26" ht="20.25" customHeight="1">
      <c r="C15" s="365" t="str">
        <f>IF(Indice_index!$Z$1=1,"10 - Execução Orçamental das Entidades Públicas Reclassificadas","10 - Reclassified State Owned Enterprises Execution")</f>
        <v>10 - Execução Orçamental das Entidades Públicas Reclassificadas</v>
      </c>
      <c r="E15" s="1636"/>
      <c r="F15" s="1637"/>
      <c r="G15" s="1637"/>
    </row>
    <row r="16" spans="2:26" ht="20.25" customHeight="1">
      <c r="C16" s="365" t="str">
        <f>IF(Indice_index!$Z$1=1,"11 - Execução Orçamental da Caixa Geral de Aposentações","11 - Public Servants Social Scheme Budget Execution")</f>
        <v>11 - Execução Orçamental da Caixa Geral de Aposentações</v>
      </c>
      <c r="E16" s="1636"/>
      <c r="F16" s="1637"/>
      <c r="G16" s="1637"/>
    </row>
    <row r="17" spans="2:7" ht="20.25" customHeight="1">
      <c r="C17" s="365" t="str">
        <f>IF(Indice_index!$Z$1=1,"12 - Execução Orçamental da Segurança Social, por natureza","12 - Social Security Budget Execution by nature")</f>
        <v>12 - Execução Orçamental da Segurança Social, por natureza</v>
      </c>
      <c r="E17" s="1636"/>
      <c r="F17" s="1637"/>
      <c r="G17" s="1637"/>
    </row>
    <row r="18" spans="2:7" ht="20.25" customHeight="1">
      <c r="C18" s="365" t="str">
        <f>IF(Indice_index!$Z$1=1,"13 - Execução Orçamental da Segurança Social por classificação económica","13 - Social Security Budget Execution by economic categories")</f>
        <v>13 - Execução Orçamental da Segurança Social por classificação económica</v>
      </c>
      <c r="E18" s="1636"/>
      <c r="F18" s="1637"/>
      <c r="G18" s="1637"/>
    </row>
    <row r="19" spans="2:7" s="15" customFormat="1" ht="20.25" customHeight="1">
      <c r="B19" s="7"/>
      <c r="C19" s="365" t="str">
        <f>IF(Indice_index!$Z$1=1,"14 - Execução Orçamental da Administração Regional","14 - Regional Government")</f>
        <v>14 - Execução Orçamental da Administração Regional</v>
      </c>
      <c r="D19" s="14"/>
      <c r="E19" s="1636"/>
      <c r="F19" s="1637"/>
      <c r="G19" s="1637"/>
    </row>
    <row r="20" spans="2:7" ht="20.25" customHeight="1">
      <c r="C20" s="365" t="str">
        <f>IF(Indice_index!$Z$1=1,"15 - Execução Orçamental da Administração Local","15 - Local Government")</f>
        <v>15 - Execução Orçamental da Administração Local</v>
      </c>
      <c r="E20" s="1636"/>
      <c r="F20" s="1637"/>
      <c r="G20" s="1637"/>
    </row>
    <row r="21" spans="2:7" ht="20.25" customHeight="1">
      <c r="C21" s="365" t="str">
        <f>IF(Indice_index!$Z$1=1,"16 - Despesa com Ativos Financeiros do Estado","16 - State Financial assets expenditure")</f>
        <v>16 - Despesa com Ativos Financeiros do Estado</v>
      </c>
      <c r="E21" s="1636"/>
      <c r="F21" s="1637"/>
      <c r="G21" s="1637"/>
    </row>
    <row r="22" spans="2:7" ht="20.25" customHeight="1">
      <c r="C22" s="365" t="str">
        <f>IF(Indice_index!$Z$1=1,"17 - Execução financeira consolidada do Serviço Nacional de Saúde","17 - National Health Service finantial implementation")</f>
        <v>17 - Execução financeira consolidada do Serviço Nacional de Saúde</v>
      </c>
      <c r="E22" s="1636"/>
      <c r="F22" s="1637"/>
      <c r="G22" s="1637"/>
    </row>
    <row r="23" spans="2:7" ht="20.25" customHeight="1">
      <c r="B23" s="15"/>
      <c r="C23" s="365" t="str">
        <f>IF(Indice_index!$Z$1=1,"18 - Dívida não Financeira da Administração Pública","18 - General Government non-Financial Debt")</f>
        <v>18 - Dívida não Financeira da Administração Pública</v>
      </c>
      <c r="E23" s="1636"/>
      <c r="F23" s="1637"/>
      <c r="G23" s="1637"/>
    </row>
    <row r="24" spans="2:7" ht="20.25" customHeight="1">
      <c r="C24" s="365" t="str">
        <f>IF(Indice_index!$Z$1=1,"19 - Indicadores Físicos e Financeiros do Sistema de Proteção Social da Função Pública","19 - Public Servants Social Scheme - Flows")</f>
        <v>19 - Indicadores Físicos e Financeiros do Sistema de Proteção Social da Função Pública</v>
      </c>
      <c r="E24" s="1636"/>
      <c r="F24" s="1637"/>
      <c r="G24" s="1637"/>
    </row>
    <row r="25" spans="2:7" ht="20.25" customHeight="1">
      <c r="C25" s="365"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36"/>
      <c r="F25" s="1637"/>
      <c r="G25" s="1637"/>
    </row>
    <row r="26" spans="2:7" ht="20.25" customHeight="1">
      <c r="C26" s="365" t="str">
        <f>IF(Indice_index!$Z$1=1,"21 - Estimativas de execução consideradas na conta da Administração Central","21 - Estimated amounts in Central Government Account")</f>
        <v>21 - Estimativas de execução consideradas na conta da Administração Central</v>
      </c>
      <c r="E26" s="1636"/>
      <c r="F26" s="1637"/>
      <c r="G26" s="1637"/>
    </row>
    <row r="27" spans="2:7" s="411" customFormat="1" ht="20.25" customHeight="1">
      <c r="C27" s="365" t="str">
        <f>IF(Indice_index!$Z$1=1,"22 - Utilização condicionada das dotações orçamentais do OE 2022","22 - Frozen allocations from the 2022 State Budget")</f>
        <v>22 - Utilização condicionada das dotações orçamentais do OE 2022</v>
      </c>
      <c r="D27" s="412"/>
      <c r="E27" s="1636"/>
      <c r="F27" s="1637"/>
      <c r="G27" s="1637"/>
    </row>
    <row r="28" spans="2:7" s="411" customFormat="1" ht="20.25" customHeight="1">
      <c r="C28" s="365" t="str">
        <f>IF(Indice_index!$Z$1=1,"24 - Lista de entidades da Administração Central em 2022","24 - Central Administration's list of entities in 2022")</f>
        <v>24 - Lista de entidades da Administração Central em 2022</v>
      </c>
      <c r="D28" s="412"/>
      <c r="E28" s="1636"/>
      <c r="F28" s="1637"/>
      <c r="G28" s="1637"/>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4 - Lista Entidades AC 2022'!A1" display="'24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7:F26 E28:F28 E6:F6 E27:F27"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88" customWidth="1"/>
    <col min="2" max="2" width="4.453125" style="388" customWidth="1"/>
    <col min="3" max="3" width="44.54296875" style="388" customWidth="1"/>
    <col min="4" max="5" width="9.453125" style="388" customWidth="1"/>
    <col min="6" max="6" width="1.1796875" style="388" customWidth="1"/>
    <col min="7" max="8" width="9.453125" style="388" customWidth="1"/>
    <col min="9" max="9" width="1.1796875" style="388" customWidth="1"/>
    <col min="10" max="11" width="9.453125" style="388" customWidth="1"/>
    <col min="12" max="17" width="8.54296875" style="388" customWidth="1"/>
    <col min="18" max="16384" width="9.1796875" style="388"/>
  </cols>
  <sheetData>
    <row r="1" spans="1:19" ht="15" customHeight="1"/>
    <row r="2" spans="1:19" ht="24" customHeight="1">
      <c r="B2" s="8"/>
      <c r="C2" s="331" t="str">
        <f>IF(Indice_index!$Z$1=1,"16 - Despesa com Ativos Financeiros do Estado","16 - State Financial assets expenditure")</f>
        <v>16 - Despesa com Ativos Financeiros do Estado</v>
      </c>
      <c r="D2" s="331"/>
      <c r="E2" s="331"/>
      <c r="F2" s="331"/>
      <c r="G2" s="331"/>
      <c r="H2" s="331"/>
      <c r="I2" s="331"/>
      <c r="J2" s="331"/>
      <c r="K2" s="331"/>
    </row>
    <row r="3" spans="1:19" ht="15" customHeight="1"/>
    <row r="4" spans="1:19" ht="15" customHeight="1">
      <c r="D4" s="1386"/>
      <c r="E4" s="1386"/>
      <c r="F4" s="1386"/>
      <c r="G4" s="1386"/>
      <c r="H4" s="1386"/>
      <c r="I4" s="1386"/>
      <c r="J4" s="1386"/>
      <c r="K4" s="1386"/>
    </row>
    <row r="5" spans="1:19" s="389" customFormat="1" ht="15" customHeight="1">
      <c r="C5" s="1387" t="str">
        <f>+'5 - Conta AC + SS'!C5</f>
        <v>Período: janeiro a setembro</v>
      </c>
      <c r="D5" s="1387"/>
      <c r="E5" s="1387"/>
      <c r="F5" s="388"/>
      <c r="G5" s="1387"/>
      <c r="I5" s="388"/>
      <c r="J5" s="1404"/>
      <c r="K5" s="1404" t="str">
        <f>IF(Indice_index!$Z$1=1,"€ Milhões","€ Millions")</f>
        <v>€ Milhões</v>
      </c>
    </row>
    <row r="6" spans="1:19" ht="21">
      <c r="C6" s="1388"/>
      <c r="D6" s="1389" t="str">
        <f>IF(Indice_index!$Z$1=1,"CGE","Final execution")</f>
        <v>CGE</v>
      </c>
      <c r="E6" s="1389" t="str">
        <f>IF(Indice_index!$Z$1=1,"Orçamento Inicial","Budget")</f>
        <v>Orçamento Inicial</v>
      </c>
      <c r="G6" s="1740" t="str">
        <f>IF(Indice_index!$Z$1=1,"Execução","Execution")</f>
        <v>Execução</v>
      </c>
      <c r="H6" s="1740"/>
      <c r="J6" s="1405" t="str">
        <f>IF(Indice_index!$Z$1=1,"Execução Acumulada","Accumulated Execution")</f>
        <v>Execução Acumulada</v>
      </c>
      <c r="K6" s="1741" t="str">
        <f>IF(Indice_index!$Z$1=1,"Grau de Execução (%)","Execution Dregree (%)")</f>
        <v>Grau de Execução (%)</v>
      </c>
      <c r="L6" s="390"/>
      <c r="M6" s="390"/>
      <c r="N6" s="390"/>
      <c r="O6" s="390"/>
      <c r="P6" s="390"/>
      <c r="Q6" s="390"/>
      <c r="R6" s="391"/>
      <c r="S6" s="391"/>
    </row>
    <row r="7" spans="1:19" ht="21.75" customHeight="1">
      <c r="C7" s="1390"/>
      <c r="D7" s="1391" t="s">
        <v>67</v>
      </c>
      <c r="E7" s="1392" t="s">
        <v>74</v>
      </c>
      <c r="G7" s="1393" t="str">
        <f>IF(Indice_index!$Z$1=1,"ago-22","Aug-22")</f>
        <v>ago-22</v>
      </c>
      <c r="H7" s="1393" t="str">
        <f>IF(Indice_index!$Z$1=1,"set-22","Sep-22")</f>
        <v>set-22</v>
      </c>
      <c r="J7" s="1391" t="s">
        <v>74</v>
      </c>
      <c r="K7" s="1742"/>
      <c r="L7" s="392"/>
      <c r="M7" s="393"/>
      <c r="N7" s="387"/>
      <c r="O7" s="387"/>
      <c r="P7" s="394"/>
      <c r="Q7" s="395"/>
      <c r="R7" s="391"/>
      <c r="S7" s="391"/>
    </row>
    <row r="8" spans="1:19" s="396" customFormat="1" ht="4.5" customHeight="1">
      <c r="A8" s="388"/>
      <c r="C8" s="1394"/>
      <c r="D8" s="1394"/>
      <c r="E8" s="1394"/>
      <c r="F8" s="388"/>
      <c r="G8" s="397"/>
      <c r="H8" s="397"/>
      <c r="I8" s="388"/>
      <c r="J8" s="397"/>
      <c r="K8" s="397"/>
      <c r="L8" s="397"/>
      <c r="N8" s="397"/>
      <c r="P8" s="368"/>
    </row>
    <row r="9" spans="1:19" s="389" customFormat="1" ht="15" customHeight="1">
      <c r="C9" s="1395" t="str">
        <f>IF(Indice_index!$Z$1=1,"Empréstimos a curto prazo","Short term loans")</f>
        <v>Empréstimos a curto prazo</v>
      </c>
      <c r="D9" s="1396">
        <v>19.559999999999999</v>
      </c>
      <c r="E9" s="1396">
        <v>10</v>
      </c>
      <c r="F9" s="388"/>
      <c r="G9" s="1396">
        <v>0</v>
      </c>
      <c r="H9" s="1396">
        <v>21.33595</v>
      </c>
      <c r="I9" s="388"/>
      <c r="J9" s="1396">
        <v>86.297696000000002</v>
      </c>
      <c r="K9" s="1406" t="str">
        <f>IFERROR(IF(J9/E9*100&lt;-500,"-",IF(J9/E9*100&gt;500,"-",J9/E9*100)),"-")</f>
        <v>-</v>
      </c>
      <c r="L9" s="399"/>
      <c r="M9" s="400"/>
      <c r="N9" s="399"/>
      <c r="O9" s="399"/>
      <c r="P9" s="399"/>
      <c r="Q9" s="401"/>
      <c r="R9" s="401"/>
    </row>
    <row r="10" spans="1:19" s="389" customFormat="1" ht="15" customHeight="1">
      <c r="C10" s="1395" t="str">
        <f>IF(Indice_index!$Z$1=1,"Empréstimos a médio e longo prazo","Medium-long term loans")</f>
        <v>Empréstimos a médio e longo prazo</v>
      </c>
      <c r="D10" s="1396">
        <v>911.41391612999985</v>
      </c>
      <c r="E10" s="1396">
        <v>7018.2399129999994</v>
      </c>
      <c r="F10" s="388"/>
      <c r="G10" s="1396">
        <v>15.57188764</v>
      </c>
      <c r="H10" s="1396">
        <v>33.153271479999987</v>
      </c>
      <c r="I10" s="388"/>
      <c r="J10" s="1396">
        <v>267.92341006999999</v>
      </c>
      <c r="K10" s="1406">
        <f t="shared" ref="K10:K29" si="0">IFERROR(IF(J10/E10*100&lt;-500,"-",IF(J10/E10*100&gt;500,"-",J10/E10*100)),"-")</f>
        <v>3.8175299418550952</v>
      </c>
      <c r="L10" s="399"/>
      <c r="M10" s="400"/>
      <c r="N10" s="1572"/>
      <c r="O10" s="399"/>
      <c r="P10" s="399"/>
      <c r="Q10" s="401"/>
      <c r="R10" s="401"/>
    </row>
    <row r="11" spans="1:19" ht="15" customHeight="1">
      <c r="C11" s="1397" t="str">
        <f>IF(Indice_index!$Z$1=1,"Entidades públicas","Public entities")</f>
        <v>Entidades públicas</v>
      </c>
      <c r="D11" s="387">
        <v>0.85635249000000002</v>
      </c>
      <c r="E11" s="387">
        <v>2650</v>
      </c>
      <c r="G11" s="387">
        <v>0</v>
      </c>
      <c r="H11" s="387">
        <v>0</v>
      </c>
      <c r="J11" s="387">
        <v>0</v>
      </c>
      <c r="K11" s="1407">
        <f t="shared" si="0"/>
        <v>0</v>
      </c>
      <c r="L11" s="399"/>
      <c r="M11" s="400"/>
      <c r="N11" s="1572"/>
      <c r="O11" s="402"/>
      <c r="P11" s="402"/>
      <c r="Q11" s="387"/>
      <c r="R11" s="387"/>
    </row>
    <row r="12" spans="1:19" ht="15" customHeight="1">
      <c r="C12" s="1397" t="str">
        <f>IF(Indice_index!$Z$1=1,"Serviços e Fundos Autónomos","Autonomous Services and Funds ")</f>
        <v>Serviços e Fundos Autónomos</v>
      </c>
      <c r="D12" s="387">
        <v>0</v>
      </c>
      <c r="E12" s="387">
        <v>1058</v>
      </c>
      <c r="G12" s="387">
        <v>0</v>
      </c>
      <c r="H12" s="387">
        <v>0</v>
      </c>
      <c r="J12" s="387">
        <v>0</v>
      </c>
      <c r="K12" s="1407">
        <f t="shared" si="0"/>
        <v>0</v>
      </c>
      <c r="L12" s="399"/>
      <c r="M12" s="400"/>
      <c r="N12" s="1572"/>
      <c r="O12" s="402"/>
      <c r="P12" s="402"/>
      <c r="Q12" s="387"/>
      <c r="R12" s="387"/>
    </row>
    <row r="13" spans="1:19" ht="15" customHeight="1">
      <c r="C13" s="1397" t="str">
        <f>IF(Indice_index!$Z$1=1,"Entidades públicas reclassificadas","Reclassified public entities")</f>
        <v>Entidades públicas reclassificadas</v>
      </c>
      <c r="D13" s="387">
        <v>823.68396933999986</v>
      </c>
      <c r="E13" s="387">
        <v>1996.7760220000002</v>
      </c>
      <c r="G13" s="387">
        <v>0</v>
      </c>
      <c r="H13" s="387">
        <v>9.0614199599999949</v>
      </c>
      <c r="J13" s="387">
        <v>190.51809996</v>
      </c>
      <c r="K13" s="1407">
        <f t="shared" si="0"/>
        <v>9.5412854451834956</v>
      </c>
      <c r="L13" s="399"/>
      <c r="M13" s="400"/>
      <c r="N13" s="1572"/>
      <c r="O13" s="402"/>
      <c r="P13" s="402"/>
      <c r="Q13" s="387"/>
      <c r="R13" s="387"/>
    </row>
    <row r="14" spans="1:19" ht="15" customHeight="1">
      <c r="C14" s="1397" t="str">
        <f>IF(Indice_index!$Z$1=1,"Administração Local - Continente Incêndios","Local Government - Continent Fires")</f>
        <v>Administração Local - Continente Incêndios</v>
      </c>
      <c r="D14" s="387">
        <v>0.28353600000000001</v>
      </c>
      <c r="E14" s="387">
        <v>0</v>
      </c>
      <c r="G14" s="387">
        <v>0</v>
      </c>
      <c r="H14" s="387">
        <v>0</v>
      </c>
      <c r="J14" s="387">
        <v>0</v>
      </c>
      <c r="K14" s="1407" t="str">
        <f t="shared" si="0"/>
        <v>-</v>
      </c>
      <c r="L14" s="399"/>
      <c r="M14" s="400"/>
      <c r="N14" s="1572"/>
      <c r="O14" s="402"/>
      <c r="P14" s="402"/>
      <c r="Q14" s="387"/>
      <c r="R14" s="387"/>
    </row>
    <row r="15" spans="1:19" ht="15" customHeight="1">
      <c r="C15" s="1398" t="str">
        <f>IF(Indice_index!$Z$1=1,"Países terceiros","Other countries")</f>
        <v>Países terceiros</v>
      </c>
      <c r="D15" s="387">
        <v>0</v>
      </c>
      <c r="E15" s="387">
        <v>5</v>
      </c>
      <c r="G15" s="387">
        <v>0</v>
      </c>
      <c r="H15" s="387">
        <v>0</v>
      </c>
      <c r="J15" s="387">
        <v>0</v>
      </c>
      <c r="K15" s="1407">
        <f t="shared" si="0"/>
        <v>0</v>
      </c>
      <c r="L15" s="399"/>
      <c r="M15" s="400"/>
      <c r="N15" s="1572"/>
      <c r="O15" s="402"/>
      <c r="P15" s="402"/>
      <c r="Q15" s="387"/>
      <c r="R15" s="387"/>
    </row>
    <row r="16" spans="1:19" ht="15" customHeight="1">
      <c r="C16" s="1397" t="str">
        <f>IF(Indice_index!$Z$1=1,"Fundo de Resolução Europeu","European Resolution Fund")</f>
        <v>Fundo de Resolução Europeu</v>
      </c>
      <c r="D16" s="387">
        <v>0</v>
      </c>
      <c r="E16" s="387">
        <v>852.5</v>
      </c>
      <c r="G16" s="387">
        <v>0</v>
      </c>
      <c r="H16" s="387">
        <v>0</v>
      </c>
      <c r="J16" s="387">
        <v>0</v>
      </c>
      <c r="K16" s="1407">
        <f t="shared" si="0"/>
        <v>0</v>
      </c>
      <c r="L16" s="399"/>
      <c r="M16" s="400"/>
      <c r="N16" s="1572"/>
      <c r="O16" s="402"/>
      <c r="P16" s="402"/>
      <c r="Q16" s="387"/>
      <c r="R16" s="387"/>
    </row>
    <row r="17" spans="3:19" ht="15" customHeight="1">
      <c r="C17" s="1397" t="str">
        <f>IF(Indice_index!$Z$1=1,"Portugal 2020","Portugal 2020")</f>
        <v>Portugal 2020</v>
      </c>
      <c r="D17" s="387">
        <v>50.279335079999996</v>
      </c>
      <c r="E17" s="387">
        <v>90</v>
      </c>
      <c r="G17" s="387">
        <v>0</v>
      </c>
      <c r="H17" s="387">
        <v>14</v>
      </c>
      <c r="J17" s="387">
        <v>14</v>
      </c>
      <c r="K17" s="1407">
        <f t="shared" si="0"/>
        <v>15.555555555555555</v>
      </c>
      <c r="L17" s="399"/>
      <c r="M17" s="400"/>
      <c r="N17" s="1572"/>
      <c r="O17" s="402"/>
      <c r="P17" s="402"/>
      <c r="Q17" s="387"/>
      <c r="R17" s="387"/>
    </row>
    <row r="18" spans="3:19" ht="15" customHeight="1">
      <c r="C18" s="1397" t="str">
        <f>IF(Indice_index!$Z$1=1,"Fundos públicos","Public Funds")</f>
        <v>Fundos públicos</v>
      </c>
      <c r="D18" s="387">
        <v>36.31072322</v>
      </c>
      <c r="E18" s="387">
        <v>365.96389099999993</v>
      </c>
      <c r="G18" s="387">
        <v>15.57188764</v>
      </c>
      <c r="H18" s="387">
        <v>10.091851519999992</v>
      </c>
      <c r="J18" s="387">
        <v>63.405310109999995</v>
      </c>
      <c r="K18" s="1407">
        <f t="shared" si="0"/>
        <v>17.32556453499944</v>
      </c>
      <c r="L18" s="399"/>
      <c r="M18" s="400"/>
      <c r="N18" s="1572"/>
      <c r="O18" s="402"/>
      <c r="P18" s="402"/>
      <c r="Q18" s="387"/>
      <c r="R18" s="387"/>
    </row>
    <row r="19" spans="3:19" s="389" customFormat="1" ht="15" customHeight="1">
      <c r="C19" s="1395" t="str">
        <f>IF(Indice_index!$Z$1=1,"Dotações de capital","Capital injections")</f>
        <v>Dotações de capital</v>
      </c>
      <c r="D19" s="1396">
        <v>3997.8044726200001</v>
      </c>
      <c r="E19" s="1396">
        <v>4109.166639</v>
      </c>
      <c r="F19" s="388"/>
      <c r="G19" s="1396">
        <v>128.16415499999994</v>
      </c>
      <c r="H19" s="1396">
        <v>139.95692200000008</v>
      </c>
      <c r="I19" s="388"/>
      <c r="J19" s="1396">
        <v>1095.84955092</v>
      </c>
      <c r="K19" s="1406">
        <f t="shared" si="0"/>
        <v>26.668413505534645</v>
      </c>
      <c r="L19" s="399"/>
      <c r="M19" s="400"/>
      <c r="N19" s="1572"/>
      <c r="O19" s="399"/>
      <c r="P19" s="399"/>
      <c r="Q19" s="401"/>
      <c r="R19" s="401"/>
    </row>
    <row r="20" spans="3:19" ht="15" customHeight="1">
      <c r="C20" s="1397" t="str">
        <f>IF(Indice_index!$Z$1=1,"Empresas públicas não financeiras","Non financial public enterprises")</f>
        <v>Empresas públicas não financeiras</v>
      </c>
      <c r="D20" s="387">
        <v>998.5</v>
      </c>
      <c r="E20" s="387">
        <v>991.68418299999996</v>
      </c>
      <c r="G20" s="387">
        <v>0</v>
      </c>
      <c r="H20" s="387">
        <v>0</v>
      </c>
      <c r="J20" s="387">
        <v>0</v>
      </c>
      <c r="K20" s="1407">
        <f t="shared" si="0"/>
        <v>0</v>
      </c>
      <c r="L20" s="399"/>
      <c r="M20" s="400"/>
      <c r="N20" s="1572"/>
      <c r="O20" s="402"/>
      <c r="P20" s="402"/>
      <c r="Q20" s="387"/>
      <c r="R20" s="387"/>
    </row>
    <row r="21" spans="3:19" ht="15" customHeight="1">
      <c r="C21" s="1397" t="str">
        <f>IF(Indice_index!$Z$1=1,"Empresas públicas reclassificadas","Reclassified public entities")</f>
        <v>Empresas públicas reclassificadas</v>
      </c>
      <c r="D21" s="387">
        <v>2999.1892240000002</v>
      </c>
      <c r="E21" s="387">
        <v>3110.9284349999998</v>
      </c>
      <c r="G21" s="387">
        <v>128.16415499999994</v>
      </c>
      <c r="H21" s="387">
        <v>139.95692200000008</v>
      </c>
      <c r="J21" s="387">
        <v>1095.7968080000001</v>
      </c>
      <c r="K21" s="1407">
        <f t="shared" si="0"/>
        <v>35.224108522445007</v>
      </c>
      <c r="L21" s="399"/>
      <c r="M21" s="400"/>
      <c r="N21" s="1572"/>
      <c r="O21" s="402"/>
      <c r="P21" s="402"/>
      <c r="Q21" s="387"/>
      <c r="R21" s="387"/>
    </row>
    <row r="22" spans="3:19" ht="15" customHeight="1">
      <c r="C22" s="1397" t="str">
        <f>IF(Indice_index!$Z$1=1,"Fundos Públicos","Public Funds")</f>
        <v>Fundos Públicos</v>
      </c>
      <c r="D22" s="387">
        <v>0.11524862</v>
      </c>
      <c r="E22" s="387">
        <v>6.5540209999999997</v>
      </c>
      <c r="G22" s="387">
        <v>0</v>
      </c>
      <c r="H22" s="387">
        <v>0</v>
      </c>
      <c r="J22" s="387">
        <v>5.2742919999999999E-2</v>
      </c>
      <c r="K22" s="1407">
        <f t="shared" si="0"/>
        <v>0.80474139463392014</v>
      </c>
      <c r="L22" s="399"/>
      <c r="M22" s="400"/>
      <c r="N22" s="1572"/>
      <c r="O22" s="402"/>
      <c r="P22" s="402"/>
      <c r="Q22" s="387"/>
      <c r="R22" s="387"/>
    </row>
    <row r="23" spans="3:19" s="389" customFormat="1" ht="15" customHeight="1">
      <c r="C23" s="1395" t="str">
        <f>IF(Indice_index!$Z$1=1,"Aquisição de Participações","Acquisition of Shares")</f>
        <v>Aquisição de Participações</v>
      </c>
      <c r="D23" s="1396">
        <v>9.9999999999999995E-7</v>
      </c>
      <c r="E23" s="1396">
        <v>0</v>
      </c>
      <c r="F23" s="388"/>
      <c r="G23" s="1396">
        <v>0</v>
      </c>
      <c r="H23" s="1396">
        <v>0</v>
      </c>
      <c r="I23" s="388"/>
      <c r="J23" s="1396">
        <v>0</v>
      </c>
      <c r="K23" s="1406" t="str">
        <f t="shared" si="0"/>
        <v>-</v>
      </c>
      <c r="L23" s="399"/>
      <c r="M23" s="400"/>
      <c r="N23" s="1572"/>
      <c r="O23" s="399"/>
      <c r="P23" s="399"/>
      <c r="Q23" s="401"/>
      <c r="R23" s="401"/>
    </row>
    <row r="24" spans="3:19" s="389" customFormat="1" ht="15" customHeight="1">
      <c r="C24" s="1395" t="str">
        <f>IF(Indice_index!$Z$1=1,"Aquisição de Créditos","Credit acquisition")</f>
        <v>Aquisição de Créditos</v>
      </c>
      <c r="D24" s="1396">
        <v>0</v>
      </c>
      <c r="E24" s="1396">
        <v>0</v>
      </c>
      <c r="F24" s="388"/>
      <c r="G24" s="1396">
        <v>0</v>
      </c>
      <c r="H24" s="1396">
        <v>0</v>
      </c>
      <c r="I24" s="388"/>
      <c r="J24" s="1396">
        <v>0</v>
      </c>
      <c r="K24" s="1406" t="str">
        <f t="shared" si="0"/>
        <v>-</v>
      </c>
      <c r="L24" s="399"/>
      <c r="M24" s="400"/>
      <c r="N24" s="1572"/>
      <c r="O24" s="399"/>
      <c r="P24" s="399"/>
      <c r="Q24" s="401"/>
      <c r="R24" s="401"/>
    </row>
    <row r="25" spans="3:19" s="389" customFormat="1" ht="15" customHeight="1">
      <c r="C25" s="1395" t="str">
        <f>IF(Indice_index!$Z$1=1,"Títulos de Curto Prazo","Short Term Bonds")</f>
        <v>Títulos de Curto Prazo</v>
      </c>
      <c r="D25" s="1396">
        <v>0</v>
      </c>
      <c r="E25" s="1396">
        <v>0</v>
      </c>
      <c r="F25" s="388"/>
      <c r="G25" s="1396">
        <v>0</v>
      </c>
      <c r="H25" s="1396">
        <v>0</v>
      </c>
      <c r="I25" s="388"/>
      <c r="J25" s="1396">
        <v>0</v>
      </c>
      <c r="K25" s="1406" t="str">
        <f t="shared" si="0"/>
        <v>-</v>
      </c>
      <c r="L25" s="399"/>
      <c r="M25" s="400"/>
      <c r="N25" s="1572"/>
      <c r="O25" s="399"/>
      <c r="P25" s="399"/>
      <c r="Q25" s="401"/>
      <c r="R25" s="401"/>
    </row>
    <row r="26" spans="3:19" s="389" customFormat="1" ht="15" customHeight="1">
      <c r="C26" s="1395" t="str">
        <f>IF(Indice_index!$Z$1=1,"Execução de garantias","Guarantees executions")</f>
        <v>Execução de garantias</v>
      </c>
      <c r="D26" s="1396">
        <v>14.31235051</v>
      </c>
      <c r="E26" s="1396">
        <v>127.97064899999999</v>
      </c>
      <c r="F26" s="388"/>
      <c r="G26" s="1396">
        <v>0</v>
      </c>
      <c r="H26" s="1396">
        <v>0.56899007000000001</v>
      </c>
      <c r="I26" s="388"/>
      <c r="J26" s="1396">
        <v>1.0865931099999999</v>
      </c>
      <c r="K26" s="1406">
        <f t="shared" si="0"/>
        <v>0.84909556878155701</v>
      </c>
      <c r="L26" s="399"/>
      <c r="M26" s="400"/>
      <c r="N26" s="1572"/>
      <c r="O26" s="399"/>
      <c r="P26" s="399"/>
      <c r="Q26" s="401"/>
      <c r="R26" s="401"/>
    </row>
    <row r="27" spans="3:19" s="389" customFormat="1" ht="15" customHeight="1">
      <c r="C27" s="1395" t="str">
        <f>IF(Indice_index!$Z$1=1,"Expropriações","Expropriations")</f>
        <v>Expropriações</v>
      </c>
      <c r="D27" s="1396">
        <v>0</v>
      </c>
      <c r="E27" s="1396">
        <v>1</v>
      </c>
      <c r="F27" s="388"/>
      <c r="G27" s="1396">
        <v>0</v>
      </c>
      <c r="H27" s="1396">
        <v>0</v>
      </c>
      <c r="I27" s="388"/>
      <c r="J27" s="1396">
        <v>0</v>
      </c>
      <c r="K27" s="1406">
        <f t="shared" si="0"/>
        <v>0</v>
      </c>
      <c r="L27" s="399"/>
      <c r="M27" s="400"/>
      <c r="N27" s="1572"/>
      <c r="O27" s="399"/>
      <c r="P27" s="399"/>
      <c r="Q27" s="401"/>
      <c r="R27" s="401"/>
    </row>
    <row r="28" spans="3:19" s="389" customFormat="1" ht="15" customHeight="1">
      <c r="C28" s="1395" t="str">
        <f>IF(Indice_index!$Z$1=1,"Participações em organizações internacionais","International Organizations membership")</f>
        <v>Participações em organizações internacionais</v>
      </c>
      <c r="D28" s="1396">
        <v>1.8977506899999999</v>
      </c>
      <c r="E28" s="1396">
        <v>14.185141</v>
      </c>
      <c r="F28" s="388"/>
      <c r="G28" s="1396">
        <v>0</v>
      </c>
      <c r="H28" s="1396">
        <v>0</v>
      </c>
      <c r="I28" s="388"/>
      <c r="J28" s="1396">
        <v>1.8009701</v>
      </c>
      <c r="K28" s="1406">
        <f t="shared" si="0"/>
        <v>12.696173411318224</v>
      </c>
      <c r="L28" s="399"/>
      <c r="M28" s="400"/>
      <c r="N28" s="1572"/>
      <c r="O28" s="399"/>
      <c r="P28" s="399"/>
      <c r="Q28" s="401"/>
      <c r="R28" s="401"/>
    </row>
    <row r="29" spans="3:19" s="389" customFormat="1" ht="15" customHeight="1">
      <c r="C29" s="1395" t="str">
        <f>IF(Indice_index!$Z$1=1,"Outros ativos","Others")</f>
        <v>Outros ativos</v>
      </c>
      <c r="D29" s="1396">
        <v>0</v>
      </c>
      <c r="E29" s="1396">
        <v>37.676518000000002</v>
      </c>
      <c r="F29" s="388"/>
      <c r="G29" s="1396">
        <v>0</v>
      </c>
      <c r="H29" s="1396">
        <v>0</v>
      </c>
      <c r="I29" s="388"/>
      <c r="J29" s="1396">
        <v>0</v>
      </c>
      <c r="K29" s="1406">
        <f t="shared" si="0"/>
        <v>0</v>
      </c>
      <c r="L29" s="399"/>
      <c r="M29" s="400"/>
      <c r="N29" s="1572"/>
      <c r="O29" s="399"/>
      <c r="P29" s="399"/>
      <c r="Q29" s="401"/>
      <c r="R29" s="401"/>
    </row>
    <row r="30" spans="3:19" s="389" customFormat="1" ht="4.5" customHeight="1">
      <c r="C30" s="1399"/>
      <c r="D30" s="1399"/>
      <c r="E30" s="1399"/>
      <c r="F30" s="388"/>
      <c r="G30" s="1399"/>
      <c r="H30" s="1399"/>
      <c r="I30" s="388"/>
      <c r="J30" s="1399"/>
      <c r="K30" s="1399"/>
      <c r="L30" s="399"/>
      <c r="M30" s="400"/>
      <c r="N30" s="1572"/>
      <c r="O30" s="399"/>
      <c r="P30" s="399"/>
      <c r="Q30" s="401"/>
      <c r="R30" s="401"/>
      <c r="S30" s="403"/>
    </row>
    <row r="31" spans="3:19" s="389" customFormat="1" ht="15" customHeight="1">
      <c r="C31" s="1400" t="str">
        <f>IF(Indice_index!$Z$1=1,"Total dos ativos financeiros","Financial Assets - Total")</f>
        <v>Total dos ativos financeiros</v>
      </c>
      <c r="D31" s="1401">
        <v>4944.9884909500006</v>
      </c>
      <c r="E31" s="1401">
        <v>11318.238860000001</v>
      </c>
      <c r="F31" s="388"/>
      <c r="G31" s="1401">
        <v>143.73604263999994</v>
      </c>
      <c r="H31" s="1401">
        <v>195.01513355000006</v>
      </c>
      <c r="I31" s="388"/>
      <c r="J31" s="1401">
        <v>1452.9582201999999</v>
      </c>
      <c r="K31" s="1401">
        <f>IFERROR(IF(J31/E31*100&lt;-500,"-",IF(J31/E31*100&gt;500,"-",J31/E31*100)),"-")</f>
        <v>12.83731716720458</v>
      </c>
      <c r="L31" s="399"/>
      <c r="M31" s="400"/>
      <c r="N31" s="1572"/>
      <c r="O31" s="399"/>
      <c r="P31" s="399"/>
      <c r="Q31" s="401"/>
      <c r="R31" s="401"/>
      <c r="S31" s="401"/>
    </row>
    <row r="32" spans="3:19" ht="4.5" customHeight="1">
      <c r="C32" s="1402"/>
      <c r="D32" s="398"/>
      <c r="E32" s="398"/>
      <c r="G32" s="398"/>
      <c r="H32" s="398"/>
      <c r="J32" s="398"/>
      <c r="K32" s="398"/>
      <c r="L32" s="399"/>
      <c r="M32" s="400"/>
      <c r="N32" s="1572"/>
      <c r="O32" s="398"/>
      <c r="P32" s="398"/>
      <c r="Q32" s="398"/>
      <c r="R32" s="398"/>
    </row>
    <row r="33" spans="3:16" ht="15" customHeight="1">
      <c r="C33" s="1403" t="str">
        <f>IF(Indice_index!$Z$1=1,"Fonte: Ministério das Finanças","Source: Ministry of Finance")</f>
        <v>Fonte: Ministério das Finanças</v>
      </c>
      <c r="D33" s="137"/>
      <c r="E33" s="137"/>
      <c r="G33" s="330"/>
      <c r="H33" s="330"/>
      <c r="J33" s="330"/>
      <c r="K33" s="330"/>
      <c r="L33" s="404"/>
      <c r="M33" s="404"/>
      <c r="N33" s="1572"/>
      <c r="O33" s="404"/>
      <c r="P33" s="404"/>
    </row>
    <row r="34" spans="3:16">
      <c r="C34" s="137"/>
      <c r="D34" s="137"/>
      <c r="E34" s="137"/>
      <c r="F34" s="406"/>
      <c r="G34" s="137"/>
      <c r="H34" s="137"/>
      <c r="I34" s="406"/>
      <c r="J34" s="137"/>
      <c r="K34" s="137"/>
      <c r="L34" s="404"/>
      <c r="M34" s="404"/>
      <c r="N34" s="405"/>
      <c r="O34" s="404"/>
      <c r="P34" s="404"/>
    </row>
    <row r="35" spans="3:16">
      <c r="C35" s="137"/>
      <c r="D35" s="137"/>
      <c r="E35" s="137"/>
      <c r="F35" s="406"/>
      <c r="G35" s="137"/>
      <c r="H35" s="137"/>
      <c r="I35" s="406"/>
      <c r="J35" s="137"/>
      <c r="K35" s="137"/>
      <c r="L35" s="404"/>
      <c r="M35" s="404"/>
      <c r="N35" s="405"/>
      <c r="O35" s="404"/>
      <c r="P35" s="404"/>
    </row>
    <row r="36" spans="3:16">
      <c r="C36" s="137"/>
      <c r="D36" s="137"/>
      <c r="E36" s="137"/>
      <c r="F36" s="406"/>
      <c r="G36" s="137"/>
      <c r="H36" s="137"/>
      <c r="I36" s="406"/>
      <c r="J36" s="137"/>
      <c r="K36" s="137"/>
      <c r="L36" s="404"/>
      <c r="M36" s="404"/>
      <c r="N36" s="407"/>
      <c r="O36" s="404"/>
      <c r="P36" s="404"/>
    </row>
    <row r="37" spans="3:16">
      <c r="C37" s="137"/>
      <c r="D37" s="137"/>
      <c r="E37" s="137"/>
      <c r="F37" s="406"/>
      <c r="G37" s="137"/>
      <c r="H37" s="137"/>
      <c r="I37" s="406"/>
      <c r="J37" s="137"/>
      <c r="K37" s="137"/>
      <c r="L37" s="398"/>
      <c r="M37" s="398"/>
      <c r="N37" s="398"/>
      <c r="O37" s="398"/>
      <c r="P37" s="398"/>
    </row>
    <row r="38" spans="3:16">
      <c r="C38" s="137"/>
      <c r="D38" s="137"/>
      <c r="E38" s="137"/>
      <c r="F38" s="406"/>
      <c r="G38" s="137"/>
      <c r="H38" s="137"/>
      <c r="I38" s="406"/>
      <c r="J38" s="137"/>
      <c r="K38" s="137"/>
      <c r="L38" s="404"/>
      <c r="M38" s="404"/>
      <c r="N38" s="408"/>
      <c r="O38" s="404"/>
      <c r="P38" s="404"/>
    </row>
    <row r="39" spans="3:16">
      <c r="F39" s="406"/>
      <c r="I39" s="406"/>
      <c r="L39" s="404"/>
      <c r="M39" s="404"/>
      <c r="N39" s="404"/>
      <c r="O39" s="404"/>
      <c r="P39" s="404"/>
    </row>
    <row r="40" spans="3:16">
      <c r="F40" s="406"/>
      <c r="I40" s="406"/>
      <c r="L40" s="404"/>
      <c r="M40" s="404"/>
      <c r="N40" s="407"/>
      <c r="O40" s="404"/>
      <c r="P40" s="404"/>
    </row>
    <row r="41" spans="3:16">
      <c r="F41" s="406"/>
      <c r="I41" s="406"/>
      <c r="L41" s="404"/>
      <c r="M41" s="404"/>
      <c r="N41" s="407"/>
      <c r="O41" s="404"/>
      <c r="P41" s="404"/>
    </row>
    <row r="42" spans="3:16">
      <c r="F42" s="406"/>
      <c r="I42" s="406"/>
      <c r="L42" s="404"/>
      <c r="M42" s="404"/>
      <c r="N42" s="407"/>
      <c r="O42" s="404"/>
      <c r="P42" s="404"/>
    </row>
    <row r="43" spans="3:16">
      <c r="F43" s="406"/>
      <c r="I43" s="406"/>
      <c r="L43" s="404"/>
      <c r="M43" s="404"/>
      <c r="N43" s="408"/>
      <c r="O43" s="404"/>
      <c r="P43" s="404"/>
    </row>
    <row r="44" spans="3:16">
      <c r="F44" s="406"/>
      <c r="I44" s="406"/>
      <c r="L44" s="404"/>
      <c r="M44" s="404"/>
      <c r="N44" s="408"/>
      <c r="O44" s="404"/>
      <c r="P44" s="404"/>
    </row>
    <row r="45" spans="3:16">
      <c r="F45" s="406"/>
      <c r="I45" s="406"/>
      <c r="L45" s="404"/>
      <c r="M45" s="404"/>
      <c r="N45" s="404"/>
      <c r="O45" s="404"/>
      <c r="P45" s="404"/>
    </row>
    <row r="46" spans="3:16">
      <c r="F46" s="406"/>
      <c r="I46" s="406"/>
      <c r="L46" s="404"/>
      <c r="M46" s="404"/>
      <c r="N46" s="408"/>
      <c r="O46" s="404"/>
      <c r="P46" s="404"/>
    </row>
    <row r="47" spans="3:16">
      <c r="F47" s="406"/>
      <c r="I47" s="406"/>
      <c r="L47" s="404"/>
      <c r="M47" s="404"/>
      <c r="N47" s="408"/>
      <c r="O47" s="404"/>
      <c r="P47" s="404"/>
    </row>
    <row r="48" spans="3:16">
      <c r="F48" s="406"/>
      <c r="I48" s="406"/>
      <c r="L48" s="404"/>
      <c r="M48" s="404"/>
      <c r="N48" s="408"/>
      <c r="O48" s="404"/>
      <c r="P48" s="404"/>
    </row>
    <row r="49" spans="6:18">
      <c r="F49" s="406"/>
      <c r="I49" s="406"/>
      <c r="L49" s="404"/>
      <c r="M49" s="404"/>
      <c r="N49" s="408"/>
      <c r="O49" s="404"/>
      <c r="P49" s="404"/>
    </row>
    <row r="50" spans="6:18">
      <c r="F50" s="406"/>
      <c r="I50" s="406"/>
      <c r="L50" s="404"/>
      <c r="M50" s="404"/>
      <c r="N50" s="408"/>
      <c r="O50" s="404"/>
      <c r="P50" s="404"/>
    </row>
    <row r="51" spans="6:18">
      <c r="F51" s="406"/>
      <c r="I51" s="406"/>
      <c r="L51" s="404"/>
      <c r="M51" s="404"/>
      <c r="N51" s="408"/>
      <c r="O51" s="404"/>
      <c r="P51" s="404"/>
    </row>
    <row r="52" spans="6:18">
      <c r="L52" s="404"/>
      <c r="M52" s="404"/>
      <c r="N52" s="408"/>
      <c r="O52" s="404"/>
      <c r="P52" s="404"/>
    </row>
    <row r="53" spans="6:18">
      <c r="F53" s="406"/>
      <c r="G53" s="409"/>
      <c r="H53" s="409"/>
      <c r="I53" s="406"/>
      <c r="J53" s="409"/>
      <c r="K53" s="409"/>
      <c r="L53" s="404"/>
      <c r="M53" s="404"/>
      <c r="N53" s="408"/>
      <c r="O53" s="404"/>
      <c r="P53" s="404"/>
    </row>
    <row r="54" spans="6:18">
      <c r="F54" s="406"/>
      <c r="I54" s="406"/>
      <c r="L54" s="404"/>
      <c r="M54" s="404"/>
      <c r="N54" s="408"/>
      <c r="O54" s="404"/>
      <c r="P54" s="404"/>
    </row>
    <row r="55" spans="6:18">
      <c r="F55" s="406"/>
      <c r="I55" s="406"/>
      <c r="L55" s="404"/>
      <c r="M55" s="404"/>
      <c r="N55" s="408"/>
      <c r="O55" s="404"/>
      <c r="P55" s="404"/>
    </row>
    <row r="56" spans="6:18">
      <c r="F56" s="406"/>
      <c r="I56" s="406"/>
      <c r="L56" s="398"/>
      <c r="M56" s="398"/>
      <c r="N56" s="398"/>
      <c r="O56" s="398"/>
      <c r="P56" s="398"/>
    </row>
    <row r="57" spans="6:18">
      <c r="F57" s="406"/>
      <c r="I57" s="406"/>
      <c r="L57" s="404"/>
      <c r="M57" s="404"/>
      <c r="N57" s="408"/>
      <c r="O57" s="404"/>
      <c r="P57" s="404"/>
    </row>
    <row r="58" spans="6:18">
      <c r="F58" s="406"/>
      <c r="I58" s="406"/>
      <c r="L58" s="404"/>
      <c r="M58" s="404"/>
      <c r="N58" s="408"/>
      <c r="O58" s="404"/>
      <c r="P58" s="404"/>
    </row>
    <row r="59" spans="6:18">
      <c r="F59" s="406"/>
      <c r="I59" s="406"/>
      <c r="L59" s="398"/>
      <c r="M59" s="398"/>
      <c r="N59" s="398"/>
      <c r="O59" s="398"/>
      <c r="P59" s="398"/>
    </row>
    <row r="60" spans="6:18">
      <c r="F60" s="406"/>
      <c r="I60" s="406"/>
      <c r="L60" s="404"/>
      <c r="M60" s="404"/>
      <c r="N60" s="407"/>
      <c r="O60" s="404"/>
      <c r="P60" s="404"/>
    </row>
    <row r="61" spans="6:18">
      <c r="F61" s="406"/>
      <c r="I61" s="406"/>
      <c r="L61" s="137"/>
      <c r="M61" s="137"/>
      <c r="N61" s="137"/>
      <c r="O61" s="137"/>
      <c r="P61" s="137"/>
      <c r="Q61" s="137"/>
      <c r="R61" s="137"/>
    </row>
    <row r="62" spans="6:18">
      <c r="F62" s="406"/>
      <c r="I62" s="406"/>
      <c r="L62" s="137"/>
      <c r="M62" s="137"/>
      <c r="N62" s="137"/>
      <c r="O62" s="137"/>
      <c r="P62" s="137"/>
      <c r="Q62" s="137"/>
      <c r="R62" s="137"/>
    </row>
    <row r="63" spans="6:18">
      <c r="F63" s="406"/>
      <c r="I63" s="406"/>
      <c r="L63" s="137"/>
      <c r="M63" s="137"/>
      <c r="N63" s="137"/>
      <c r="O63" s="137"/>
      <c r="P63" s="137"/>
      <c r="Q63" s="137"/>
      <c r="R63" s="137"/>
    </row>
    <row r="64" spans="6:18">
      <c r="F64" s="406"/>
      <c r="I64" s="406"/>
      <c r="L64" s="137"/>
      <c r="M64" s="137"/>
      <c r="N64" s="137"/>
      <c r="O64" s="137"/>
      <c r="P64" s="137"/>
      <c r="Q64" s="137"/>
      <c r="R64" s="137"/>
    </row>
    <row r="65" spans="6:18">
      <c r="F65" s="406"/>
      <c r="I65" s="406"/>
      <c r="L65" s="137"/>
      <c r="M65" s="137"/>
      <c r="N65" s="137"/>
      <c r="O65" s="137"/>
      <c r="P65" s="137"/>
      <c r="Q65" s="137"/>
      <c r="R65" s="137"/>
    </row>
    <row r="66" spans="6:18">
      <c r="F66" s="406"/>
      <c r="I66" s="406"/>
      <c r="L66" s="137"/>
      <c r="M66" s="137"/>
      <c r="N66" s="137"/>
      <c r="O66" s="137"/>
      <c r="P66" s="137"/>
      <c r="Q66" s="137"/>
      <c r="R66" s="137"/>
    </row>
    <row r="67" spans="6:18">
      <c r="F67" s="406"/>
      <c r="I67" s="406"/>
      <c r="L67" s="137"/>
      <c r="M67" s="137"/>
      <c r="N67" s="137"/>
      <c r="O67" s="137"/>
      <c r="P67" s="137"/>
      <c r="Q67" s="137"/>
      <c r="R67" s="137"/>
    </row>
    <row r="68" spans="6:18">
      <c r="F68" s="406"/>
      <c r="I68" s="406"/>
      <c r="L68" s="137"/>
      <c r="M68" s="137"/>
      <c r="N68" s="137"/>
      <c r="O68" s="137"/>
      <c r="P68" s="137"/>
      <c r="Q68" s="137"/>
      <c r="R68" s="137"/>
    </row>
    <row r="69" spans="6:18">
      <c r="F69" s="406"/>
      <c r="I69" s="406"/>
      <c r="L69" s="137"/>
      <c r="M69" s="137"/>
      <c r="N69" s="137"/>
      <c r="O69" s="137"/>
      <c r="P69" s="137"/>
      <c r="Q69" s="137"/>
      <c r="R69" s="137"/>
    </row>
    <row r="70" spans="6:18">
      <c r="F70" s="406"/>
      <c r="I70" s="406"/>
      <c r="L70" s="137"/>
      <c r="M70" s="137"/>
      <c r="N70" s="137"/>
      <c r="O70" s="137"/>
      <c r="P70" s="137"/>
      <c r="Q70" s="137"/>
      <c r="R70" s="137"/>
    </row>
    <row r="71" spans="6:18">
      <c r="F71" s="406"/>
      <c r="I71" s="406"/>
    </row>
    <row r="72" spans="6:18">
      <c r="F72" s="406"/>
      <c r="I72" s="406"/>
    </row>
    <row r="73" spans="6:18">
      <c r="F73" s="406"/>
      <c r="I73" s="406"/>
    </row>
    <row r="74" spans="6:18">
      <c r="F74" s="406"/>
      <c r="I74" s="406"/>
    </row>
    <row r="75" spans="6:18">
      <c r="F75" s="406"/>
      <c r="I75" s="406"/>
    </row>
  </sheetData>
  <mergeCells count="2">
    <mergeCell ref="G6:H6"/>
    <mergeCell ref="K6:K7"/>
  </mergeCells>
  <conditionalFormatting sqref="O24:P31 L9:P9 N10:P10 O11:P22 N11:N33 L10:M32">
    <cfRule type="cellIs" dxfId="116" priority="14" operator="notEqual">
      <formula>0</formula>
    </cfRule>
  </conditionalFormatting>
  <conditionalFormatting sqref="O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26" customWidth="1"/>
    <col min="2" max="2" width="4.453125" style="426" customWidth="1"/>
    <col min="3" max="3" width="56.54296875" style="426" customWidth="1"/>
    <col min="4" max="7" width="9.54296875" style="426" customWidth="1"/>
    <col min="8" max="14" width="8.54296875" style="426" customWidth="1"/>
    <col min="15" max="16384" width="9.1796875" style="426"/>
  </cols>
  <sheetData>
    <row r="1" spans="2:18" s="4" customFormat="1" ht="15" customHeight="1">
      <c r="B1" s="427"/>
      <c r="H1" s="428"/>
      <c r="I1" s="428"/>
    </row>
    <row r="2" spans="2:18" ht="24" customHeight="1">
      <c r="B2" s="8"/>
      <c r="C2" s="331" t="str">
        <f>IF(Indice_index!$Z$1=1,"17 - Execução Financeira Consolidada do Serviço Nacional de Saúde","17 - National Health Service Consolidated Financial Execution")</f>
        <v>17 - Execução Financeira Consolidada do Serviço Nacional de Saúde</v>
      </c>
      <c r="D2" s="331"/>
      <c r="E2" s="660"/>
      <c r="F2" s="331"/>
      <c r="G2" s="331"/>
      <c r="H2" s="331"/>
      <c r="I2" s="331"/>
    </row>
    <row r="3" spans="2:18" s="424" customFormat="1" ht="15" customHeight="1">
      <c r="B3" s="428"/>
      <c r="C3" s="429"/>
      <c r="H3" s="428"/>
      <c r="I3" s="428"/>
    </row>
    <row r="4" spans="2:18" s="424" customFormat="1" ht="15" customHeight="1">
      <c r="B4" s="428"/>
      <c r="C4" s="430"/>
      <c r="H4" s="428"/>
      <c r="I4" s="428"/>
    </row>
    <row r="5" spans="2:18" s="432" customFormat="1" ht="15" customHeight="1">
      <c r="B5" s="431"/>
      <c r="C5" s="1387" t="str">
        <f>+'5 - Conta AC + SS'!C5</f>
        <v>Período: janeiro a setembro</v>
      </c>
      <c r="D5" s="1594"/>
      <c r="E5" s="425"/>
      <c r="F5" s="1594"/>
      <c r="G5" s="1594"/>
      <c r="H5" s="1626"/>
      <c r="I5" s="969" t="str">
        <f>IF(Indice_index!$Z$1=1,"€ Milhões","€ Millions")</f>
        <v>€ Milhões</v>
      </c>
    </row>
    <row r="6" spans="2:18" s="424" customFormat="1" ht="27.75" customHeight="1">
      <c r="B6" s="428"/>
      <c r="C6" s="1595"/>
      <c r="D6" s="1596" t="str">
        <f>IF(Indice_index!$Z$1=1,"Execução Provisória","Provisional execution")</f>
        <v>Execução Provisória</v>
      </c>
      <c r="E6" s="1597" t="str">
        <f>IF(Indice_index!$Z$1=1,"Orçamento Inicial","Budget")</f>
        <v>Orçamento Inicial</v>
      </c>
      <c r="F6" s="1743" t="str">
        <f>IF(Indice_index!$Z$1=1,"Execução Acumulada","Accumulated Execution")</f>
        <v>Execução Acumulada</v>
      </c>
      <c r="G6" s="1743"/>
      <c r="H6" s="1744" t="str">
        <f>IF(Indice_index!$Z$1=1,"Variação Homóloga Acumulada","YOY Change Rate")</f>
        <v>Variação Homóloga Acumulada</v>
      </c>
      <c r="I6" s="1745"/>
      <c r="K6" s="137"/>
      <c r="L6" s="137"/>
      <c r="M6" s="137"/>
    </row>
    <row r="7" spans="2:18" s="424" customFormat="1" ht="21">
      <c r="B7" s="428"/>
      <c r="C7" s="1598"/>
      <c r="D7" s="1599">
        <v>2021</v>
      </c>
      <c r="E7" s="1600">
        <v>2022</v>
      </c>
      <c r="F7" s="1599">
        <v>2021</v>
      </c>
      <c r="G7" s="1599">
        <v>2022</v>
      </c>
      <c r="H7" s="1627" t="str">
        <f>IF(Indice_index!$Z$1=1,"TVH (%)","YOY Change Rate (%)")</f>
        <v>TVH (%)</v>
      </c>
      <c r="I7" s="1628" t="str">
        <f>IF(Indice_index!$Z$1=1,"Contributo VH (p.p.)","YOY Change Contrib. (p.p.)")</f>
        <v>Contributo VH (p.p.)</v>
      </c>
      <c r="K7" s="137"/>
      <c r="L7" s="137"/>
      <c r="M7" s="137"/>
    </row>
    <row r="8" spans="2:18" s="396" customFormat="1" ht="4.5" customHeight="1">
      <c r="C8" s="1394"/>
      <c r="D8" s="397"/>
      <c r="E8" s="397"/>
      <c r="F8" s="397"/>
      <c r="H8" s="4"/>
      <c r="J8" s="459"/>
    </row>
    <row r="9" spans="2:18" s="432" customFormat="1" ht="15" customHeight="1">
      <c r="B9" s="431"/>
      <c r="C9" s="1601" t="str">
        <f>IF(Indice_index!$Z$1=1,"Receita corrente","Current revenue")</f>
        <v>Receita corrente</v>
      </c>
      <c r="D9" s="1602">
        <v>11210.546105580001</v>
      </c>
      <c r="E9" s="1603">
        <v>12073.484328578301</v>
      </c>
      <c r="F9" s="1602">
        <v>8500.6461055800009</v>
      </c>
      <c r="G9" s="1602">
        <v>9151.990076</v>
      </c>
      <c r="H9" s="1629">
        <f t="shared" ref="H9:H15" si="0">IF(F9=0,"-",((G9/F9)-1)*100)</f>
        <v>7.6622878111870074</v>
      </c>
      <c r="I9" s="1629">
        <f t="shared" ref="I9:I15" si="1">IFERROR((G9-F9)/$F$17*100,"-")</f>
        <v>7.6331940828734872</v>
      </c>
      <c r="J9" s="433"/>
      <c r="K9" s="433"/>
      <c r="L9" s="433"/>
      <c r="M9" s="433"/>
      <c r="N9" s="433"/>
      <c r="O9" s="433"/>
      <c r="P9" s="433"/>
      <c r="Q9" s="433"/>
      <c r="R9" s="433"/>
    </row>
    <row r="10" spans="2:18" s="424" customFormat="1" ht="15" customHeight="1">
      <c r="B10" s="428"/>
      <c r="C10" s="1604" t="str">
        <f>IF(Indice_index!$Z$1=1,"Receita fiscal","Tax")</f>
        <v>Receita fiscal</v>
      </c>
      <c r="D10" s="1605">
        <v>105.4</v>
      </c>
      <c r="E10" s="1605">
        <v>113.3</v>
      </c>
      <c r="F10" s="1605">
        <v>77.400000000000006</v>
      </c>
      <c r="G10" s="1605">
        <v>82.3</v>
      </c>
      <c r="H10" s="1630">
        <f t="shared" si="0"/>
        <v>6.3307493540051496</v>
      </c>
      <c r="I10" s="1631">
        <f t="shared" si="1"/>
        <v>5.7423807856795038E-2</v>
      </c>
      <c r="J10" s="434"/>
      <c r="K10" s="434"/>
      <c r="L10" s="434"/>
      <c r="M10" s="434"/>
      <c r="N10" s="434"/>
      <c r="O10" s="434"/>
      <c r="P10" s="434"/>
      <c r="Q10" s="434"/>
      <c r="R10" s="434"/>
    </row>
    <row r="11" spans="2:18" s="424" customFormat="1" ht="15" customHeight="1">
      <c r="B11" s="428"/>
      <c r="C11" s="1606" t="str">
        <f>IF(Indice_index!$Z$1=1,"Impostos diretos","Direct taxes")</f>
        <v>Impostos diretos</v>
      </c>
      <c r="D11" s="1605">
        <v>0</v>
      </c>
      <c r="E11" s="1605">
        <v>0</v>
      </c>
      <c r="F11" s="1605">
        <v>0</v>
      </c>
      <c r="G11" s="1605">
        <v>0</v>
      </c>
      <c r="H11" s="1630" t="str">
        <f t="shared" si="0"/>
        <v>-</v>
      </c>
      <c r="I11" s="1631">
        <f t="shared" si="1"/>
        <v>0</v>
      </c>
      <c r="J11" s="434"/>
      <c r="K11" s="434"/>
      <c r="L11" s="434"/>
      <c r="M11" s="434"/>
      <c r="N11" s="434"/>
      <c r="O11" s="434"/>
      <c r="P11" s="434"/>
      <c r="Q11" s="434"/>
      <c r="R11" s="434"/>
    </row>
    <row r="12" spans="2:18" s="424" customFormat="1" ht="15" customHeight="1">
      <c r="B12" s="428"/>
      <c r="C12" s="1606" t="str">
        <f>IF(Indice_index!$Z$1=1,"Impostos indiretos","Indirect taxes")</f>
        <v>Impostos indiretos</v>
      </c>
      <c r="D12" s="1605">
        <v>105.4</v>
      </c>
      <c r="E12" s="1605">
        <v>113.3</v>
      </c>
      <c r="F12" s="1605">
        <v>77.400000000000006</v>
      </c>
      <c r="G12" s="1605">
        <v>82.3</v>
      </c>
      <c r="H12" s="1630">
        <f t="shared" si="0"/>
        <v>6.3307493540051496</v>
      </c>
      <c r="I12" s="1631">
        <f t="shared" si="1"/>
        <v>5.7423807856795038E-2</v>
      </c>
      <c r="J12" s="434"/>
      <c r="K12" s="434"/>
      <c r="L12" s="434"/>
      <c r="M12" s="434"/>
      <c r="N12" s="434"/>
      <c r="O12" s="434"/>
      <c r="P12" s="434"/>
      <c r="Q12" s="434"/>
      <c r="R12" s="434"/>
    </row>
    <row r="13" spans="2:18" s="424" customFormat="1" ht="15" customHeight="1">
      <c r="B13" s="428"/>
      <c r="C13" s="1607" t="str">
        <f>IF(Indice_index!$Z$1=1,"Contribuições de Segurança Social","Social security contributions")</f>
        <v>Contribuições de Segurança Social</v>
      </c>
      <c r="D13" s="1608">
        <v>0</v>
      </c>
      <c r="E13" s="1608">
        <v>0</v>
      </c>
      <c r="F13" s="1608">
        <v>0</v>
      </c>
      <c r="G13" s="1608">
        <v>0</v>
      </c>
      <c r="H13" s="1630" t="str">
        <f t="shared" si="0"/>
        <v>-</v>
      </c>
      <c r="I13" s="1631">
        <f t="shared" si="1"/>
        <v>0</v>
      </c>
      <c r="J13" s="434"/>
      <c r="K13" s="434"/>
      <c r="L13" s="434"/>
      <c r="M13" s="434"/>
      <c r="N13" s="434"/>
      <c r="O13" s="434"/>
      <c r="P13" s="434"/>
      <c r="Q13" s="434"/>
      <c r="R13" s="434"/>
    </row>
    <row r="14" spans="2:18" s="424" customFormat="1" ht="15" customHeight="1">
      <c r="B14" s="428"/>
      <c r="C14" s="1607" t="str">
        <f>IF(Indice_index!$Z$1=1,"Outras receitas correntes","Other current revenue")</f>
        <v>Outras receitas correntes</v>
      </c>
      <c r="D14" s="1605">
        <v>11105.146105580001</v>
      </c>
      <c r="E14" s="1605">
        <v>11960.184328578302</v>
      </c>
      <c r="F14" s="1605">
        <v>8423.2461055800013</v>
      </c>
      <c r="G14" s="1605">
        <v>9069.6900760000008</v>
      </c>
      <c r="H14" s="1631">
        <f t="shared" si="0"/>
        <v>7.6745231270372249</v>
      </c>
      <c r="I14" s="1631">
        <f t="shared" si="1"/>
        <v>7.5757702750166951</v>
      </c>
      <c r="J14" s="434"/>
      <c r="K14" s="434"/>
      <c r="L14" s="434"/>
      <c r="M14" s="434"/>
      <c r="N14" s="434"/>
      <c r="O14" s="434"/>
      <c r="P14" s="434"/>
      <c r="Q14" s="434"/>
      <c r="R14" s="434"/>
    </row>
    <row r="15" spans="2:18" s="432" customFormat="1" ht="15" customHeight="1">
      <c r="B15" s="431"/>
      <c r="C15" s="1601" t="str">
        <f>IF(Indice_index!$Z$1=1,"Receita de capital","Capital revenue")</f>
        <v>Receita de capital</v>
      </c>
      <c r="D15" s="1609">
        <v>76.199999999999989</v>
      </c>
      <c r="E15" s="1610">
        <v>126.89999999999999</v>
      </c>
      <c r="F15" s="1609">
        <v>32.4</v>
      </c>
      <c r="G15" s="1609">
        <v>34.9</v>
      </c>
      <c r="H15" s="1632">
        <f t="shared" si="0"/>
        <v>7.7160493827160392</v>
      </c>
      <c r="I15" s="1629">
        <f t="shared" si="1"/>
        <v>2.9297861151426088E-2</v>
      </c>
      <c r="J15" s="433"/>
      <c r="K15" s="433"/>
      <c r="L15" s="433"/>
      <c r="M15" s="433"/>
      <c r="N15" s="433"/>
      <c r="O15" s="433"/>
      <c r="P15" s="433"/>
      <c r="Q15" s="433"/>
      <c r="R15" s="433"/>
    </row>
    <row r="16" spans="2:18" s="424" customFormat="1" ht="4.5" customHeight="1">
      <c r="B16" s="428"/>
      <c r="C16" s="1611"/>
      <c r="D16" s="1605"/>
      <c r="E16" s="1605"/>
      <c r="F16" s="1605"/>
      <c r="G16" s="1605"/>
      <c r="H16" s="1629"/>
      <c r="I16" s="1629"/>
      <c r="J16" s="434"/>
      <c r="K16" s="434"/>
      <c r="L16" s="434"/>
      <c r="M16" s="434"/>
      <c r="N16" s="434"/>
      <c r="O16" s="434"/>
      <c r="P16" s="434"/>
      <c r="Q16" s="434"/>
      <c r="R16" s="434"/>
    </row>
    <row r="17" spans="2:18" s="432" customFormat="1" ht="15" customHeight="1">
      <c r="B17" s="431"/>
      <c r="C17" s="1601" t="str">
        <f>IF(Indice_index!$Z$1=1,"Receita efetiva","Effective revenue")</f>
        <v>Receita efetiva</v>
      </c>
      <c r="D17" s="1609">
        <v>11286.746105580001</v>
      </c>
      <c r="E17" s="1610">
        <v>12200.3843285783</v>
      </c>
      <c r="F17" s="1609">
        <v>8533.0461055800006</v>
      </c>
      <c r="G17" s="1609">
        <v>9186.8900759999997</v>
      </c>
      <c r="H17" s="1629">
        <f>IF(F17=0,"-",((G17/F17)-1)*100)</f>
        <v>7.6624919440249073</v>
      </c>
      <c r="I17" s="1629"/>
      <c r="J17" s="433"/>
      <c r="K17" s="433"/>
      <c r="L17" s="433"/>
      <c r="M17" s="433"/>
      <c r="N17" s="433"/>
      <c r="O17" s="433"/>
      <c r="P17" s="433"/>
      <c r="Q17" s="433"/>
      <c r="R17" s="433"/>
    </row>
    <row r="18" spans="2:18" s="424" customFormat="1" ht="4.5" customHeight="1">
      <c r="B18" s="428"/>
      <c r="C18" s="1612"/>
      <c r="D18" s="1602"/>
      <c r="E18" s="1603"/>
      <c r="F18" s="1602"/>
      <c r="G18" s="1602"/>
      <c r="H18" s="1631"/>
      <c r="I18" s="1631"/>
      <c r="J18" s="434"/>
      <c r="K18" s="434"/>
      <c r="L18" s="434"/>
      <c r="M18" s="434"/>
      <c r="N18" s="434"/>
      <c r="O18" s="434"/>
      <c r="P18" s="434"/>
      <c r="Q18" s="434"/>
      <c r="R18" s="434"/>
    </row>
    <row r="19" spans="2:18" s="432" customFormat="1" ht="15" customHeight="1">
      <c r="B19" s="431"/>
      <c r="C19" s="1601" t="str">
        <f>IF(Indice_index!$Z$1=1,"Despesa corrente","Current expenditure")</f>
        <v>Despesa corrente</v>
      </c>
      <c r="D19" s="1609">
        <v>12153.800000000001</v>
      </c>
      <c r="E19" s="1610">
        <v>12686.765318900727</v>
      </c>
      <c r="F19" s="1609">
        <v>8673.6999999999971</v>
      </c>
      <c r="G19" s="1609">
        <v>9237.5000000000018</v>
      </c>
      <c r="H19" s="1629">
        <f t="shared" ref="H19:H36" si="2">IF(F19=0,"-",((G19/F19)-1)*100)</f>
        <v>6.5001095264997089</v>
      </c>
      <c r="I19" s="1629">
        <f>IFERROR((G19-F19)/$F$38*100,"-")</f>
        <v>6.4009990917348425</v>
      </c>
      <c r="J19" s="433"/>
      <c r="K19" s="433"/>
      <c r="L19" s="433"/>
      <c r="M19" s="433"/>
      <c r="N19" s="433"/>
      <c r="O19" s="433"/>
      <c r="P19" s="433"/>
      <c r="Q19" s="433"/>
      <c r="R19" s="433"/>
    </row>
    <row r="20" spans="2:18" s="424" customFormat="1" ht="15" customHeight="1">
      <c r="B20" s="428"/>
      <c r="C20" s="1607" t="str">
        <f>IF(Indice_index!$Z$1=1,"Despesas com o pessoal","Employees")</f>
        <v>Despesas com o pessoal</v>
      </c>
      <c r="D20" s="1605">
        <v>5060.4000000000005</v>
      </c>
      <c r="E20" s="1605">
        <v>5204.1000000000004</v>
      </c>
      <c r="F20" s="1605">
        <v>3633.5</v>
      </c>
      <c r="G20" s="1605">
        <v>3777</v>
      </c>
      <c r="H20" s="1631">
        <f t="shared" si="2"/>
        <v>3.9493601210953688</v>
      </c>
      <c r="I20" s="1631">
        <f>IFERROR((G20-F20)/$F$38*100,"-")</f>
        <v>1.6292007266121715</v>
      </c>
      <c r="J20" s="434"/>
      <c r="K20" s="434"/>
      <c r="L20" s="434"/>
      <c r="M20" s="434"/>
      <c r="N20" s="434"/>
      <c r="O20" s="434"/>
      <c r="P20" s="434"/>
      <c r="Q20" s="434"/>
      <c r="R20" s="434"/>
    </row>
    <row r="21" spans="2:18" s="424" customFormat="1" ht="15" customHeight="1">
      <c r="B21" s="428"/>
      <c r="C21" s="1613" t="str">
        <f>IF(Indice_index!$Z$1=1,"Remunerações Certas e Permanentes","Certain and permanent wages")</f>
        <v>Remunerações Certas e Permanentes</v>
      </c>
      <c r="D21" s="1614">
        <v>3284.1</v>
      </c>
      <c r="E21" s="1614">
        <v>3433.1</v>
      </c>
      <c r="F21" s="1614">
        <v>2337</v>
      </c>
      <c r="G21" s="1614">
        <v>2464.6999999999998</v>
      </c>
      <c r="H21" s="1631">
        <f t="shared" si="2"/>
        <v>5.4642704321780089</v>
      </c>
      <c r="I21" s="1631">
        <f t="shared" ref="I21:I32" si="3">IFERROR((G21-F21)/$F$38*100,"-")</f>
        <v>1.44981834695731</v>
      </c>
      <c r="J21" s="434"/>
      <c r="K21" s="434"/>
      <c r="L21" s="434"/>
      <c r="M21" s="434"/>
      <c r="N21" s="434"/>
      <c r="O21" s="434"/>
      <c r="P21" s="434"/>
      <c r="Q21" s="434"/>
      <c r="R21" s="434"/>
    </row>
    <row r="22" spans="2:18" s="424" customFormat="1" ht="15" customHeight="1">
      <c r="B22" s="428"/>
      <c r="C22" s="1613" t="str">
        <f>IF(Indice_index!$Z$1=1,"Abonos Variáveis ou Eventuais","Variable or contingent bonuses")</f>
        <v>Abonos Variáveis ou Eventuais</v>
      </c>
      <c r="D22" s="1605">
        <v>843.5</v>
      </c>
      <c r="E22" s="1614">
        <v>820.69999999999993</v>
      </c>
      <c r="F22" s="1605">
        <v>638.4</v>
      </c>
      <c r="G22" s="1605">
        <v>618.5</v>
      </c>
      <c r="H22" s="1631">
        <f t="shared" si="2"/>
        <v>-3.1171679197994906</v>
      </c>
      <c r="I22" s="1631">
        <f t="shared" si="3"/>
        <v>-0.22593097184377819</v>
      </c>
      <c r="J22" s="434"/>
      <c r="K22" s="434"/>
      <c r="L22" s="434"/>
      <c r="M22" s="434"/>
      <c r="N22" s="434"/>
      <c r="O22" s="434"/>
      <c r="P22" s="434"/>
      <c r="Q22" s="434"/>
      <c r="R22" s="434"/>
    </row>
    <row r="23" spans="2:18" s="424" customFormat="1" ht="15" customHeight="1">
      <c r="B23" s="428"/>
      <c r="C23" s="1613" t="str">
        <f>IF(Indice_index!$Z$1=1,"Segurança social","Social security")</f>
        <v>Segurança social</v>
      </c>
      <c r="D23" s="1605">
        <v>932.8</v>
      </c>
      <c r="E23" s="1614">
        <v>950.3</v>
      </c>
      <c r="F23" s="1605">
        <v>658.1</v>
      </c>
      <c r="G23" s="1605">
        <v>693.8</v>
      </c>
      <c r="H23" s="1631">
        <f t="shared" si="2"/>
        <v>5.4247074912627147</v>
      </c>
      <c r="I23" s="1631">
        <f t="shared" si="3"/>
        <v>0.40531335149863701</v>
      </c>
      <c r="J23" s="434"/>
      <c r="K23" s="434"/>
      <c r="L23" s="434"/>
      <c r="M23" s="434"/>
      <c r="N23" s="434"/>
      <c r="O23" s="434"/>
      <c r="P23" s="434"/>
      <c r="Q23" s="434"/>
      <c r="R23" s="434"/>
    </row>
    <row r="24" spans="2:18" s="424" customFormat="1" ht="15" customHeight="1">
      <c r="B24" s="428"/>
      <c r="C24" s="1607" t="str">
        <f>IF(Indice_index!$Z$1=1,"Aquisição de bens e serviços","Purchase of goods and services")</f>
        <v>Aquisição de bens e serviços</v>
      </c>
      <c r="D24" s="1605">
        <v>6960.0999999999995</v>
      </c>
      <c r="E24" s="1605">
        <v>7345.9653189007258</v>
      </c>
      <c r="F24" s="1605">
        <v>4930.5999999999995</v>
      </c>
      <c r="G24" s="1605">
        <v>5408.2000000000007</v>
      </c>
      <c r="H24" s="1631">
        <f t="shared" si="2"/>
        <v>9.6864478968077261</v>
      </c>
      <c r="I24" s="1631">
        <f t="shared" si="3"/>
        <v>5.422343324250698</v>
      </c>
      <c r="J24" s="434"/>
      <c r="K24" s="434"/>
      <c r="L24" s="434"/>
      <c r="M24" s="434"/>
      <c r="N24" s="434"/>
      <c r="O24" s="434"/>
      <c r="P24" s="434"/>
      <c r="Q24" s="434"/>
      <c r="R24" s="434"/>
    </row>
    <row r="25" spans="2:18" s="424" customFormat="1" ht="15" customHeight="1">
      <c r="B25" s="428"/>
      <c r="C25" s="1606" t="str">
        <f>IF(Indice_index!$Z$1=1,"Produtos vendidos em farmácias","Medicines")</f>
        <v>Produtos vendidos em farmácias</v>
      </c>
      <c r="D25" s="1605">
        <v>1516.6</v>
      </c>
      <c r="E25" s="1605">
        <v>1706.2135963800001</v>
      </c>
      <c r="F25" s="1605">
        <v>1118.4000000000001</v>
      </c>
      <c r="G25" s="1605">
        <v>1297.6000000000001</v>
      </c>
      <c r="H25" s="1631">
        <f t="shared" si="2"/>
        <v>16.022889842632338</v>
      </c>
      <c r="I25" s="1631">
        <f t="shared" si="3"/>
        <v>2.0345140781108095</v>
      </c>
      <c r="J25" s="434"/>
      <c r="K25" s="434"/>
      <c r="L25" s="434"/>
      <c r="M25" s="434"/>
      <c r="N25" s="434"/>
      <c r="O25" s="434"/>
      <c r="P25" s="434"/>
      <c r="Q25" s="434"/>
      <c r="R25" s="434"/>
    </row>
    <row r="26" spans="2:18" s="424" customFormat="1" ht="15" customHeight="1">
      <c r="B26" s="428"/>
      <c r="C26" s="1606" t="str">
        <f>IF(Indice_index!$Z$1=1,"Meios complementares de diagnóstico e terapêutica e outros subcontratos","Complementary diagnosis and therapeutic means and other subcontracts")</f>
        <v>Meios complementares de diagnóstico e terapêutica e outros subcontratos</v>
      </c>
      <c r="D26" s="1605">
        <v>1718.7999999999997</v>
      </c>
      <c r="E26" s="1605">
        <v>1809.3324016702022</v>
      </c>
      <c r="F26" s="1605">
        <v>1213.4999999999998</v>
      </c>
      <c r="G26" s="1605">
        <v>1360.3</v>
      </c>
      <c r="H26" s="1631">
        <f t="shared" si="2"/>
        <v>12.097239390193671</v>
      </c>
      <c r="I26" s="1631">
        <f t="shared" si="3"/>
        <v>1.6666666666666694</v>
      </c>
      <c r="J26" s="434"/>
      <c r="K26" s="434"/>
      <c r="L26" s="434"/>
      <c r="M26" s="434"/>
      <c r="N26" s="434"/>
      <c r="O26" s="434"/>
      <c r="P26" s="434"/>
      <c r="Q26" s="434"/>
      <c r="R26" s="434"/>
    </row>
    <row r="27" spans="2:18" s="424" customFormat="1" ht="15" customHeight="1">
      <c r="B27" s="428"/>
      <c r="C27" s="1606" t="str">
        <f>IF(Indice_index!$Z$1=1,"Parcerias público-privadas (PPP)","Public-Private Partnerships (PPP)")</f>
        <v>Parcerias público-privadas (PPP)</v>
      </c>
      <c r="D27" s="1605">
        <v>263.39999999999998</v>
      </c>
      <c r="E27" s="1605">
        <v>142.6</v>
      </c>
      <c r="F27" s="1605">
        <v>197.79999999999998</v>
      </c>
      <c r="G27" s="1605">
        <v>99.9</v>
      </c>
      <c r="H27" s="1631">
        <f t="shared" si="2"/>
        <v>-49.494438827098072</v>
      </c>
      <c r="I27" s="1631">
        <f t="shared" si="3"/>
        <v>-1.1114895549500456</v>
      </c>
      <c r="J27" s="434"/>
      <c r="K27" s="434"/>
      <c r="L27" s="434"/>
      <c r="M27" s="434"/>
      <c r="N27" s="434"/>
      <c r="O27" s="434"/>
      <c r="P27" s="434"/>
      <c r="Q27" s="434"/>
      <c r="R27" s="434"/>
    </row>
    <row r="28" spans="2:18" s="424" customFormat="1" ht="15" customHeight="1">
      <c r="B28" s="428"/>
      <c r="C28" s="1606" t="str">
        <f>IF(Indice_index!$Z$1=1,"Aquisição de bens (compras inventários)","Purchase of goods (inventories)")</f>
        <v>Aquisição de bens (compras inventários)</v>
      </c>
      <c r="D28" s="1605">
        <v>2421</v>
      </c>
      <c r="E28" s="1605">
        <v>2594.8193208505231</v>
      </c>
      <c r="F28" s="1605">
        <v>1683.5</v>
      </c>
      <c r="G28" s="1605">
        <v>1783.3</v>
      </c>
      <c r="H28" s="1631">
        <f t="shared" si="2"/>
        <v>5.9281259281259269</v>
      </c>
      <c r="I28" s="1631">
        <f t="shared" si="3"/>
        <v>1.1330608537693005</v>
      </c>
      <c r="J28" s="434"/>
      <c r="K28" s="434"/>
      <c r="L28" s="434"/>
      <c r="M28" s="434"/>
      <c r="N28" s="434"/>
      <c r="O28" s="434"/>
      <c r="P28" s="434"/>
      <c r="Q28" s="434"/>
      <c r="R28" s="434"/>
    </row>
    <row r="29" spans="2:18" s="424" customFormat="1" ht="15" customHeight="1">
      <c r="B29" s="428"/>
      <c r="C29" s="1606" t="str">
        <f>IF(Indice_index!$Z$1=1,"Outras aquisições de bens e serviços","Other acquisitions of goods and services")</f>
        <v>Outras aquisições de bens e serviços</v>
      </c>
      <c r="D29" s="1605">
        <v>1040.3</v>
      </c>
      <c r="E29" s="1605">
        <v>1093</v>
      </c>
      <c r="F29" s="1605">
        <v>717.4</v>
      </c>
      <c r="G29" s="1605">
        <v>867.1</v>
      </c>
      <c r="H29" s="1631">
        <f t="shared" si="2"/>
        <v>20.86701979369947</v>
      </c>
      <c r="I29" s="1631">
        <f t="shared" si="3"/>
        <v>1.6995912806539522</v>
      </c>
      <c r="J29" s="434"/>
      <c r="K29" s="434"/>
      <c r="L29" s="434"/>
      <c r="M29" s="434"/>
      <c r="N29" s="434"/>
      <c r="O29" s="434"/>
      <c r="P29" s="434"/>
      <c r="Q29" s="434"/>
      <c r="R29" s="434"/>
    </row>
    <row r="30" spans="2:18" s="424" customFormat="1" ht="15" customHeight="1">
      <c r="B30" s="428"/>
      <c r="C30" s="1607" t="str">
        <f>IF(Indice_index!$Z$1=1,"Juros e outros encargos","Interests and other charges")</f>
        <v>Juros e outros encargos</v>
      </c>
      <c r="D30" s="1605">
        <v>2.2000000000000002</v>
      </c>
      <c r="E30" s="1605">
        <v>0.7</v>
      </c>
      <c r="F30" s="1605">
        <v>1.5</v>
      </c>
      <c r="G30" s="1605">
        <v>1.2</v>
      </c>
      <c r="H30" s="1630">
        <f t="shared" si="2"/>
        <v>-20.000000000000007</v>
      </c>
      <c r="I30" s="1631">
        <f t="shared" si="3"/>
        <v>-3.4059945504087215E-3</v>
      </c>
      <c r="J30" s="434"/>
      <c r="K30" s="434"/>
      <c r="L30" s="434"/>
      <c r="M30" s="434"/>
      <c r="N30" s="434"/>
      <c r="O30" s="434"/>
      <c r="P30" s="434"/>
      <c r="Q30" s="434"/>
      <c r="R30" s="434"/>
    </row>
    <row r="31" spans="2:18" s="424" customFormat="1" ht="15" customHeight="1">
      <c r="B31" s="428"/>
      <c r="C31" s="1607" t="str">
        <f>IF(Indice_index!$Z$1=1,"Transferências correntes","Current transfers")</f>
        <v>Transferências correntes</v>
      </c>
      <c r="D31" s="1605">
        <v>127.9</v>
      </c>
      <c r="E31" s="1605">
        <v>134.80000000000001</v>
      </c>
      <c r="F31" s="1605">
        <v>105.3</v>
      </c>
      <c r="G31" s="1605">
        <v>48.6</v>
      </c>
      <c r="H31" s="1630">
        <f t="shared" si="2"/>
        <v>-53.846153846153847</v>
      </c>
      <c r="I31" s="1631">
        <f t="shared" si="3"/>
        <v>-0.64373297002724816</v>
      </c>
      <c r="J31" s="434"/>
      <c r="K31" s="434"/>
      <c r="L31" s="434"/>
      <c r="M31" s="434"/>
      <c r="N31" s="434"/>
      <c r="O31" s="434"/>
      <c r="P31" s="434"/>
      <c r="Q31" s="434"/>
      <c r="R31" s="434"/>
    </row>
    <row r="32" spans="2:18" s="424" customFormat="1" ht="15" customHeight="1">
      <c r="B32" s="428"/>
      <c r="C32" s="1607" t="str">
        <f>IF(Indice_index!$Z$1=1,"Outras despesas correntes","Other current expenditures")</f>
        <v>Outras despesas correntes</v>
      </c>
      <c r="D32" s="1605">
        <v>3.2</v>
      </c>
      <c r="E32" s="1605">
        <v>1.2</v>
      </c>
      <c r="F32" s="1605">
        <v>2.8</v>
      </c>
      <c r="G32" s="1605">
        <v>2.5</v>
      </c>
      <c r="H32" s="1631">
        <f t="shared" si="2"/>
        <v>-10.71428571428571</v>
      </c>
      <c r="I32" s="1631">
        <f t="shared" si="3"/>
        <v>-3.4059945504087189E-3</v>
      </c>
      <c r="J32" s="434"/>
      <c r="K32" s="434"/>
      <c r="L32" s="434"/>
      <c r="M32" s="434"/>
      <c r="N32" s="434"/>
      <c r="O32" s="434"/>
      <c r="P32" s="434"/>
      <c r="Q32" s="434"/>
      <c r="R32" s="434"/>
    </row>
    <row r="33" spans="2:26" s="432" customFormat="1" ht="15" customHeight="1">
      <c r="B33" s="431"/>
      <c r="C33" s="1601" t="str">
        <f>IF(Indice_index!$Z$1=1,"Despesa de capital","Capital expenditure")</f>
        <v>Despesa de capital</v>
      </c>
      <c r="D33" s="1615">
        <v>233</v>
      </c>
      <c r="E33" s="1616">
        <v>634.59999999999991</v>
      </c>
      <c r="F33" s="1615">
        <v>134.30000000000001</v>
      </c>
      <c r="G33" s="1615">
        <v>112.5</v>
      </c>
      <c r="H33" s="1632">
        <f t="shared" si="2"/>
        <v>-16.232315711094568</v>
      </c>
      <c r="I33" s="1629">
        <f>IFERROR((G33-F33)/$F$38*100,"-")</f>
        <v>-0.24750227066303385</v>
      </c>
      <c r="J33" s="433"/>
      <c r="K33" s="433"/>
      <c r="L33" s="433"/>
      <c r="M33" s="433"/>
      <c r="N33" s="433"/>
      <c r="O33" s="433"/>
      <c r="P33" s="433"/>
      <c r="Q33" s="433"/>
      <c r="R33" s="433"/>
    </row>
    <row r="34" spans="2:26" s="424" customFormat="1" ht="15" customHeight="1">
      <c r="B34" s="428"/>
      <c r="C34" s="1607" t="str">
        <f>IF(Indice_index!$Z$1=1,"Investimentos","Investments")</f>
        <v>Investimentos</v>
      </c>
      <c r="D34" s="1605">
        <v>232.4</v>
      </c>
      <c r="E34" s="1617">
        <v>589.29999999999995</v>
      </c>
      <c r="F34" s="1605">
        <v>134</v>
      </c>
      <c r="G34" s="1605">
        <v>112.1</v>
      </c>
      <c r="H34" s="1630">
        <f t="shared" si="2"/>
        <v>-16.343283582089551</v>
      </c>
      <c r="I34" s="1631">
        <f>IFERROR((G34-F34)/$F$38*100,"-")</f>
        <v>-0.24863760217983666</v>
      </c>
      <c r="J34" s="434"/>
      <c r="K34" s="434"/>
      <c r="L34" s="434"/>
      <c r="M34" s="434"/>
      <c r="N34" s="434"/>
      <c r="O34" s="434"/>
      <c r="P34" s="434"/>
      <c r="Q34" s="434"/>
      <c r="R34" s="434"/>
    </row>
    <row r="35" spans="2:26" s="424" customFormat="1" ht="15" customHeight="1">
      <c r="B35" s="435"/>
      <c r="C35" s="1607" t="str">
        <f>IF(Indice_index!$Z$1=1,"Transferências de capital","Capital transfers")</f>
        <v>Transferências de capital</v>
      </c>
      <c r="D35" s="1605">
        <v>0.6</v>
      </c>
      <c r="E35" s="1617">
        <v>45.3</v>
      </c>
      <c r="F35" s="1605">
        <v>0.3</v>
      </c>
      <c r="G35" s="1605">
        <v>0.4</v>
      </c>
      <c r="H35" s="1630">
        <f t="shared" si="2"/>
        <v>33.33333333333335</v>
      </c>
      <c r="I35" s="1631">
        <f t="shared" ref="I35:I36" si="4">IFERROR((G35-F35)/$F$38*100,"-")</f>
        <v>1.1353315168029074E-3</v>
      </c>
      <c r="J35" s="434"/>
      <c r="K35" s="434"/>
      <c r="L35" s="434"/>
      <c r="M35" s="434"/>
      <c r="N35" s="434"/>
      <c r="O35" s="434"/>
      <c r="P35" s="434"/>
      <c r="Q35" s="434"/>
      <c r="R35" s="434"/>
    </row>
    <row r="36" spans="2:26" s="424" customFormat="1" ht="15" customHeight="1">
      <c r="B36" s="428"/>
      <c r="C36" s="1607" t="str">
        <f>IF(Indice_index!$Z$1=1,"Outras despesas de capital","Other capital expenditures")</f>
        <v>Outras despesas de capital</v>
      </c>
      <c r="D36" s="1617">
        <v>0</v>
      </c>
      <c r="E36" s="1617">
        <v>0</v>
      </c>
      <c r="F36" s="1617">
        <v>0</v>
      </c>
      <c r="G36" s="1617">
        <v>0</v>
      </c>
      <c r="H36" s="1633" t="str">
        <f t="shared" si="2"/>
        <v>-</v>
      </c>
      <c r="I36" s="1631">
        <f t="shared" si="4"/>
        <v>0</v>
      </c>
      <c r="J36" s="434"/>
      <c r="K36" s="434"/>
      <c r="L36" s="434"/>
      <c r="M36" s="434"/>
      <c r="N36" s="434"/>
      <c r="O36" s="434"/>
      <c r="P36" s="434"/>
      <c r="Q36" s="434"/>
      <c r="R36" s="434"/>
    </row>
    <row r="37" spans="2:26" s="424" customFormat="1" ht="4.5" customHeight="1">
      <c r="B37" s="428"/>
      <c r="C37" s="1618"/>
      <c r="D37" s="1602"/>
      <c r="E37" s="1603"/>
      <c r="F37" s="1602"/>
      <c r="G37" s="1602"/>
      <c r="H37" s="1630"/>
      <c r="I37" s="1630"/>
      <c r="J37" s="434"/>
      <c r="K37" s="434"/>
      <c r="L37" s="434"/>
      <c r="M37" s="434"/>
      <c r="N37" s="434"/>
      <c r="O37" s="434"/>
      <c r="P37" s="434"/>
      <c r="Q37" s="434"/>
      <c r="R37" s="434"/>
    </row>
    <row r="38" spans="2:26" s="432" customFormat="1" ht="15" customHeight="1">
      <c r="B38" s="431"/>
      <c r="C38" s="1601" t="str">
        <f>IF(Indice_index!$Z$1=1,"Despesa efetiva","Effective expenditure")</f>
        <v>Despesa efetiva</v>
      </c>
      <c r="D38" s="1619">
        <v>12386.800000000001</v>
      </c>
      <c r="E38" s="1620">
        <v>13321.365318900727</v>
      </c>
      <c r="F38" s="1619">
        <v>8807.9999999999964</v>
      </c>
      <c r="G38" s="1619">
        <v>9350.0000000000018</v>
      </c>
      <c r="H38" s="1634">
        <f>IF(F38=0,"-",((G38/F38)-1)*100)</f>
        <v>6.1534968210718244</v>
      </c>
      <c r="I38" s="1634"/>
      <c r="J38" s="433"/>
      <c r="K38" s="433"/>
      <c r="L38" s="433"/>
      <c r="M38" s="433"/>
      <c r="N38" s="433"/>
      <c r="O38" s="433"/>
      <c r="P38" s="433"/>
      <c r="Q38" s="433"/>
      <c r="R38" s="433"/>
    </row>
    <row r="39" spans="2:26" s="424" customFormat="1" ht="4.5" customHeight="1">
      <c r="B39" s="428"/>
      <c r="C39" s="1621"/>
      <c r="D39" s="1619"/>
      <c r="E39" s="1620"/>
      <c r="F39" s="1619"/>
      <c r="G39" s="1619"/>
      <c r="H39" s="1634"/>
      <c r="I39" s="1634"/>
      <c r="J39" s="434"/>
      <c r="K39" s="434"/>
      <c r="L39" s="434"/>
      <c r="M39" s="434"/>
      <c r="N39" s="434"/>
      <c r="O39" s="434"/>
      <c r="P39" s="434"/>
      <c r="Q39" s="434"/>
      <c r="R39" s="434"/>
    </row>
    <row r="40" spans="2:26" s="432" customFormat="1" ht="15" customHeight="1">
      <c r="B40" s="431"/>
      <c r="C40" s="1622" t="str">
        <f>IF(Indice_index!$Z$1=1,"Saldo global","Overall balance")</f>
        <v>Saldo global</v>
      </c>
      <c r="D40" s="1623">
        <v>-1100.0538944199998</v>
      </c>
      <c r="E40" s="1624">
        <v>-1120.9809903224268</v>
      </c>
      <c r="F40" s="1623">
        <v>-274.95389441999578</v>
      </c>
      <c r="G40" s="1623">
        <v>-163.10992400000214</v>
      </c>
      <c r="H40" s="1623"/>
      <c r="I40" s="1623"/>
      <c r="J40" s="433"/>
      <c r="K40" s="433"/>
      <c r="L40" s="433"/>
      <c r="M40" s="433"/>
      <c r="N40" s="433"/>
      <c r="O40" s="433"/>
      <c r="P40" s="433"/>
      <c r="Q40" s="433"/>
      <c r="R40" s="433"/>
    </row>
    <row r="41" spans="2:26" s="432" customFormat="1" ht="4.5" customHeight="1">
      <c r="B41" s="431"/>
      <c r="C41" s="1601"/>
      <c r="D41" s="1601"/>
      <c r="E41" s="1612"/>
      <c r="F41" s="1601"/>
      <c r="G41" s="1601"/>
      <c r="H41" s="1601"/>
      <c r="I41" s="1601"/>
      <c r="J41" s="433"/>
      <c r="K41" s="433"/>
      <c r="L41" s="433"/>
      <c r="M41" s="433"/>
      <c r="N41" s="433"/>
      <c r="O41" s="433"/>
      <c r="P41" s="433"/>
      <c r="Q41" s="433"/>
      <c r="R41" s="433"/>
    </row>
    <row r="42" spans="2:26" s="137" customFormat="1" ht="15" customHeight="1">
      <c r="C42" s="428" t="str">
        <f>IF(Indice_index!$Z$1=1,"Fonte: Administração Central do Sistema de Saúde, IP.","Source: Health System Central Administration")</f>
        <v>Fonte: Administração Central do Sistema de Saúde, IP.</v>
      </c>
      <c r="D42" s="1625"/>
      <c r="E42" s="1625"/>
      <c r="F42" s="1625"/>
      <c r="G42" s="1625"/>
      <c r="H42" s="367"/>
      <c r="I42" s="367"/>
      <c r="X42" s="4"/>
      <c r="Y42" s="4"/>
      <c r="Z42" s="4"/>
    </row>
    <row r="43" spans="2:26" s="424" customFormat="1" ht="11.25" customHeight="1">
      <c r="C43" s="428"/>
      <c r="D43" s="425"/>
      <c r="E43" s="425"/>
      <c r="F43" s="425"/>
    </row>
    <row r="44" spans="2:26" s="424" customFormat="1">
      <c r="C44" s="456"/>
      <c r="D44" s="425"/>
      <c r="E44" s="425"/>
      <c r="F44" s="425"/>
    </row>
    <row r="45" spans="2:26" s="424" customFormat="1">
      <c r="C45" s="456"/>
      <c r="D45" s="425"/>
      <c r="E45" s="425"/>
      <c r="F45" s="425"/>
    </row>
    <row r="46" spans="2:26" s="424" customFormat="1">
      <c r="C46" s="456"/>
      <c r="D46" s="425"/>
      <c r="E46" s="425"/>
      <c r="F46" s="425"/>
    </row>
    <row r="47" spans="2:26" s="424" customFormat="1">
      <c r="C47" s="368"/>
      <c r="D47" s="368"/>
      <c r="E47" s="368"/>
      <c r="F47" s="368"/>
      <c r="H47" s="436"/>
      <c r="I47" s="436"/>
    </row>
    <row r="48" spans="2:26" s="424" customFormat="1">
      <c r="C48" s="368"/>
      <c r="D48" s="368"/>
      <c r="E48" s="368"/>
      <c r="F48" s="368"/>
      <c r="H48" s="436"/>
      <c r="I48" s="436"/>
    </row>
    <row r="49" spans="8:9" s="424" customFormat="1">
      <c r="H49" s="436"/>
      <c r="I49" s="436"/>
    </row>
    <row r="50" spans="8:9" s="424" customFormat="1">
      <c r="H50" s="436"/>
      <c r="I50" s="436"/>
    </row>
    <row r="51" spans="8:9" s="424" customFormat="1">
      <c r="H51" s="436"/>
      <c r="I51" s="436"/>
    </row>
    <row r="52" spans="8:9" s="424" customFormat="1">
      <c r="H52" s="436"/>
      <c r="I52" s="436"/>
    </row>
    <row r="53" spans="8:9" s="424" customFormat="1">
      <c r="H53" s="436"/>
      <c r="I53" s="436"/>
    </row>
    <row r="54" spans="8:9" s="424" customFormat="1">
      <c r="H54" s="436"/>
      <c r="I54" s="436"/>
    </row>
    <row r="55" spans="8:9" s="424" customFormat="1">
      <c r="H55" s="436"/>
      <c r="I55" s="436"/>
    </row>
    <row r="56" spans="8:9" s="424" customFormat="1">
      <c r="H56" s="436"/>
      <c r="I56" s="436"/>
    </row>
    <row r="57" spans="8:9" s="424" customFormat="1">
      <c r="H57" s="436"/>
      <c r="I57" s="436"/>
    </row>
    <row r="58" spans="8:9" s="424" customFormat="1">
      <c r="H58" s="436"/>
      <c r="I58" s="436"/>
    </row>
    <row r="59" spans="8:9" s="424" customFormat="1">
      <c r="H59" s="436"/>
      <c r="I59" s="436"/>
    </row>
    <row r="60" spans="8:9" s="424" customFormat="1">
      <c r="H60" s="436"/>
      <c r="I60" s="436"/>
    </row>
    <row r="61" spans="8:9" s="424" customFormat="1">
      <c r="H61" s="436"/>
      <c r="I61" s="436"/>
    </row>
    <row r="62" spans="8:9" s="424" customFormat="1">
      <c r="H62" s="436"/>
      <c r="I62" s="436"/>
    </row>
    <row r="63" spans="8:9" s="424" customFormat="1">
      <c r="H63" s="436"/>
      <c r="I63" s="436"/>
    </row>
    <row r="64" spans="8:9" s="424" customFormat="1">
      <c r="H64" s="436"/>
      <c r="I64" s="436"/>
    </row>
    <row r="65" spans="8:9" s="424" customFormat="1">
      <c r="H65" s="436"/>
      <c r="I65" s="436"/>
    </row>
    <row r="66" spans="8:9" s="424" customFormat="1">
      <c r="H66" s="436"/>
      <c r="I66" s="436"/>
    </row>
    <row r="67" spans="8:9" s="424" customFormat="1">
      <c r="H67" s="436"/>
      <c r="I67" s="436"/>
    </row>
    <row r="68" spans="8:9" s="424" customFormat="1">
      <c r="H68" s="436"/>
      <c r="I68" s="436"/>
    </row>
    <row r="69" spans="8:9" s="424" customFormat="1"/>
    <row r="70" spans="8:9" s="424" customFormat="1"/>
    <row r="71" spans="8:9" s="424" customFormat="1"/>
    <row r="72" spans="8:9" s="424" customFormat="1"/>
    <row r="73" spans="8:9" s="424" customFormat="1"/>
    <row r="74" spans="8:9" s="424" customFormat="1"/>
    <row r="75" spans="8:9" s="424" customFormat="1"/>
    <row r="76" spans="8:9" s="424" customFormat="1"/>
    <row r="77" spans="8:9" s="424" customFormat="1"/>
    <row r="78" spans="8:9" s="424" customFormat="1"/>
    <row r="79" spans="8:9" s="424" customFormat="1"/>
    <row r="80" spans="8:9"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ht="12" customHeigh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dimension ref="A1:AJ62"/>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1796875" style="137" customWidth="1"/>
    <col min="4" max="4" width="31.54296875" style="137" customWidth="1"/>
    <col min="5" max="11" width="7.453125" style="137" customWidth="1"/>
    <col min="12" max="16" width="7.54296875" style="137" customWidth="1"/>
    <col min="17" max="17" width="6.453125" style="137" customWidth="1"/>
    <col min="18" max="18" width="7.453125" style="137" customWidth="1"/>
    <col min="19" max="19" width="11" style="137" bestFit="1" customWidth="1"/>
    <col min="20" max="20" width="12" style="137" bestFit="1" customWidth="1"/>
    <col min="21" max="27" width="9.1796875" style="137"/>
    <col min="28" max="28" width="12.453125" style="4" hidden="1" customWidth="1"/>
    <col min="29" max="30" width="9.1796875" style="4" hidden="1" customWidth="1"/>
    <col min="31" max="16384" width="9.179687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Dívida não Financeira das Administrações Públicas</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803" t="str">
        <f>+'5 - Conta AC + SS'!C5</f>
        <v>Período: janeiro a setembro</v>
      </c>
      <c r="D5" s="804"/>
      <c r="E5" s="805"/>
      <c r="F5" s="805"/>
      <c r="G5" s="805"/>
      <c r="H5" s="805"/>
      <c r="I5" s="805"/>
      <c r="J5" s="805"/>
      <c r="K5" s="805"/>
      <c r="L5" s="805"/>
      <c r="M5" s="805"/>
      <c r="N5" s="805"/>
      <c r="O5" s="805"/>
      <c r="P5" s="805"/>
      <c r="Q5" s="313"/>
      <c r="R5" s="313"/>
      <c r="S5" s="313"/>
      <c r="AB5" s="249"/>
      <c r="AC5" s="249"/>
      <c r="AD5" s="249"/>
    </row>
    <row r="6" spans="1:36" s="315" customFormat="1" ht="15" customHeight="1">
      <c r="B6" s="313"/>
      <c r="C6" s="313"/>
      <c r="D6" s="804" t="str">
        <f>IF(Indice_index!$Z$1=1,"Passivo não financeiro das Administrações Públicas  - Stock em fim de período","Non financial Liabilities from General Government - Stock in the end of the period")</f>
        <v>Passivo não financeiro das Administrações Públicas  - Stock em fim de período</v>
      </c>
      <c r="E6" s="806"/>
      <c r="F6" s="806"/>
      <c r="G6" s="313"/>
      <c r="H6" s="313"/>
      <c r="I6" s="313"/>
      <c r="J6" s="313"/>
      <c r="K6" s="806"/>
      <c r="L6" s="313"/>
      <c r="M6" s="313"/>
      <c r="N6" s="313"/>
      <c r="O6" s="313"/>
      <c r="P6" s="313"/>
      <c r="Q6" s="313"/>
      <c r="R6" s="313"/>
      <c r="S6" s="450"/>
      <c r="AB6" s="249"/>
      <c r="AC6" s="249"/>
      <c r="AD6" s="249"/>
    </row>
    <row r="7" spans="1:36" s="315" customFormat="1" ht="13">
      <c r="B7" s="313"/>
      <c r="C7" s="313"/>
      <c r="D7" s="804"/>
      <c r="E7" s="313"/>
      <c r="F7" s="313"/>
      <c r="G7" s="313"/>
      <c r="H7" s="313"/>
      <c r="I7" s="313"/>
      <c r="J7" s="313"/>
      <c r="K7" s="313"/>
      <c r="L7" s="313"/>
      <c r="M7" s="313"/>
      <c r="N7" s="313"/>
      <c r="O7" s="313"/>
      <c r="P7" s="313"/>
      <c r="Q7" s="313"/>
      <c r="R7" s="807" t="str">
        <f>IF(Indice_index!$Z$1=1,"€ Milhões","€ Millions")</f>
        <v>€ Milhões</v>
      </c>
      <c r="S7" s="450"/>
      <c r="AB7" s="249"/>
      <c r="AC7" s="249"/>
      <c r="AD7" s="249"/>
    </row>
    <row r="8" spans="1:36" s="168" customFormat="1" ht="12.75" customHeight="1">
      <c r="B8" s="111"/>
      <c r="C8" s="1762" t="str">
        <f>IF(Indice_index!$Z$1=1,"Natureza da Dívida","Nature of Debt")</f>
        <v>Natureza da Dívida</v>
      </c>
      <c r="D8" s="1763"/>
      <c r="E8" s="1756">
        <v>2021</v>
      </c>
      <c r="F8" s="1757"/>
      <c r="G8" s="1757"/>
      <c r="H8" s="1758"/>
      <c r="I8" s="1759">
        <v>2022</v>
      </c>
      <c r="J8" s="1757"/>
      <c r="K8" s="1757"/>
      <c r="L8" s="1757"/>
      <c r="M8" s="1757"/>
      <c r="N8" s="1757"/>
      <c r="O8" s="1757"/>
      <c r="P8" s="1757"/>
      <c r="Q8" s="1758"/>
      <c r="R8" s="1760" t="str">
        <f>IF(Indice_index!$Z$1=1,"variação mensal","monthly variation")</f>
        <v>variação mensal</v>
      </c>
      <c r="S8" s="451"/>
      <c r="AB8" s="18"/>
      <c r="AC8" s="18"/>
      <c r="AD8" s="18"/>
    </row>
    <row r="9" spans="1:36" s="168" customFormat="1" ht="15.75" customHeight="1">
      <c r="B9" s="111"/>
      <c r="C9" s="1764"/>
      <c r="D9" s="1765"/>
      <c r="E9" s="808" t="s">
        <v>587</v>
      </c>
      <c r="F9" s="808" t="s">
        <v>588</v>
      </c>
      <c r="G9" s="809" t="s">
        <v>589</v>
      </c>
      <c r="H9" s="810" t="str">
        <f>IF(Indice_index!$Z$1=1,"dez*","Dec*")</f>
        <v>dez*</v>
      </c>
      <c r="I9" s="810" t="s">
        <v>590</v>
      </c>
      <c r="J9" s="811" t="s">
        <v>591</v>
      </c>
      <c r="K9" s="810" t="s">
        <v>592</v>
      </c>
      <c r="L9" s="811" t="s">
        <v>593</v>
      </c>
      <c r="M9" s="811" t="s">
        <v>594</v>
      </c>
      <c r="N9" s="810" t="s">
        <v>595</v>
      </c>
      <c r="O9" s="810" t="s">
        <v>596</v>
      </c>
      <c r="P9" s="808" t="s">
        <v>597</v>
      </c>
      <c r="Q9" s="808" t="s">
        <v>587</v>
      </c>
      <c r="R9" s="1761"/>
      <c r="S9" s="111"/>
      <c r="AA9" s="18"/>
      <c r="AB9" s="18"/>
      <c r="AC9" s="18"/>
    </row>
    <row r="10" spans="1:36" s="168" customFormat="1" ht="15" customHeight="1">
      <c r="B10" s="111"/>
      <c r="C10" s="1749" t="str">
        <f>IF(Indice_index!$Z$1=1,"AC","CG")</f>
        <v>AC</v>
      </c>
      <c r="D10" s="812" t="str">
        <f>IF(Indice_index!$Z$1=1,"Aquisição de Bens e Serviços","Goods and Services Acquisition")</f>
        <v>Aquisição de Bens e Serviços</v>
      </c>
      <c r="E10" s="813">
        <v>367.12549348999977</v>
      </c>
      <c r="F10" s="813">
        <v>355.03992407999976</v>
      </c>
      <c r="G10" s="813">
        <v>478.48410772999978</v>
      </c>
      <c r="H10" s="814">
        <v>241.47870801999986</v>
      </c>
      <c r="I10" s="813">
        <v>356.13126904999967</v>
      </c>
      <c r="J10" s="813">
        <v>319.70413650999978</v>
      </c>
      <c r="K10" s="813">
        <v>376.82530436000002</v>
      </c>
      <c r="L10" s="813">
        <v>370.64133442000013</v>
      </c>
      <c r="M10" s="813">
        <v>395.67579400999995</v>
      </c>
      <c r="N10" s="813">
        <v>356.2769544300001</v>
      </c>
      <c r="O10" s="813">
        <v>343.98565667000031</v>
      </c>
      <c r="P10" s="813">
        <v>368.89725168000007</v>
      </c>
      <c r="Q10" s="814">
        <v>414.21824368000028</v>
      </c>
      <c r="R10" s="815">
        <f>Q10-P10</f>
        <v>45.320992000000217</v>
      </c>
      <c r="S10" s="111"/>
      <c r="T10" s="336"/>
      <c r="W10" s="337"/>
      <c r="AA10" s="18"/>
      <c r="AB10" s="18"/>
      <c r="AC10" s="18"/>
    </row>
    <row r="11" spans="1:36" s="168" customFormat="1" ht="15" customHeight="1">
      <c r="B11" s="111"/>
      <c r="C11" s="1750"/>
      <c r="D11" s="812" t="str">
        <f>IF(Indice_index!$Z$1=1,"Aquisição Bens de Capital","Capital Goods Acquisition")</f>
        <v>Aquisição Bens de Capital</v>
      </c>
      <c r="E11" s="816">
        <v>20.5512972</v>
      </c>
      <c r="F11" s="816">
        <v>26.122987139999989</v>
      </c>
      <c r="G11" s="816">
        <v>35.153274320000016</v>
      </c>
      <c r="H11" s="817">
        <v>9.1747972700000027</v>
      </c>
      <c r="I11" s="816">
        <v>8.8358061800000005</v>
      </c>
      <c r="J11" s="816">
        <v>13.401199199999997</v>
      </c>
      <c r="K11" s="816">
        <v>15.697491220000003</v>
      </c>
      <c r="L11" s="816">
        <v>35.557092700000005</v>
      </c>
      <c r="M11" s="816">
        <v>26.420110500000003</v>
      </c>
      <c r="N11" s="816">
        <v>18.124037280000007</v>
      </c>
      <c r="O11" s="816">
        <v>25.40209239</v>
      </c>
      <c r="P11" s="816">
        <v>32.298413289999999</v>
      </c>
      <c r="Q11" s="817">
        <v>25.563527539999999</v>
      </c>
      <c r="R11" s="818">
        <f>Q11-P11</f>
        <v>-6.7348857500000001</v>
      </c>
      <c r="S11" s="452"/>
      <c r="T11" s="169"/>
      <c r="U11" s="169"/>
      <c r="W11" s="337"/>
      <c r="AA11" s="18"/>
      <c r="AB11" s="18"/>
      <c r="AC11" s="18"/>
    </row>
    <row r="12" spans="1:36" s="168" customFormat="1" ht="15" customHeight="1">
      <c r="B12" s="111"/>
      <c r="C12" s="1750"/>
      <c r="D12" s="812" t="str">
        <f>IF(Indice_index!$Z$1=1,"Transferências para AP","Transfers inside GG")</f>
        <v>Transferências para AP</v>
      </c>
      <c r="E12" s="816">
        <v>29.927152589999999</v>
      </c>
      <c r="F12" s="816">
        <v>38.319305980000003</v>
      </c>
      <c r="G12" s="816">
        <v>33.640002469999999</v>
      </c>
      <c r="H12" s="817">
        <v>28.061637040000001</v>
      </c>
      <c r="I12" s="816">
        <v>27.343643359999998</v>
      </c>
      <c r="J12" s="816">
        <v>83.660342270000001</v>
      </c>
      <c r="K12" s="816">
        <v>35.253705700000005</v>
      </c>
      <c r="L12" s="816">
        <v>41.478623759999998</v>
      </c>
      <c r="M12" s="816">
        <v>41.920345049999995</v>
      </c>
      <c r="N12" s="816">
        <v>51.741150400000009</v>
      </c>
      <c r="O12" s="816">
        <v>58.030122049999996</v>
      </c>
      <c r="P12" s="816">
        <v>58.632723660000003</v>
      </c>
      <c r="Q12" s="817">
        <v>60.192730829999995</v>
      </c>
      <c r="R12" s="818">
        <f>Q12-P12</f>
        <v>1.5600071699999916</v>
      </c>
      <c r="S12" s="452"/>
      <c r="T12" s="169"/>
      <c r="U12" s="169"/>
      <c r="W12" s="337"/>
      <c r="AA12" s="18"/>
      <c r="AB12" s="18"/>
      <c r="AC12" s="18"/>
    </row>
    <row r="13" spans="1:36" s="168" customFormat="1" ht="15" customHeight="1">
      <c r="B13" s="111"/>
      <c r="C13" s="1750"/>
      <c r="D13" s="812" t="str">
        <f>IF(Indice_index!$Z$1=1,"Transferências para fora das AP","Transfers outside GG")</f>
        <v>Transferências para fora das AP</v>
      </c>
      <c r="E13" s="816">
        <v>21.533130079999999</v>
      </c>
      <c r="F13" s="816">
        <v>19.112499110000002</v>
      </c>
      <c r="G13" s="816">
        <v>112.85260206999996</v>
      </c>
      <c r="H13" s="817">
        <v>8.96728594</v>
      </c>
      <c r="I13" s="816">
        <v>5.6498732499999997</v>
      </c>
      <c r="J13" s="816">
        <v>4.5090320999999998</v>
      </c>
      <c r="K13" s="816">
        <v>8.1821649700000023</v>
      </c>
      <c r="L13" s="816">
        <v>11.02926209</v>
      </c>
      <c r="M13" s="816">
        <v>6.9841468700000009</v>
      </c>
      <c r="N13" s="816">
        <v>6.8002172000000005</v>
      </c>
      <c r="O13" s="816">
        <v>30.526591290000002</v>
      </c>
      <c r="P13" s="816">
        <v>42.737193810000001</v>
      </c>
      <c r="Q13" s="817">
        <v>45.662171580000006</v>
      </c>
      <c r="R13" s="818">
        <f>Q13-P13</f>
        <v>2.9249777700000053</v>
      </c>
      <c r="S13" s="452"/>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51"/>
      <c r="D14" s="812" t="str">
        <f>IF(Indice_index!$Z$1=1,"Outras","Others")</f>
        <v>Outras</v>
      </c>
      <c r="E14" s="816">
        <v>100.25355976999988</v>
      </c>
      <c r="F14" s="816">
        <v>88.585720850000016</v>
      </c>
      <c r="G14" s="816">
        <v>130.8403272499998</v>
      </c>
      <c r="H14" s="817">
        <v>71.634125449999999</v>
      </c>
      <c r="I14" s="816">
        <v>115.21571654999988</v>
      </c>
      <c r="J14" s="816">
        <v>127.49330108999993</v>
      </c>
      <c r="K14" s="816">
        <v>129.75091422999989</v>
      </c>
      <c r="L14" s="816">
        <v>133.41362350999984</v>
      </c>
      <c r="M14" s="816">
        <v>154.39001162000002</v>
      </c>
      <c r="N14" s="816">
        <v>164.1855174800001</v>
      </c>
      <c r="O14" s="819">
        <v>194.95275575999997</v>
      </c>
      <c r="P14" s="816">
        <v>205.31733620000003</v>
      </c>
      <c r="Q14" s="817">
        <v>130.92872750000004</v>
      </c>
      <c r="R14" s="818">
        <f t="shared" ref="R14:R26" si="0">Q14-P14</f>
        <v>-74.388608699999992</v>
      </c>
      <c r="S14" s="452"/>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48" t="str">
        <f>IF(Indice_index!$Z$1=1,"Total da Administração Central","Central Government - Total")</f>
        <v>Total da Administração Central</v>
      </c>
      <c r="D15" s="1748"/>
      <c r="E15" s="820">
        <v>539.39063312999963</v>
      </c>
      <c r="F15" s="820">
        <v>527.18043715999977</v>
      </c>
      <c r="G15" s="820">
        <v>790.97031383999956</v>
      </c>
      <c r="H15" s="821">
        <v>359.31655372</v>
      </c>
      <c r="I15" s="820">
        <v>513.17630838999958</v>
      </c>
      <c r="J15" s="820">
        <v>548.76801116999968</v>
      </c>
      <c r="K15" s="820">
        <v>565.70958048</v>
      </c>
      <c r="L15" s="820">
        <v>592.11993647999998</v>
      </c>
      <c r="M15" s="820">
        <v>625.39040805000002</v>
      </c>
      <c r="N15" s="820">
        <v>597.1278767900003</v>
      </c>
      <c r="O15" s="820">
        <v>652.89721816000031</v>
      </c>
      <c r="P15" s="820">
        <v>707.88291864000007</v>
      </c>
      <c r="Q15" s="820">
        <v>676.5654011300004</v>
      </c>
      <c r="R15" s="822">
        <f>Q15-P15</f>
        <v>-31.317517509999675</v>
      </c>
      <c r="S15" s="452"/>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49" t="str">
        <f>IF(Indice_index!$Z$1=1,"AR","RG")</f>
        <v>AR</v>
      </c>
      <c r="D16" s="812" t="str">
        <f>IF(Indice_index!$Z$1=1,"Aquisição de Bens e Serviços","Goods and Services Acquisition")</f>
        <v>Aquisição de Bens e Serviços</v>
      </c>
      <c r="E16" s="816">
        <v>58.05360555</v>
      </c>
      <c r="F16" s="816">
        <v>43.204978699999998</v>
      </c>
      <c r="G16" s="816">
        <v>54.366488629999999</v>
      </c>
      <c r="H16" s="817">
        <v>33.975314739999988</v>
      </c>
      <c r="I16" s="816">
        <v>70.18123645</v>
      </c>
      <c r="J16" s="816">
        <v>50.578692529999998</v>
      </c>
      <c r="K16" s="816">
        <v>66.384027709999998</v>
      </c>
      <c r="L16" s="816">
        <v>51.478083580000003</v>
      </c>
      <c r="M16" s="816">
        <v>52.45455604</v>
      </c>
      <c r="N16" s="816">
        <v>58.079234879999987</v>
      </c>
      <c r="O16" s="813">
        <v>83.629821599999985</v>
      </c>
      <c r="P16" s="816">
        <v>49.215650769999996</v>
      </c>
      <c r="Q16" s="817">
        <v>69.065606039999977</v>
      </c>
      <c r="R16" s="818">
        <f t="shared" si="0"/>
        <v>19.849955269999981</v>
      </c>
      <c r="S16" s="452"/>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50"/>
      <c r="D17" s="812" t="str">
        <f>IF(Indice_index!$Z$1=1,"Aquisição Bens de Capital","Capital Goods Acquisition")</f>
        <v>Aquisição Bens de Capital</v>
      </c>
      <c r="E17" s="816">
        <v>21.670248690000001</v>
      </c>
      <c r="F17" s="816">
        <v>25.738717699999999</v>
      </c>
      <c r="G17" s="816">
        <v>26.929857900000002</v>
      </c>
      <c r="H17" s="817">
        <v>16.996417340000001</v>
      </c>
      <c r="I17" s="816">
        <v>17.249250880000002</v>
      </c>
      <c r="J17" s="816">
        <v>21.703355250000001</v>
      </c>
      <c r="K17" s="816">
        <v>23.864555509999999</v>
      </c>
      <c r="L17" s="816">
        <v>26.065782939999998</v>
      </c>
      <c r="M17" s="816">
        <v>25.968964500000002</v>
      </c>
      <c r="N17" s="816">
        <v>32.346858690000005</v>
      </c>
      <c r="O17" s="816">
        <v>26.63956065</v>
      </c>
      <c r="P17" s="816">
        <v>27.165790179999998</v>
      </c>
      <c r="Q17" s="817">
        <v>22.607583149999996</v>
      </c>
      <c r="R17" s="818">
        <f t="shared" si="0"/>
        <v>-4.5582070300000019</v>
      </c>
      <c r="S17" s="452"/>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50"/>
      <c r="D18" s="812" t="str">
        <f>IF(Indice_index!$Z$1=1,"Transferências para AP","Transfers inside GG")</f>
        <v>Transferências para AP</v>
      </c>
      <c r="E18" s="816">
        <v>6.5292182299999997</v>
      </c>
      <c r="F18" s="816">
        <v>9.5723088200000017</v>
      </c>
      <c r="G18" s="816">
        <v>14.765662469999999</v>
      </c>
      <c r="H18" s="817">
        <v>1.2026565500000002</v>
      </c>
      <c r="I18" s="816">
        <v>1.3422235199999999</v>
      </c>
      <c r="J18" s="816">
        <v>10.295728699999998</v>
      </c>
      <c r="K18" s="816">
        <v>10.074563479999998</v>
      </c>
      <c r="L18" s="816">
        <v>5.4178420800000007</v>
      </c>
      <c r="M18" s="816">
        <v>9.4951207800000006</v>
      </c>
      <c r="N18" s="816">
        <v>7.2585423699999998</v>
      </c>
      <c r="O18" s="816">
        <v>7.5482161300000001</v>
      </c>
      <c r="P18" s="816">
        <v>3.7159133899999999</v>
      </c>
      <c r="Q18" s="817">
        <v>3.9452116900000003</v>
      </c>
      <c r="R18" s="818">
        <f t="shared" si="0"/>
        <v>0.2292983000000004</v>
      </c>
      <c r="S18" s="452"/>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50"/>
      <c r="D19" s="812" t="str">
        <f>IF(Indice_index!$Z$1=1,"Transferências para fora das AP","Transfers outside GG")</f>
        <v>Transferências para fora das AP</v>
      </c>
      <c r="E19" s="816">
        <v>36.466639360000002</v>
      </c>
      <c r="F19" s="816">
        <v>29.291344619999997</v>
      </c>
      <c r="G19" s="816">
        <v>36.069231049999999</v>
      </c>
      <c r="H19" s="817">
        <v>26.773861609999997</v>
      </c>
      <c r="I19" s="816">
        <v>30.441558680000004</v>
      </c>
      <c r="J19" s="816">
        <v>29.211331540000003</v>
      </c>
      <c r="K19" s="816">
        <v>30.801726379999003</v>
      </c>
      <c r="L19" s="816">
        <v>25.891823199999997</v>
      </c>
      <c r="M19" s="816">
        <v>33.591417609998402</v>
      </c>
      <c r="N19" s="816">
        <v>33.090923969998805</v>
      </c>
      <c r="O19" s="816">
        <v>29.763867869999398</v>
      </c>
      <c r="P19" s="816">
        <v>27.9819456199996</v>
      </c>
      <c r="Q19" s="817">
        <v>26.886157159999698</v>
      </c>
      <c r="R19" s="818">
        <f t="shared" si="0"/>
        <v>-1.0957884599999019</v>
      </c>
      <c r="S19" s="452"/>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51"/>
      <c r="D20" s="812" t="str">
        <f>IF(Indice_index!$Z$1=1,"Outras","Others")</f>
        <v>Outras</v>
      </c>
      <c r="E20" s="816">
        <v>14.928801230000024</v>
      </c>
      <c r="F20" s="816">
        <v>29.066870539999989</v>
      </c>
      <c r="G20" s="816">
        <v>40.984817109999994</v>
      </c>
      <c r="H20" s="817">
        <v>5.2648817200000071</v>
      </c>
      <c r="I20" s="816">
        <v>16.167530890000009</v>
      </c>
      <c r="J20" s="816">
        <v>14.933554150000003</v>
      </c>
      <c r="K20" s="816">
        <v>17.058318580000041</v>
      </c>
      <c r="L20" s="816">
        <v>28.182068220000019</v>
      </c>
      <c r="M20" s="816">
        <v>26.928279370000052</v>
      </c>
      <c r="N20" s="816">
        <v>55.16933196999998</v>
      </c>
      <c r="O20" s="816">
        <v>20.869419069999985</v>
      </c>
      <c r="P20" s="816">
        <v>17.579018299999994</v>
      </c>
      <c r="Q20" s="817">
        <v>17.181320279999994</v>
      </c>
      <c r="R20" s="818">
        <f t="shared" si="0"/>
        <v>-0.39769801999999999</v>
      </c>
      <c r="S20" s="452"/>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48" t="str">
        <f>IF(Indice_index!$Z$1=1,"Total da Administração Regional","Regional Government - Total")</f>
        <v>Total da Administração Regional</v>
      </c>
      <c r="D21" s="1748"/>
      <c r="E21" s="820">
        <v>137.64851306000003</v>
      </c>
      <c r="F21" s="820">
        <v>136.87422038</v>
      </c>
      <c r="G21" s="820">
        <v>173.11605715999997</v>
      </c>
      <c r="H21" s="821">
        <v>84.213131959999998</v>
      </c>
      <c r="I21" s="820">
        <v>135.38180042000002</v>
      </c>
      <c r="J21" s="820">
        <v>126.72266217000001</v>
      </c>
      <c r="K21" s="820">
        <v>148.18319165999904</v>
      </c>
      <c r="L21" s="820">
        <v>137.03560002</v>
      </c>
      <c r="M21" s="820">
        <v>148.43833829999846</v>
      </c>
      <c r="N21" s="820">
        <v>185.94489187999878</v>
      </c>
      <c r="O21" s="820">
        <v>168.45088531999937</v>
      </c>
      <c r="P21" s="820">
        <v>125.65831825999959</v>
      </c>
      <c r="Q21" s="820">
        <v>139.68587831999966</v>
      </c>
      <c r="R21" s="822">
        <f>Q21-P21</f>
        <v>14.02756006000007</v>
      </c>
      <c r="S21" s="452"/>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49" t="str">
        <f>IF(Indice_index!$Z$1=1,"AL","LG")</f>
        <v>AL</v>
      </c>
      <c r="D22" s="812" t="str">
        <f>IF(Indice_index!$Z$1=1,"Aquisição de Bens e Serviços","Goods and Services Acquisition")</f>
        <v>Aquisição de Bens e Serviços</v>
      </c>
      <c r="E22" s="823">
        <v>388.10950063000001</v>
      </c>
      <c r="F22" s="823">
        <v>388.10950063000001</v>
      </c>
      <c r="G22" s="823">
        <v>388.10950063000001</v>
      </c>
      <c r="H22" s="824">
        <v>388.10950063000001</v>
      </c>
      <c r="I22" s="823">
        <v>388.10950063000001</v>
      </c>
      <c r="J22" s="823">
        <v>388.10950063000001</v>
      </c>
      <c r="K22" s="823">
        <v>388.10950063000001</v>
      </c>
      <c r="L22" s="823">
        <v>388.10950063000001</v>
      </c>
      <c r="M22" s="823">
        <v>388.10950063000001</v>
      </c>
      <c r="N22" s="823">
        <v>388.10950063000001</v>
      </c>
      <c r="O22" s="823">
        <v>388.10950063000001</v>
      </c>
      <c r="P22" s="823">
        <v>388.10950063000001</v>
      </c>
      <c r="Q22" s="824">
        <v>388.10950063000001</v>
      </c>
      <c r="R22" s="818">
        <f t="shared" si="0"/>
        <v>0</v>
      </c>
      <c r="S22" s="452"/>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50"/>
      <c r="D23" s="812" t="str">
        <f>IF(Indice_index!$Z$1=1,"Aquisição Bens de Capital","Capital Goods Acquisition")</f>
        <v>Aquisição Bens de Capital</v>
      </c>
      <c r="E23" s="823">
        <v>168.30329104</v>
      </c>
      <c r="F23" s="823">
        <v>168.30329104</v>
      </c>
      <c r="G23" s="823">
        <v>168.30329104</v>
      </c>
      <c r="H23" s="824">
        <v>168.30329104</v>
      </c>
      <c r="I23" s="823">
        <v>168.30329104</v>
      </c>
      <c r="J23" s="823">
        <v>168.30329104</v>
      </c>
      <c r="K23" s="823">
        <v>168.30329104</v>
      </c>
      <c r="L23" s="823">
        <v>168.30329104</v>
      </c>
      <c r="M23" s="823">
        <v>168.30329104</v>
      </c>
      <c r="N23" s="823">
        <v>168.30329104</v>
      </c>
      <c r="O23" s="823">
        <v>168.30329104</v>
      </c>
      <c r="P23" s="823">
        <v>168.30329104</v>
      </c>
      <c r="Q23" s="824">
        <v>168.30329104</v>
      </c>
      <c r="R23" s="818">
        <f t="shared" si="0"/>
        <v>0</v>
      </c>
      <c r="S23" s="452"/>
      <c r="T23" s="169"/>
      <c r="AA23" s="18"/>
      <c r="AB23" s="18"/>
      <c r="AC23" s="18"/>
    </row>
    <row r="24" spans="2:36" s="168" customFormat="1" ht="15" customHeight="1">
      <c r="B24" s="111"/>
      <c r="C24" s="1750"/>
      <c r="D24" s="812" t="str">
        <f>IF(Indice_index!$Z$1=1,"Transferências para AP","Transfers inside GG")</f>
        <v>Transferências para AP</v>
      </c>
      <c r="E24" s="823">
        <v>16.80015461</v>
      </c>
      <c r="F24" s="823">
        <v>16.80015461</v>
      </c>
      <c r="G24" s="823">
        <v>16.80015461</v>
      </c>
      <c r="H24" s="824">
        <v>16.80015461</v>
      </c>
      <c r="I24" s="823">
        <v>16.80015461</v>
      </c>
      <c r="J24" s="823">
        <v>16.80015461</v>
      </c>
      <c r="K24" s="823">
        <v>16.80015461</v>
      </c>
      <c r="L24" s="823">
        <v>16.80015461</v>
      </c>
      <c r="M24" s="823">
        <v>16.80015461</v>
      </c>
      <c r="N24" s="823">
        <v>16.80015461</v>
      </c>
      <c r="O24" s="823">
        <v>16.80015461</v>
      </c>
      <c r="P24" s="823">
        <v>16.80015461</v>
      </c>
      <c r="Q24" s="824">
        <v>16.80015461</v>
      </c>
      <c r="R24" s="818">
        <f>Q24-P24</f>
        <v>0</v>
      </c>
      <c r="S24" s="452"/>
      <c r="T24" s="169"/>
      <c r="AA24" s="18"/>
      <c r="AB24" s="18"/>
      <c r="AC24" s="18"/>
    </row>
    <row r="25" spans="2:36" s="168" customFormat="1" ht="15" customHeight="1">
      <c r="B25" s="111"/>
      <c r="C25" s="1750"/>
      <c r="D25" s="812" t="str">
        <f>IF(Indice_index!$Z$1=1,"Transferências para fora das AP","Transfers outside GG")</f>
        <v>Transferências para fora das AP</v>
      </c>
      <c r="E25" s="823">
        <v>20.146202590000001</v>
      </c>
      <c r="F25" s="823">
        <v>20.146202590000001</v>
      </c>
      <c r="G25" s="823">
        <v>20.146202590000001</v>
      </c>
      <c r="H25" s="824">
        <v>20.146202590000001</v>
      </c>
      <c r="I25" s="823">
        <v>20.146202590000001</v>
      </c>
      <c r="J25" s="823">
        <v>20.146202590000001</v>
      </c>
      <c r="K25" s="823">
        <v>20.146202590000001</v>
      </c>
      <c r="L25" s="823">
        <v>20.146202590000001</v>
      </c>
      <c r="M25" s="823">
        <v>20.146202590000001</v>
      </c>
      <c r="N25" s="823">
        <v>20.146202590000001</v>
      </c>
      <c r="O25" s="823">
        <v>20.146202590000001</v>
      </c>
      <c r="P25" s="823">
        <v>20.146202590000001</v>
      </c>
      <c r="Q25" s="824">
        <v>20.146202590000001</v>
      </c>
      <c r="R25" s="818">
        <f t="shared" si="0"/>
        <v>0</v>
      </c>
      <c r="S25" s="452"/>
      <c r="T25" s="169"/>
      <c r="U25" s="169"/>
      <c r="AA25" s="18"/>
      <c r="AB25" s="18"/>
      <c r="AC25" s="18"/>
    </row>
    <row r="26" spans="2:36" s="168" customFormat="1" ht="15" customHeight="1">
      <c r="B26" s="111"/>
      <c r="C26" s="1751"/>
      <c r="D26" s="812" t="str">
        <f>IF(Indice_index!$Z$1=1,"Outras","Others")</f>
        <v>Outras</v>
      </c>
      <c r="E26" s="825">
        <v>309.55365148999999</v>
      </c>
      <c r="F26" s="825">
        <v>309.55365148999999</v>
      </c>
      <c r="G26" s="823">
        <v>309.55365148999999</v>
      </c>
      <c r="H26" s="848">
        <v>309.55365148999999</v>
      </c>
      <c r="I26" s="825">
        <v>309.55365148999999</v>
      </c>
      <c r="J26" s="823">
        <v>309.55365148999999</v>
      </c>
      <c r="K26" s="825">
        <v>309.55365148999999</v>
      </c>
      <c r="L26" s="825">
        <v>309.55365148999999</v>
      </c>
      <c r="M26" s="823">
        <v>309.55365148999999</v>
      </c>
      <c r="N26" s="825">
        <v>309.55365148999999</v>
      </c>
      <c r="O26" s="825">
        <v>309.55365148999999</v>
      </c>
      <c r="P26" s="825">
        <v>309.55365148999999</v>
      </c>
      <c r="Q26" s="824">
        <v>309.55365148999999</v>
      </c>
      <c r="R26" s="818">
        <f t="shared" si="0"/>
        <v>0</v>
      </c>
      <c r="S26" s="452"/>
      <c r="T26" s="169"/>
      <c r="U26" s="169"/>
      <c r="AA26" s="18"/>
      <c r="AB26" s="18"/>
      <c r="AC26" s="18"/>
    </row>
    <row r="27" spans="2:36" s="315" customFormat="1" ht="15" customHeight="1">
      <c r="B27" s="313"/>
      <c r="C27" s="1748" t="str">
        <f>IF(Indice_index!$Z$1=1,"Total da Administração Local","Local Government - Total")</f>
        <v>Total da Administração Local</v>
      </c>
      <c r="D27" s="1748"/>
      <c r="E27" s="820">
        <v>902.91280036000012</v>
      </c>
      <c r="F27" s="820">
        <v>902.91280036000012</v>
      </c>
      <c r="G27" s="820">
        <v>902.91280036000012</v>
      </c>
      <c r="H27" s="821">
        <v>902.91280036000012</v>
      </c>
      <c r="I27" s="820">
        <v>902.91280036000012</v>
      </c>
      <c r="J27" s="820">
        <v>902.91280036000012</v>
      </c>
      <c r="K27" s="820">
        <v>902.91280036000012</v>
      </c>
      <c r="L27" s="820">
        <v>902.91280036000012</v>
      </c>
      <c r="M27" s="820">
        <v>902.91280036000012</v>
      </c>
      <c r="N27" s="820">
        <v>902.91280036000012</v>
      </c>
      <c r="O27" s="820">
        <v>902.91280036000012</v>
      </c>
      <c r="P27" s="820">
        <v>902.91280036000012</v>
      </c>
      <c r="Q27" s="820">
        <v>902.91280036000012</v>
      </c>
      <c r="R27" s="822">
        <f>Q27-P27</f>
        <v>0</v>
      </c>
      <c r="S27" s="452"/>
      <c r="T27" s="316"/>
      <c r="U27" s="316"/>
      <c r="AA27" s="249"/>
      <c r="AB27" s="249"/>
      <c r="AC27" s="249"/>
    </row>
    <row r="28" spans="2:36" s="315" customFormat="1" ht="15" customHeight="1">
      <c r="B28" s="313"/>
      <c r="C28" s="1748" t="str">
        <f>IF(Indice_index!$Z$1=1,"Total das Administrações Públicas","General Government - Total")</f>
        <v>Total das Administrações Públicas</v>
      </c>
      <c r="D28" s="1748"/>
      <c r="E28" s="820">
        <v>1579.9519465499998</v>
      </c>
      <c r="F28" s="820">
        <v>1566.9674578999998</v>
      </c>
      <c r="G28" s="820">
        <v>1866.9991713599998</v>
      </c>
      <c r="H28" s="821">
        <v>1346.4424860400002</v>
      </c>
      <c r="I28" s="820">
        <v>1551.4709091699997</v>
      </c>
      <c r="J28" s="820">
        <v>1578.4034736999997</v>
      </c>
      <c r="K28" s="820">
        <v>1616.805572499999</v>
      </c>
      <c r="L28" s="820">
        <v>1632.06833686</v>
      </c>
      <c r="M28" s="820">
        <v>1676.7415467099986</v>
      </c>
      <c r="N28" s="820">
        <v>1685.9855690299992</v>
      </c>
      <c r="O28" s="820">
        <v>1724.2609038399996</v>
      </c>
      <c r="P28" s="820">
        <v>1736.4540372599997</v>
      </c>
      <c r="Q28" s="820">
        <v>1719.1640798100002</v>
      </c>
      <c r="R28" s="822">
        <f>Q28-P28</f>
        <v>-17.28995744999952</v>
      </c>
      <c r="S28" s="452"/>
      <c r="T28" s="316"/>
      <c r="U28" s="316"/>
      <c r="AA28" s="249"/>
      <c r="AB28" s="249"/>
      <c r="AC28" s="249"/>
    </row>
    <row r="29" spans="2:36" s="315" customFormat="1" ht="4.5" customHeight="1">
      <c r="B29" s="313"/>
      <c r="C29" s="826"/>
      <c r="D29" s="826"/>
      <c r="E29" s="827"/>
      <c r="F29" s="827"/>
      <c r="G29" s="827"/>
      <c r="H29" s="827"/>
      <c r="I29" s="827"/>
      <c r="J29" s="827"/>
      <c r="K29" s="827"/>
      <c r="L29" s="827"/>
      <c r="M29" s="827"/>
      <c r="N29" s="827"/>
      <c r="O29" s="827"/>
      <c r="P29" s="827"/>
      <c r="Q29" s="827"/>
      <c r="R29" s="827"/>
      <c r="S29" s="452"/>
      <c r="T29" s="316"/>
      <c r="U29" s="316"/>
      <c r="AA29" s="249"/>
      <c r="AB29" s="249"/>
      <c r="AC29" s="249"/>
    </row>
    <row r="30" spans="2:36" s="168" customFormat="1" ht="15" customHeight="1">
      <c r="B30" s="646"/>
      <c r="C30" s="828"/>
      <c r="D30" s="829" t="str">
        <f>IF(Indice_index!$Z$1=1,"Notas:","Notes:")</f>
        <v>Notas:</v>
      </c>
      <c r="E30" s="830"/>
      <c r="F30" s="830"/>
      <c r="G30" s="830"/>
      <c r="H30" s="830"/>
      <c r="I30" s="830"/>
      <c r="J30" s="830"/>
      <c r="K30" s="830"/>
      <c r="L30" s="830"/>
      <c r="M30" s="830"/>
      <c r="N30" s="830"/>
      <c r="O30" s="830"/>
      <c r="P30" s="830"/>
      <c r="Q30" s="830"/>
      <c r="R30" s="111"/>
      <c r="S30" s="451"/>
      <c r="T30" s="169"/>
      <c r="U30" s="169"/>
      <c r="V30" s="169"/>
      <c r="AB30" s="18"/>
      <c r="AC30" s="18"/>
      <c r="AD30" s="18"/>
    </row>
    <row r="31" spans="2:36" s="168" customFormat="1" ht="15" customHeight="1">
      <c r="B31" s="646"/>
      <c r="C31" s="828"/>
      <c r="D31" s="831"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E31" s="111"/>
      <c r="F31" s="111"/>
      <c r="G31" s="111"/>
      <c r="H31" s="111"/>
      <c r="I31" s="111"/>
      <c r="J31" s="111"/>
      <c r="K31" s="111"/>
      <c r="L31" s="111"/>
      <c r="M31" s="111"/>
      <c r="N31" s="111"/>
      <c r="O31" s="111"/>
      <c r="P31" s="111"/>
      <c r="Q31" s="111"/>
      <c r="R31" s="111"/>
      <c r="S31" s="451"/>
      <c r="T31" s="169"/>
      <c r="U31" s="169"/>
      <c r="V31" s="169"/>
      <c r="AB31" s="18"/>
      <c r="AC31" s="18"/>
      <c r="AD31" s="18"/>
    </row>
    <row r="32" spans="2:36" s="168" customFormat="1" ht="15" customHeight="1">
      <c r="B32" s="646"/>
      <c r="C32" s="828"/>
      <c r="D32" s="832" t="str">
        <f>IF(Indice_index!$Z$1=1,"AL(*): Considerou-se o stock de dezembro 2019, para efeitos de análise.","LG(*): December 2019 stock was considered for analysis purposes was considered for the purpose of analysis.")</f>
        <v>AL(*): Considerou-se o stock de dezembro 2019, para efeitos de análise.</v>
      </c>
      <c r="E32" s="111"/>
      <c r="F32" s="111"/>
      <c r="G32" s="111"/>
      <c r="H32" s="111"/>
      <c r="I32" s="111"/>
      <c r="J32" s="111"/>
      <c r="K32" s="111"/>
      <c r="L32" s="111"/>
      <c r="M32" s="111"/>
      <c r="N32" s="111"/>
      <c r="O32" s="111"/>
      <c r="P32" s="111"/>
      <c r="Q32" s="111"/>
      <c r="R32" s="111"/>
      <c r="S32" s="451"/>
      <c r="T32" s="169"/>
      <c r="U32" s="169"/>
      <c r="V32" s="169"/>
      <c r="AB32" s="18"/>
      <c r="AC32" s="18"/>
      <c r="AD32" s="18"/>
    </row>
    <row r="33" spans="2:30" s="168" customFormat="1" ht="15" customHeight="1">
      <c r="B33" s="646"/>
      <c r="C33" s="828"/>
      <c r="D33" s="831"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E33" s="111"/>
      <c r="F33" s="111"/>
      <c r="G33" s="111"/>
      <c r="H33" s="111"/>
      <c r="I33" s="111"/>
      <c r="J33" s="111"/>
      <c r="K33" s="111"/>
      <c r="L33" s="111"/>
      <c r="M33" s="111"/>
      <c r="N33" s="111"/>
      <c r="O33" s="111"/>
      <c r="P33" s="111"/>
      <c r="Q33" s="111"/>
      <c r="R33" s="111"/>
      <c r="S33" s="451"/>
      <c r="T33" s="169"/>
      <c r="U33" s="169"/>
      <c r="V33" s="169"/>
      <c r="AB33" s="18"/>
      <c r="AC33" s="18"/>
      <c r="AD33" s="18"/>
    </row>
    <row r="34" spans="2:30" s="168" customFormat="1" ht="15" customHeight="1">
      <c r="B34" s="646"/>
      <c r="C34" s="828"/>
      <c r="D34" s="831" t="str">
        <f>IF(Indice_index!$Z$1=1,"AC: Dados revistos em agosto 2022.","CG: Revised data on August 22")</f>
        <v>AC: Dados revistos em agosto 2022.</v>
      </c>
      <c r="E34" s="111"/>
      <c r="F34" s="111"/>
      <c r="G34" s="111"/>
      <c r="H34" s="111"/>
      <c r="I34" s="111"/>
      <c r="J34" s="111"/>
      <c r="K34" s="111"/>
      <c r="L34" s="111"/>
      <c r="M34" s="111"/>
      <c r="N34" s="111"/>
      <c r="O34" s="111"/>
      <c r="P34" s="111"/>
      <c r="Q34" s="111"/>
      <c r="R34" s="111"/>
      <c r="S34" s="451"/>
      <c r="T34" s="169"/>
      <c r="U34" s="169"/>
      <c r="V34" s="169"/>
      <c r="AB34" s="18"/>
      <c r="AC34" s="18"/>
      <c r="AD34" s="18"/>
    </row>
    <row r="35" spans="2:30" ht="15" customHeight="1">
      <c r="B35" s="96"/>
      <c r="C35" s="96"/>
      <c r="D35" s="135"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E35" s="96"/>
      <c r="F35" s="96"/>
      <c r="G35" s="96"/>
      <c r="H35" s="96"/>
      <c r="I35" s="96"/>
      <c r="J35" s="96"/>
      <c r="K35" s="96"/>
      <c r="L35" s="96"/>
      <c r="M35" s="96"/>
      <c r="N35" s="96"/>
      <c r="O35" s="96"/>
      <c r="P35" s="96"/>
      <c r="Q35" s="96"/>
      <c r="R35" s="96"/>
      <c r="S35" s="111"/>
      <c r="T35" s="169"/>
      <c r="U35" s="169"/>
      <c r="V35" s="169"/>
      <c r="W35" s="168"/>
      <c r="X35" s="168"/>
      <c r="Y35" s="168"/>
      <c r="Z35" s="168"/>
      <c r="AA35" s="168"/>
      <c r="AB35" s="18"/>
      <c r="AC35" s="18"/>
    </row>
    <row r="36" spans="2:30">
      <c r="B36" s="96"/>
      <c r="C36" s="96"/>
      <c r="D36" s="831"/>
      <c r="E36" s="96"/>
      <c r="F36" s="96"/>
      <c r="G36" s="96"/>
      <c r="H36" s="96"/>
      <c r="I36" s="96"/>
      <c r="J36" s="96"/>
      <c r="K36" s="96"/>
      <c r="L36" s="96"/>
      <c r="M36" s="96"/>
      <c r="N36" s="96"/>
      <c r="O36" s="96"/>
      <c r="P36" s="96"/>
      <c r="Q36" s="96"/>
      <c r="R36" s="96"/>
      <c r="S36" s="111"/>
      <c r="T36" s="169"/>
      <c r="U36" s="169"/>
      <c r="V36" s="169"/>
      <c r="W36" s="168"/>
      <c r="X36" s="168"/>
      <c r="Y36" s="168"/>
      <c r="Z36" s="168"/>
      <c r="AA36" s="168"/>
      <c r="AB36" s="18"/>
      <c r="AC36" s="18"/>
    </row>
    <row r="37" spans="2:30" ht="15" customHeight="1">
      <c r="B37" s="96"/>
      <c r="C37" s="96"/>
      <c r="D37" s="96"/>
      <c r="E37" s="96"/>
      <c r="F37" s="96"/>
      <c r="G37" s="96"/>
      <c r="H37" s="96"/>
      <c r="I37" s="96"/>
      <c r="J37" s="96"/>
      <c r="K37" s="96"/>
      <c r="L37" s="96"/>
      <c r="M37" s="96"/>
      <c r="N37" s="96"/>
      <c r="O37" s="96"/>
      <c r="P37" s="96"/>
      <c r="Q37" s="96"/>
      <c r="R37" s="96"/>
      <c r="S37" s="111"/>
      <c r="T37" s="1747"/>
      <c r="U37" s="1747"/>
      <c r="V37" s="1747"/>
      <c r="W37" s="1747"/>
      <c r="X37" s="1747"/>
      <c r="Y37" s="1747"/>
      <c r="Z37" s="1747"/>
      <c r="AA37" s="1747"/>
      <c r="AB37" s="1747"/>
      <c r="AC37" s="1747"/>
    </row>
    <row r="38" spans="2:30" ht="15" customHeight="1">
      <c r="B38" s="96"/>
      <c r="C38" s="96"/>
      <c r="D38" s="135"/>
      <c r="E38" s="96"/>
      <c r="F38" s="96"/>
      <c r="G38" s="96"/>
      <c r="H38" s="96"/>
      <c r="I38" s="96"/>
      <c r="J38" s="96"/>
      <c r="K38" s="96"/>
      <c r="L38" s="96"/>
      <c r="M38" s="96"/>
      <c r="N38" s="96"/>
      <c r="O38" s="96"/>
      <c r="P38" s="96"/>
      <c r="Q38" s="96"/>
      <c r="R38" s="96"/>
      <c r="S38" s="111"/>
      <c r="T38" s="1747"/>
      <c r="U38" s="1747"/>
      <c r="V38" s="1747"/>
      <c r="W38" s="1747"/>
      <c r="X38" s="1747"/>
      <c r="Y38" s="1747"/>
      <c r="Z38" s="1747"/>
      <c r="AA38" s="1747"/>
      <c r="AB38" s="1747"/>
      <c r="AC38" s="1747"/>
    </row>
    <row r="39" spans="2:30" ht="15" customHeight="1">
      <c r="B39" s="96"/>
      <c r="C39" s="96"/>
      <c r="D39" s="833"/>
      <c r="E39" s="96"/>
      <c r="F39" s="96"/>
      <c r="G39" s="96"/>
      <c r="H39" s="96"/>
      <c r="I39" s="96"/>
      <c r="J39" s="96"/>
      <c r="K39" s="96"/>
      <c r="L39" s="96"/>
      <c r="M39" s="96"/>
      <c r="N39" s="96"/>
      <c r="O39" s="96"/>
      <c r="P39" s="96"/>
      <c r="Q39" s="96"/>
      <c r="R39" s="96"/>
      <c r="S39" s="111"/>
      <c r="T39" s="1747"/>
      <c r="U39" s="1747"/>
      <c r="V39" s="1747"/>
      <c r="W39" s="1747"/>
      <c r="X39" s="1747"/>
      <c r="Y39" s="1747"/>
      <c r="Z39" s="1747"/>
      <c r="AA39" s="1747"/>
      <c r="AB39" s="1747"/>
      <c r="AC39" s="1747"/>
    </row>
    <row r="40" spans="2:30" s="251" customFormat="1" ht="15" customHeight="1">
      <c r="B40" s="250"/>
      <c r="C40" s="250"/>
      <c r="D40" s="804"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E40" s="250"/>
      <c r="F40" s="250"/>
      <c r="G40" s="250"/>
      <c r="H40" s="250"/>
      <c r="I40" s="250"/>
      <c r="J40" s="250"/>
      <c r="K40" s="250"/>
      <c r="L40" s="250"/>
      <c r="M40" s="250"/>
      <c r="N40" s="250"/>
      <c r="O40" s="250"/>
      <c r="P40" s="250"/>
      <c r="Q40" s="250"/>
      <c r="R40" s="250"/>
      <c r="S40" s="453"/>
      <c r="U40" s="315"/>
      <c r="V40" s="315"/>
      <c r="W40" s="315"/>
      <c r="X40" s="315"/>
      <c r="Y40" s="315"/>
    </row>
    <row r="41" spans="2:30" s="241" customFormat="1" ht="15" customHeight="1">
      <c r="B41" s="647"/>
      <c r="C41" s="647"/>
      <c r="D41" s="834"/>
      <c r="E41" s="647"/>
      <c r="F41" s="647"/>
      <c r="G41" s="647"/>
      <c r="H41" s="647"/>
      <c r="I41" s="647"/>
      <c r="J41" s="647"/>
      <c r="K41" s="647"/>
      <c r="L41" s="647"/>
      <c r="M41" s="647"/>
      <c r="N41" s="647"/>
      <c r="O41" s="647"/>
      <c r="P41" s="647"/>
      <c r="Q41" s="647"/>
      <c r="R41" s="807" t="str">
        <f>IF(Indice_index!$Z$1=1,"€ Milhões","€ Millions")</f>
        <v>€ Milhões</v>
      </c>
      <c r="S41" s="454"/>
      <c r="U41" s="338"/>
      <c r="V41" s="338"/>
      <c r="W41" s="338"/>
      <c r="X41" s="338"/>
      <c r="Y41" s="338"/>
    </row>
    <row r="42" spans="2:30" ht="15.75" customHeight="1">
      <c r="B42" s="96"/>
      <c r="C42" s="96"/>
      <c r="D42" s="1752" t="s">
        <v>9</v>
      </c>
      <c r="E42" s="1756">
        <v>2021</v>
      </c>
      <c r="F42" s="1757"/>
      <c r="G42" s="1757"/>
      <c r="H42" s="1758"/>
      <c r="I42" s="1759">
        <v>2022</v>
      </c>
      <c r="J42" s="1757"/>
      <c r="K42" s="1757"/>
      <c r="L42" s="1757"/>
      <c r="M42" s="1757"/>
      <c r="N42" s="1757"/>
      <c r="O42" s="1757"/>
      <c r="P42" s="1757"/>
      <c r="Q42" s="1758"/>
      <c r="R42" s="1754" t="str">
        <f>IF(Indice_index!$Z$1=1,"variação mensal","monthly variation")</f>
        <v>variação mensal</v>
      </c>
      <c r="S42" s="96"/>
      <c r="W42" s="168"/>
      <c r="AB42" s="137"/>
      <c r="AC42" s="137"/>
      <c r="AD42" s="137"/>
    </row>
    <row r="43" spans="2:30" ht="15" customHeight="1">
      <c r="B43" s="96"/>
      <c r="C43" s="96"/>
      <c r="D43" s="1753"/>
      <c r="E43" s="808" t="s">
        <v>587</v>
      </c>
      <c r="F43" s="808" t="s">
        <v>588</v>
      </c>
      <c r="G43" s="809" t="s">
        <v>589</v>
      </c>
      <c r="H43" s="810" t="str">
        <f>IF(Indice_index!$Z$1=1,"dez*","Dec*")</f>
        <v>dez*</v>
      </c>
      <c r="I43" s="810" t="s">
        <v>590</v>
      </c>
      <c r="J43" s="811" t="s">
        <v>591</v>
      </c>
      <c r="K43" s="810" t="s">
        <v>592</v>
      </c>
      <c r="L43" s="811" t="s">
        <v>593</v>
      </c>
      <c r="M43" s="811" t="s">
        <v>594</v>
      </c>
      <c r="N43" s="810" t="s">
        <v>595</v>
      </c>
      <c r="O43" s="810" t="s">
        <v>596</v>
      </c>
      <c r="P43" s="808" t="s">
        <v>597</v>
      </c>
      <c r="Q43" s="808" t="s">
        <v>587</v>
      </c>
      <c r="R43" s="1755"/>
      <c r="S43" s="96"/>
      <c r="AB43" s="137"/>
      <c r="AC43" s="137"/>
      <c r="AD43" s="137"/>
    </row>
    <row r="44" spans="2:30" s="251" customFormat="1" ht="15" customHeight="1">
      <c r="B44" s="250"/>
      <c r="C44" s="250"/>
      <c r="D44" s="835" t="str">
        <f>IF(Indice_index!$Z$1=1,"Administrações Públicas","General Government")</f>
        <v>Administrações Públicas</v>
      </c>
      <c r="E44" s="1573">
        <v>694.13873754999997</v>
      </c>
      <c r="F44" s="1573">
        <v>778.70614314000011</v>
      </c>
      <c r="G44" s="1573">
        <v>890.29381393999995</v>
      </c>
      <c r="H44" s="1574">
        <v>299.45953600000001</v>
      </c>
      <c r="I44" s="1575">
        <v>414.17678900000004</v>
      </c>
      <c r="J44" s="1573">
        <v>459.98346831000003</v>
      </c>
      <c r="K44" s="1573">
        <v>506.87780213999997</v>
      </c>
      <c r="L44" s="1573">
        <v>601.76228319000029</v>
      </c>
      <c r="M44" s="1573">
        <v>699.17713006000008</v>
      </c>
      <c r="N44" s="1573">
        <v>834.73582155999998</v>
      </c>
      <c r="O44" s="1573">
        <v>919.43005994000021</v>
      </c>
      <c r="P44" s="1573">
        <v>777.68669265000005</v>
      </c>
      <c r="Q44" s="1574">
        <v>903.7300189</v>
      </c>
      <c r="R44" s="836">
        <f t="shared" ref="R44:R51" si="1">Q44-P44</f>
        <v>126.04332624999995</v>
      </c>
      <c r="S44" s="571"/>
    </row>
    <row r="45" spans="2:30" ht="15" customHeight="1">
      <c r="B45" s="96"/>
      <c r="C45" s="96"/>
      <c r="D45" s="837" t="str">
        <f>IF(Indice_index!$Z$1=1,"Admin. Central excl. Subs. Saúde","Central Government excl. Health Subsector")</f>
        <v>Admin. Central excl. Subs. Saúde</v>
      </c>
      <c r="E45" s="1576">
        <v>39.921979499999999</v>
      </c>
      <c r="F45" s="1576">
        <v>42.312871560000005</v>
      </c>
      <c r="G45" s="1576">
        <v>39.732900179999994</v>
      </c>
      <c r="H45" s="1577">
        <v>28.38489285</v>
      </c>
      <c r="I45" s="1578">
        <v>28.561460530000002</v>
      </c>
      <c r="J45" s="1576">
        <v>29.94680211</v>
      </c>
      <c r="K45" s="1576">
        <v>32.38113551</v>
      </c>
      <c r="L45" s="1576">
        <v>34.539867620000003</v>
      </c>
      <c r="M45" s="1576">
        <v>40.794076220000001</v>
      </c>
      <c r="N45" s="1576">
        <v>42.208514370000003</v>
      </c>
      <c r="O45" s="1576">
        <v>43.652452489999995</v>
      </c>
      <c r="P45" s="1576">
        <v>45.311133529999999</v>
      </c>
      <c r="Q45" s="1577">
        <v>96.375580880000001</v>
      </c>
      <c r="R45" s="838">
        <f t="shared" si="1"/>
        <v>51.064447350000002</v>
      </c>
      <c r="S45" s="571"/>
      <c r="AB45" s="137"/>
      <c r="AC45" s="137"/>
      <c r="AD45" s="137"/>
    </row>
    <row r="46" spans="2:30" ht="15" customHeight="1">
      <c r="B46" s="96"/>
      <c r="C46" s="96"/>
      <c r="D46" s="837" t="str">
        <f>IF(Indice_index!$Z$1=1,"Subsector da Saúde","Health Subsector")</f>
        <v>Subsector da Saúde</v>
      </c>
      <c r="E46" s="1576">
        <v>5.0538588799999884</v>
      </c>
      <c r="F46" s="1576">
        <v>5.562945459999999</v>
      </c>
      <c r="G46" s="1576">
        <v>6.4107240000000001</v>
      </c>
      <c r="H46" s="1577">
        <v>2.7758071000000006</v>
      </c>
      <c r="I46" s="1578">
        <v>5.6885438100000032</v>
      </c>
      <c r="J46" s="1576">
        <v>4.34703807</v>
      </c>
      <c r="K46" s="1576">
        <v>5.1372461500000002</v>
      </c>
      <c r="L46" s="1576">
        <v>4.0887002799999985</v>
      </c>
      <c r="M46" s="1576">
        <v>5.1863336100000037</v>
      </c>
      <c r="N46" s="1576">
        <v>4.8387099700000071</v>
      </c>
      <c r="O46" s="1576">
        <v>5.7911996400000012</v>
      </c>
      <c r="P46" s="1576">
        <v>4.7460636599999955</v>
      </c>
      <c r="Q46" s="1579">
        <v>4.6405532199999877</v>
      </c>
      <c r="R46" s="838">
        <f t="shared" si="1"/>
        <v>-0.10551044000000775</v>
      </c>
      <c r="S46" s="571"/>
      <c r="AB46" s="137"/>
      <c r="AC46" s="137"/>
      <c r="AD46" s="137"/>
    </row>
    <row r="47" spans="2:30" ht="15" customHeight="1">
      <c r="B47" s="96"/>
      <c r="C47" s="96"/>
      <c r="D47" s="837" t="str">
        <f>IF(Indice_index!$Z$1=1,"Hospitais EPE","HNS - EPE Hospitals")</f>
        <v>Hospitais EPE</v>
      </c>
      <c r="E47" s="1576">
        <v>467.73029874000002</v>
      </c>
      <c r="F47" s="1576">
        <v>553.43802757000014</v>
      </c>
      <c r="G47" s="1576">
        <v>668.15637400000003</v>
      </c>
      <c r="H47" s="1577">
        <v>107.16077557000001</v>
      </c>
      <c r="I47" s="1578">
        <v>210.44059844</v>
      </c>
      <c r="J47" s="1576">
        <v>253.03455969999999</v>
      </c>
      <c r="K47" s="1576">
        <v>303.91595169999994</v>
      </c>
      <c r="L47" s="1576">
        <v>390.4383427599999</v>
      </c>
      <c r="M47" s="1576">
        <v>469.09213459000006</v>
      </c>
      <c r="N47" s="1576">
        <v>606.73740510999994</v>
      </c>
      <c r="O47" s="1576">
        <v>687.73517439000022</v>
      </c>
      <c r="P47" s="1576">
        <v>542.72080005999999</v>
      </c>
      <c r="Q47" s="1579">
        <v>613.28299371999992</v>
      </c>
      <c r="R47" s="838">
        <f t="shared" si="1"/>
        <v>70.562193659999934</v>
      </c>
      <c r="S47" s="571"/>
      <c r="AB47" s="137"/>
      <c r="AC47" s="137"/>
      <c r="AD47" s="137"/>
    </row>
    <row r="48" spans="2:30" ht="15" customHeight="1">
      <c r="B48" s="96"/>
      <c r="C48" s="96"/>
      <c r="D48" s="837" t="str">
        <f>IF(Indice_index!$Z$1=1,"Empresas Públicas Reclassificadas","Reclassified Public Enterprises")</f>
        <v>Empresas Públicas Reclassificadas</v>
      </c>
      <c r="E48" s="1576">
        <v>14.308865779999993</v>
      </c>
      <c r="F48" s="1576">
        <v>20.931860779999994</v>
      </c>
      <c r="G48" s="1576">
        <v>22.96524037999999</v>
      </c>
      <c r="H48" s="1577">
        <v>12.762309</v>
      </c>
      <c r="I48" s="1578">
        <v>12.762309</v>
      </c>
      <c r="J48" s="1576">
        <v>12.762309</v>
      </c>
      <c r="K48" s="1576">
        <v>12.762309</v>
      </c>
      <c r="L48" s="1576">
        <v>14.36457812000002</v>
      </c>
      <c r="M48" s="1576">
        <v>16.55391013000002</v>
      </c>
      <c r="N48" s="1576">
        <v>21.921374740000022</v>
      </c>
      <c r="O48" s="1576">
        <v>17.186012840000021</v>
      </c>
      <c r="P48" s="1576">
        <v>16.870665190000022</v>
      </c>
      <c r="Q48" s="1577">
        <v>16.45877809000002</v>
      </c>
      <c r="R48" s="838">
        <f t="shared" si="1"/>
        <v>-0.41188710000000128</v>
      </c>
      <c r="S48" s="571"/>
      <c r="AB48" s="137"/>
      <c r="AC48" s="137"/>
      <c r="AD48" s="137"/>
    </row>
    <row r="49" spans="2:30" ht="15" customHeight="1">
      <c r="B49" s="96"/>
      <c r="C49" s="96"/>
      <c r="D49" s="837" t="str">
        <f>IF(Indice_index!$Z$1=1,"Administração Local","Local Government")</f>
        <v>Administração Local</v>
      </c>
      <c r="E49" s="1580">
        <v>56.810747100000007</v>
      </c>
      <c r="F49" s="1580">
        <v>56.810747100000007</v>
      </c>
      <c r="G49" s="1580">
        <v>56.810747100000007</v>
      </c>
      <c r="H49" s="1581">
        <v>56.810747100000007</v>
      </c>
      <c r="I49" s="1582">
        <v>56.810747100000007</v>
      </c>
      <c r="J49" s="1580">
        <v>56.810747100000007</v>
      </c>
      <c r="K49" s="1580">
        <v>56.810747100000007</v>
      </c>
      <c r="L49" s="1580">
        <v>56.810747100000007</v>
      </c>
      <c r="M49" s="1580">
        <v>56.810747100000007</v>
      </c>
      <c r="N49" s="1580">
        <v>56.810747100000007</v>
      </c>
      <c r="O49" s="1580">
        <v>56.810747100000007</v>
      </c>
      <c r="P49" s="1580">
        <v>56.810747100000007</v>
      </c>
      <c r="Q49" s="1581">
        <v>56.810747100000007</v>
      </c>
      <c r="R49" s="839">
        <f t="shared" si="1"/>
        <v>0</v>
      </c>
      <c r="S49" s="571"/>
      <c r="AB49" s="137"/>
      <c r="AC49" s="137"/>
      <c r="AD49" s="137"/>
    </row>
    <row r="50" spans="2:30" ht="15" customHeight="1">
      <c r="B50" s="96"/>
      <c r="C50" s="96"/>
      <c r="D50" s="837" t="str">
        <f>IF(Indice_index!$Z$1=1,"Administração Regional","Regional Government")</f>
        <v>Administração Regional</v>
      </c>
      <c r="E50" s="1576">
        <v>110.31298755</v>
      </c>
      <c r="F50" s="1576">
        <v>99.649690670000012</v>
      </c>
      <c r="G50" s="1576">
        <v>96.217828280000006</v>
      </c>
      <c r="H50" s="1577">
        <v>91.565004379999991</v>
      </c>
      <c r="I50" s="1578">
        <v>99.913130120000005</v>
      </c>
      <c r="J50" s="1576">
        <v>103.08201233000001</v>
      </c>
      <c r="K50" s="1576">
        <v>95.870412680000044</v>
      </c>
      <c r="L50" s="1576">
        <v>101.52004731000035</v>
      </c>
      <c r="M50" s="1576">
        <v>110.73992841000005</v>
      </c>
      <c r="N50" s="1576">
        <v>102.21907027000003</v>
      </c>
      <c r="O50" s="1576">
        <v>108.25447348000002</v>
      </c>
      <c r="P50" s="1576">
        <v>111.22728311</v>
      </c>
      <c r="Q50" s="1577">
        <v>116.16136589000003</v>
      </c>
      <c r="R50" s="839">
        <f t="shared" si="1"/>
        <v>4.9340827800000255</v>
      </c>
      <c r="S50" s="571"/>
      <c r="AB50" s="137"/>
      <c r="AC50" s="137"/>
      <c r="AD50" s="137"/>
    </row>
    <row r="51" spans="2:30" s="251" customFormat="1" ht="15" customHeight="1">
      <c r="B51" s="250"/>
      <c r="C51" s="250"/>
      <c r="D51" s="840" t="str">
        <f>IF(Indice_index!$Z$1=1,"Outras Entidades","Other Entities")</f>
        <v>Outras Entidades</v>
      </c>
      <c r="E51" s="1583">
        <v>0.44664528999999997</v>
      </c>
      <c r="F51" s="1583">
        <v>0.44664528999999997</v>
      </c>
      <c r="G51" s="1583">
        <v>0.44664528999999997</v>
      </c>
      <c r="H51" s="1584">
        <v>0.44664528999999997</v>
      </c>
      <c r="I51" s="1585">
        <v>0.44664528999999997</v>
      </c>
      <c r="J51" s="1583">
        <v>0.44664528999999997</v>
      </c>
      <c r="K51" s="1583">
        <v>0.44664528999999997</v>
      </c>
      <c r="L51" s="1583">
        <v>0.44664528999999997</v>
      </c>
      <c r="M51" s="1583">
        <v>0.44664528999999997</v>
      </c>
      <c r="N51" s="1583">
        <v>0.44664528999999997</v>
      </c>
      <c r="O51" s="1583">
        <v>0.44664528999999997</v>
      </c>
      <c r="P51" s="1583">
        <v>0.44664528999999997</v>
      </c>
      <c r="Q51" s="1586">
        <v>0.44664528999999997</v>
      </c>
      <c r="R51" s="841">
        <f t="shared" si="1"/>
        <v>0</v>
      </c>
      <c r="S51" s="571"/>
    </row>
    <row r="52" spans="2:30" ht="15" customHeight="1">
      <c r="B52" s="96"/>
      <c r="C52" s="96"/>
      <c r="D52" s="837" t="str">
        <f>IF(Indice_index!$Z$1=1,"Empr. Públicas Não Reclassificadas","Non-reclassified Public Enterprises")</f>
        <v>Empr. Públicas Não Reclassificadas</v>
      </c>
      <c r="E52" s="1587">
        <v>0.44664528999999997</v>
      </c>
      <c r="F52" s="1587">
        <v>0.44664528999999997</v>
      </c>
      <c r="G52" s="1588">
        <v>0.44664528999999997</v>
      </c>
      <c r="H52" s="1589">
        <v>0.44664528999999997</v>
      </c>
      <c r="I52" s="1590">
        <v>0.44664528999999997</v>
      </c>
      <c r="J52" s="1587">
        <v>0.44664528999999997</v>
      </c>
      <c r="K52" s="1588">
        <v>0.44664528999999997</v>
      </c>
      <c r="L52" s="1588">
        <v>0.44664528999999997</v>
      </c>
      <c r="M52" s="1587">
        <v>0.44664528999999997</v>
      </c>
      <c r="N52" s="1587">
        <v>0.44664528999999997</v>
      </c>
      <c r="O52" s="1587">
        <v>0.44664528999999997</v>
      </c>
      <c r="P52" s="1587">
        <v>0.44664528999999997</v>
      </c>
      <c r="Q52" s="1589">
        <v>0.44664528999999997</v>
      </c>
      <c r="R52" s="760">
        <f>Q52-P52</f>
        <v>0</v>
      </c>
      <c r="S52" s="571"/>
      <c r="AB52" s="137"/>
      <c r="AC52" s="137"/>
      <c r="AD52" s="137"/>
    </row>
    <row r="53" spans="2:30" s="251" customFormat="1" ht="15" customHeight="1">
      <c r="B53" s="250"/>
      <c r="C53" s="250"/>
      <c r="D53" s="756" t="str">
        <f>IF(Indice_index!$Z$1=1,"Total","Total")</f>
        <v>Total</v>
      </c>
      <c r="E53" s="1591">
        <v>694.58538283999997</v>
      </c>
      <c r="F53" s="1591">
        <v>779.1527884300001</v>
      </c>
      <c r="G53" s="1591">
        <v>890.74045922999994</v>
      </c>
      <c r="H53" s="1592">
        <v>299.90618129000001</v>
      </c>
      <c r="I53" s="1593">
        <v>414.62343429000003</v>
      </c>
      <c r="J53" s="1591">
        <v>460.43011360000003</v>
      </c>
      <c r="K53" s="1591">
        <v>507.32444742999996</v>
      </c>
      <c r="L53" s="1591">
        <v>602.20892848000028</v>
      </c>
      <c r="M53" s="1591">
        <v>699.62377535000007</v>
      </c>
      <c r="N53" s="1591">
        <v>835.18246684999997</v>
      </c>
      <c r="O53" s="1591">
        <v>919.8767052300002</v>
      </c>
      <c r="P53" s="1591">
        <v>778.13333794000005</v>
      </c>
      <c r="Q53" s="1592">
        <v>904.17666419</v>
      </c>
      <c r="R53" s="843">
        <f>Q53-P53</f>
        <v>126.04332624999995</v>
      </c>
      <c r="S53" s="571"/>
      <c r="U53" s="315"/>
    </row>
    <row r="54" spans="2:30" s="251" customFormat="1" ht="4.5" customHeight="1">
      <c r="B54" s="250"/>
      <c r="C54" s="250"/>
      <c r="D54" s="844"/>
      <c r="E54" s="845"/>
      <c r="F54" s="845"/>
      <c r="G54" s="845"/>
      <c r="H54" s="845"/>
      <c r="I54" s="845"/>
      <c r="J54" s="845"/>
      <c r="K54" s="845"/>
      <c r="L54" s="845"/>
      <c r="M54" s="845"/>
      <c r="N54" s="845"/>
      <c r="O54" s="845"/>
      <c r="P54" s="845"/>
      <c r="Q54" s="845"/>
      <c r="R54" s="845"/>
      <c r="S54" s="250"/>
      <c r="U54" s="315"/>
    </row>
    <row r="55" spans="2:30" ht="15" customHeight="1">
      <c r="B55" s="96"/>
      <c r="C55" s="96"/>
      <c r="D55" s="846" t="str">
        <f>IF(Indice_index!$Z$1=1,"Notas:","Notes:")</f>
        <v>Notas:</v>
      </c>
      <c r="E55" s="847"/>
      <c r="F55" s="847"/>
      <c r="G55" s="96"/>
      <c r="H55" s="96"/>
      <c r="I55" s="96"/>
      <c r="J55" s="96"/>
      <c r="K55" s="847"/>
      <c r="L55" s="96"/>
      <c r="M55" s="96"/>
      <c r="N55" s="96"/>
      <c r="O55" s="96"/>
      <c r="P55" s="96"/>
      <c r="Q55" s="96"/>
      <c r="R55" s="847"/>
      <c r="S55" s="96"/>
      <c r="U55" s="168"/>
      <c r="AB55" s="137"/>
      <c r="AC55" s="137"/>
      <c r="AD55" s="137"/>
    </row>
    <row r="56" spans="2:30" ht="15" customHeight="1">
      <c r="B56" s="96"/>
      <c r="C56" s="96"/>
      <c r="D56" s="847"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6" s="847"/>
      <c r="F56" s="847"/>
      <c r="G56" s="96"/>
      <c r="H56" s="96"/>
      <c r="I56" s="96"/>
      <c r="J56" s="96"/>
      <c r="K56" s="847"/>
      <c r="L56" s="96"/>
      <c r="M56" s="96"/>
      <c r="N56" s="96"/>
      <c r="O56" s="96"/>
      <c r="P56" s="96"/>
      <c r="Q56" s="96"/>
      <c r="R56" s="847"/>
      <c r="S56" s="96"/>
      <c r="U56" s="168"/>
      <c r="AB56" s="137"/>
      <c r="AC56" s="137"/>
      <c r="AD56" s="137"/>
    </row>
    <row r="57" spans="2:30" ht="15" customHeight="1">
      <c r="B57" s="96"/>
      <c r="C57" s="96"/>
      <c r="D57" s="832" t="str">
        <f>IF(Indice_index!$Z$1=1,"AL(*): Considerou-se o stock de dezembro 2019, para efeitos de análise.","LG(*): December 2019 stock was considered for analysis purposes was considered for the purpose of analysis.")</f>
        <v>AL(*): Considerou-se o stock de dezembro 2019, para efeitos de análise.</v>
      </c>
      <c r="E57" s="847"/>
      <c r="F57" s="847"/>
      <c r="G57" s="847"/>
      <c r="H57" s="96"/>
      <c r="I57" s="96"/>
      <c r="J57" s="96"/>
      <c r="K57" s="96"/>
      <c r="L57" s="847"/>
      <c r="M57" s="96"/>
      <c r="N57" s="96"/>
      <c r="O57" s="96"/>
      <c r="P57" s="96"/>
      <c r="Q57" s="96"/>
      <c r="R57" s="847"/>
      <c r="S57" s="96"/>
      <c r="U57" s="168"/>
      <c r="AB57" s="137"/>
      <c r="AC57" s="137"/>
      <c r="AD57" s="137"/>
    </row>
    <row r="58" spans="2:30" ht="15" customHeight="1">
      <c r="B58" s="96"/>
      <c r="C58" s="96"/>
      <c r="D58" s="1746"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8" s="1746"/>
      <c r="F58" s="1746"/>
      <c r="G58" s="1746"/>
      <c r="H58" s="1746"/>
      <c r="I58" s="1746"/>
      <c r="J58" s="1746"/>
      <c r="K58" s="1746"/>
      <c r="L58" s="1746"/>
      <c r="M58" s="1746"/>
      <c r="N58" s="1746"/>
      <c r="O58" s="1746"/>
      <c r="P58" s="1746"/>
      <c r="Q58" s="1746"/>
      <c r="R58" s="1746"/>
      <c r="S58" s="96"/>
    </row>
    <row r="59" spans="2:30">
      <c r="B59" s="96"/>
      <c r="C59" s="96"/>
      <c r="D59" s="96"/>
      <c r="E59" s="96"/>
      <c r="F59" s="96"/>
      <c r="G59" s="96"/>
      <c r="H59" s="96"/>
      <c r="I59" s="96"/>
      <c r="J59" s="96"/>
      <c r="K59" s="96"/>
      <c r="L59" s="96"/>
      <c r="M59" s="96"/>
      <c r="N59" s="96"/>
      <c r="O59" s="96"/>
      <c r="P59" s="96"/>
      <c r="Q59" s="96"/>
      <c r="R59" s="96"/>
      <c r="S59" s="96"/>
    </row>
    <row r="60" spans="2:30">
      <c r="B60" s="96"/>
      <c r="C60" s="96"/>
      <c r="D60" s="96"/>
      <c r="E60" s="96"/>
      <c r="F60" s="96"/>
      <c r="G60" s="96"/>
      <c r="H60" s="96"/>
      <c r="I60" s="96"/>
      <c r="J60" s="96"/>
      <c r="K60" s="96"/>
      <c r="L60" s="96"/>
      <c r="M60" s="96"/>
      <c r="N60" s="96"/>
      <c r="O60" s="96"/>
      <c r="P60" s="96"/>
      <c r="Q60" s="96"/>
      <c r="R60" s="96"/>
      <c r="S60" s="96"/>
    </row>
    <row r="61" spans="2:30">
      <c r="C61" s="96"/>
      <c r="D61" s="96"/>
      <c r="E61" s="655"/>
      <c r="F61" s="655"/>
      <c r="G61" s="655"/>
      <c r="H61" s="655"/>
      <c r="I61" s="655"/>
      <c r="J61" s="655"/>
      <c r="K61" s="655"/>
      <c r="L61" s="655"/>
      <c r="M61" s="655"/>
      <c r="N61" s="655"/>
      <c r="O61" s="655"/>
      <c r="P61" s="655"/>
      <c r="Q61" s="96"/>
      <c r="R61" s="96"/>
    </row>
    <row r="62" spans="2:30">
      <c r="E62" s="330"/>
      <c r="F62" s="330"/>
      <c r="G62" s="330"/>
      <c r="H62" s="330"/>
      <c r="I62" s="330"/>
      <c r="J62" s="330"/>
      <c r="K62" s="330"/>
      <c r="L62" s="330"/>
      <c r="M62" s="330"/>
      <c r="N62" s="330"/>
      <c r="O62" s="330"/>
    </row>
  </sheetData>
  <mergeCells count="17">
    <mergeCell ref="R8:R9"/>
    <mergeCell ref="C8:D9"/>
    <mergeCell ref="C10:C14"/>
    <mergeCell ref="C15:D15"/>
    <mergeCell ref="C16:C20"/>
    <mergeCell ref="I8:Q8"/>
    <mergeCell ref="E8:H8"/>
    <mergeCell ref="D58:R58"/>
    <mergeCell ref="T37:AC39"/>
    <mergeCell ref="C21:D21"/>
    <mergeCell ref="C22:C26"/>
    <mergeCell ref="C27:D27"/>
    <mergeCell ref="C28:D28"/>
    <mergeCell ref="D42:D43"/>
    <mergeCell ref="R42:R43"/>
    <mergeCell ref="E42:H42"/>
    <mergeCell ref="I42:Q42"/>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4296875" defaultRowHeight="12"/>
  <cols>
    <col min="1" max="1" width="2.54296875" style="229" customWidth="1"/>
    <col min="2" max="2" width="4.453125" style="229" customWidth="1"/>
    <col min="3" max="3" width="5.453125" style="229" customWidth="1"/>
    <col min="4" max="4" width="9.54296875" style="229" customWidth="1"/>
    <col min="5" max="5" width="11" style="229" customWidth="1"/>
    <col min="6" max="6" width="9.453125" style="229" customWidth="1"/>
    <col min="7" max="7" width="11" style="229" customWidth="1"/>
    <col min="8" max="8" width="9.54296875" style="229" customWidth="1"/>
    <col min="9" max="9" width="10.81640625" style="229" customWidth="1"/>
    <col min="10" max="10" width="9.81640625" style="229" customWidth="1"/>
    <col min="11" max="11" width="9.453125" style="229" customWidth="1"/>
    <col min="12" max="12" width="10.1796875" style="171" customWidth="1"/>
    <col min="13" max="13" width="9.453125" style="171" customWidth="1"/>
    <col min="14" max="14" width="9.54296875" style="171" customWidth="1"/>
    <col min="15" max="15" width="10" style="171" customWidth="1"/>
    <col min="16" max="16" width="10.453125" style="171" customWidth="1"/>
    <col min="17" max="17" width="13" style="229" customWidth="1"/>
    <col min="18" max="18" width="8.54296875" style="229" customWidth="1"/>
    <col min="19" max="19" width="7.54296875" style="229" customWidth="1"/>
    <col min="20" max="20" width="8.81640625" style="229" customWidth="1"/>
    <col min="21" max="21" width="11.54296875" style="229" customWidth="1"/>
    <col min="22" max="22" width="8.1796875" style="229" customWidth="1"/>
    <col min="23" max="23" width="13" style="229" customWidth="1"/>
    <col min="24" max="24" width="9.1796875" style="50" customWidth="1"/>
    <col min="25" max="25" width="10.81640625" style="50" customWidth="1"/>
    <col min="26" max="26" width="9.1796875" style="50" customWidth="1"/>
    <col min="27" max="27" width="9.1796875" style="170" customWidth="1"/>
    <col min="28" max="29" width="6.54296875" style="229"/>
    <col min="30" max="30" width="7" style="229" bestFit="1" customWidth="1"/>
    <col min="31" max="31" width="6.54296875" style="229" bestFit="1" customWidth="1"/>
    <col min="32" max="34" width="7" style="229" bestFit="1" customWidth="1"/>
    <col min="35" max="35" width="6.54296875" style="229" bestFit="1" customWidth="1"/>
    <col min="36" max="37" width="7" style="229" bestFit="1" customWidth="1"/>
    <col min="38" max="38" width="6.54296875" style="229" bestFit="1" customWidth="1"/>
    <col min="39" max="41" width="7" style="229" bestFit="1" customWidth="1"/>
    <col min="42" max="16384" width="6.54296875" style="229"/>
  </cols>
  <sheetData>
    <row r="1" spans="2:34" s="50" customFormat="1" ht="15" customHeight="1">
      <c r="B1" s="49"/>
      <c r="H1" s="155"/>
      <c r="I1" s="155"/>
    </row>
    <row r="2" spans="2:34" ht="24" customHeight="1">
      <c r="B2" s="8"/>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134" t="str">
        <f>IF(Indice_index!$Z$1=1,"Pensionistas","Pensioners")</f>
        <v>Pensionistas</v>
      </c>
      <c r="D5" s="443"/>
      <c r="E5" s="443"/>
      <c r="F5" s="443"/>
      <c r="G5" s="443"/>
      <c r="H5" s="1135"/>
      <c r="I5" s="1135"/>
      <c r="J5" s="1135"/>
      <c r="K5" s="1136" t="str">
        <f>IF(Indice_index!$Z$1=1,"Subscritores","Subscribers")</f>
        <v>Subscritores</v>
      </c>
      <c r="L5" s="1135"/>
      <c r="M5" s="1135"/>
      <c r="N5" s="1135"/>
      <c r="O5" s="1135"/>
      <c r="P5" s="1135"/>
      <c r="Q5" s="443"/>
      <c r="X5" s="240"/>
      <c r="Y5" s="240"/>
      <c r="Z5" s="240"/>
      <c r="AA5" s="243"/>
    </row>
    <row r="6" spans="2:34" ht="11.25" customHeight="1">
      <c r="C6" s="1137"/>
      <c r="D6" s="1138"/>
      <c r="E6" s="1766" t="str">
        <f>IF(Indice_index!$Z$1=1,"Número","Number")</f>
        <v>Número</v>
      </c>
      <c r="F6" s="1766"/>
      <c r="G6" s="1766"/>
      <c r="H6" s="1766"/>
      <c r="I6" s="1767" t="str">
        <f>IF(Indice_index!$Z$1=1,"Valor médio pago por pensionista (€)","Average Value paid per Pensioner (€)")</f>
        <v>Valor médio pago por pensionista (€)</v>
      </c>
      <c r="K6" s="1768" t="str">
        <f>IF(Indice_index!$Z$1=1,"Número","Number")</f>
        <v>Número</v>
      </c>
      <c r="L6" s="229"/>
      <c r="M6" s="229"/>
      <c r="N6" s="229"/>
      <c r="O6" s="229"/>
      <c r="P6" s="229"/>
      <c r="R6" s="50"/>
      <c r="S6" s="50"/>
      <c r="T6" s="50"/>
      <c r="U6" s="170"/>
      <c r="X6" s="229"/>
      <c r="Y6" s="229"/>
      <c r="Z6" s="229"/>
      <c r="AA6" s="229"/>
    </row>
    <row r="7" spans="2:34" ht="21">
      <c r="C7" s="1139"/>
      <c r="D7" s="1140"/>
      <c r="E7" s="1141" t="str">
        <f>IF(Indice_index!$Z$1=1,"Velhice e Outros Motivos","Old age and other Reasons")</f>
        <v>Velhice e Outros Motivos</v>
      </c>
      <c r="F7" s="1142" t="str">
        <f>IF(Indice_index!$Z$1=1,"Invalidez","Disability")</f>
        <v>Invalidez</v>
      </c>
      <c r="G7" s="1141" t="str">
        <f>IF(Indice_index!$Z$1=1,"Sobrevivência e Outros","Survival and Others")</f>
        <v>Sobrevivência e Outros</v>
      </c>
      <c r="H7" s="1141" t="str">
        <f>IF(Indice_index!$Z$1=1,"Total de Pensionistas","Total of Pensioners")</f>
        <v>Total de Pensionistas</v>
      </c>
      <c r="I7" s="1767"/>
      <c r="K7" s="1769"/>
      <c r="L7" s="229"/>
      <c r="M7" s="229"/>
      <c r="N7" s="229"/>
      <c r="O7" s="229"/>
      <c r="P7" s="229"/>
      <c r="R7" s="50"/>
      <c r="S7" s="50"/>
      <c r="T7" s="50"/>
      <c r="U7" s="170"/>
      <c r="X7" s="229"/>
      <c r="Y7" s="229"/>
      <c r="Z7" s="229"/>
      <c r="AA7" s="229"/>
    </row>
    <row r="8" spans="2:34" hidden="1">
      <c r="C8" s="1143" t="s">
        <v>10</v>
      </c>
      <c r="D8" s="646"/>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143"/>
      <c r="D9" s="172" t="str">
        <f>IF(Indice_index!$Z$1=1,"janeiro","January")</f>
        <v>janeiro</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143"/>
      <c r="D10" s="172" t="str">
        <f>IF(Indice_index!$Z$1=1,"fevereiro","February")</f>
        <v>fevereiro</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143"/>
      <c r="D11" s="172" t="str">
        <f>IF(Indice_index!$Z$1=1,"março","March")</f>
        <v>março</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143"/>
      <c r="D12" s="172" t="str">
        <f>IF(Indice_index!$Z$1=1,"abril","April")</f>
        <v>abril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143"/>
      <c r="D13" s="172" t="str">
        <f>IF(Indice_index!$Z$1=1,"maio","May")</f>
        <v>maio</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143"/>
      <c r="D14" s="172" t="str">
        <f>IF(Indice_index!$Z$1=1,"junho","June")</f>
        <v>junho</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143"/>
      <c r="D15" s="172" t="str">
        <f>IF(Indice_index!$Z$1=1,"julho","July")</f>
        <v>julho</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143"/>
      <c r="D16" s="172" t="str">
        <f>IF(Indice_index!$Z$1=1,"agosto","August")</f>
        <v>agosto</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143"/>
      <c r="D17" s="172" t="str">
        <f>IF(Indice_index!$Z$1=1,"setembro","September")</f>
        <v>setembro</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143"/>
      <c r="D18" s="172" t="str">
        <f>IF(Indice_index!$Z$1=1,"outubro","October")</f>
        <v>outubro</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143"/>
      <c r="D19" s="172" t="str">
        <f>IF(Indice_index!$Z$1=1,"novembro","November")</f>
        <v>novembro</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143"/>
      <c r="D20" s="172" t="str">
        <f>IF(Indice_index!$Z$1=1,"dezembro","December")</f>
        <v>dezembro</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143"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143"/>
      <c r="D22" s="172" t="str">
        <f>IF(Indice_index!$Z$1=1,"janeiro","January")</f>
        <v>janeiro</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144"/>
      <c r="D23" s="172" t="str">
        <f>IF(Indice_index!$Z$1=1,"fevereiro","February")</f>
        <v>fevereiro</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144"/>
      <c r="D24" s="172" t="str">
        <f>IF(Indice_index!$Z$1=1,"março","March")</f>
        <v>março</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144"/>
      <c r="D25" s="172" t="str">
        <f>IF(Indice_index!$Z$1=1,"abril","April")</f>
        <v>abril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144"/>
      <c r="D26" s="172" t="str">
        <f>IF(Indice_index!$Z$1=1,"maio","May")</f>
        <v>maio</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144"/>
      <c r="D27" s="172" t="str">
        <f>IF(Indice_index!$Z$1=1,"junho","June")</f>
        <v>junho</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144"/>
      <c r="D28" s="172" t="str">
        <f>IF(Indice_index!$Z$1=1,"julho","July")</f>
        <v>julho</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144"/>
      <c r="D29" s="172" t="str">
        <f>IF(Indice_index!$Z$1=1,"agosto","August")</f>
        <v>agosto</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144"/>
      <c r="D30" s="172" t="str">
        <f>IF(Indice_index!$Z$1=1,"setembro","September")</f>
        <v>setembro</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144"/>
      <c r="D31" s="172" t="str">
        <f>IF(Indice_index!$Z$1=1,"outubro","October")</f>
        <v>outubro</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144"/>
      <c r="D32" s="172" t="str">
        <f>IF(Indice_index!$Z$1=1,"novembro","November")</f>
        <v>novembro</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144"/>
      <c r="D33" s="172" t="str">
        <f>IF(Indice_index!$Z$1=1,"dezembro","December")</f>
        <v>dezembro</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143"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144"/>
      <c r="D35" s="172" t="str">
        <f>IF(Indice_index!$Z$1=1,"janeiro","January")</f>
        <v>janeiro</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144"/>
      <c r="D36" s="172" t="str">
        <f>IF(Indice_index!$Z$1=1,"fevereiro","February")</f>
        <v>fevereiro</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144"/>
      <c r="D37" s="172" t="str">
        <f>IF(Indice_index!$Z$1=1,"março","March")</f>
        <v>março</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144"/>
      <c r="D38" s="172" t="str">
        <f>IF(Indice_index!$Z$1=1,"abril","April")</f>
        <v>abril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144"/>
      <c r="D39" s="172" t="str">
        <f>IF(Indice_index!$Z$1=1,"maio","May")</f>
        <v>maio</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144"/>
      <c r="D40" s="172" t="str">
        <f>IF(Indice_index!$Z$1=1,"junho","June")</f>
        <v>junho</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144"/>
      <c r="D41" s="172" t="str">
        <f>IF(Indice_index!$Z$1=1,"julho","July")</f>
        <v>julho</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144"/>
      <c r="D42" s="172" t="str">
        <f>IF(Indice_index!$Z$1=1,"agosto","August")</f>
        <v>agosto</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144"/>
      <c r="D43" s="172" t="str">
        <f>IF(Indice_index!$Z$1=1,"setembro","September")</f>
        <v>setembro</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144"/>
      <c r="D44" s="172" t="str">
        <f>IF(Indice_index!$Z$1=1,"outubro","October")</f>
        <v>outubro</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144"/>
      <c r="D45" s="172" t="str">
        <f>IF(Indice_index!$Z$1=1,"novembro","November")</f>
        <v>novembro</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144"/>
      <c r="D46" s="172" t="str">
        <f>IF(Indice_index!$Z$1=1,"dezembro","December")</f>
        <v>dezembro</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143"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144"/>
      <c r="D48" s="172" t="str">
        <f>IF(Indice_index!$Z$1=1,"janeiro","January")</f>
        <v>janeiro</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144"/>
      <c r="D49" s="172" t="str">
        <f>IF(Indice_index!$Z$1=1,"fevereiro","February")</f>
        <v>fevereiro</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144"/>
      <c r="D50" s="172" t="str">
        <f>IF(Indice_index!$Z$1=1,"março","March")</f>
        <v>março</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144"/>
      <c r="D51" s="172" t="str">
        <f>IF(Indice_index!$Z$1=1,"abril","April")</f>
        <v>abril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144"/>
      <c r="D52" s="172" t="str">
        <f>IF(Indice_index!$Z$1=1,"maio","May")</f>
        <v>maio</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144"/>
      <c r="D53" s="172" t="str">
        <f>IF(Indice_index!$Z$1=1,"junho","June")</f>
        <v>junho</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144"/>
      <c r="D54" s="172" t="str">
        <f>IF(Indice_index!$Z$1=1,"julho","July")</f>
        <v>julho</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144"/>
      <c r="D55" s="172" t="str">
        <f>IF(Indice_index!$Z$1=1,"agosto","August")</f>
        <v>agosto</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144"/>
      <c r="D56" s="172" t="str">
        <f>IF(Indice_index!$Z$1=1,"setembro","September")</f>
        <v>setembro</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144"/>
      <c r="D57" s="172" t="str">
        <f>IF(Indice_index!$Z$1=1,"outubro","October")</f>
        <v>outubro</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144"/>
      <c r="D58" s="172" t="str">
        <f>IF(Indice_index!$Z$1=1,"novembro","November")</f>
        <v>novembro</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144"/>
      <c r="D59" s="172" t="str">
        <f>IF(Indice_index!$Z$1=1,"dezembro","December")</f>
        <v>dezembro</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145">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144"/>
      <c r="D61" s="172" t="str">
        <f>IF(Indice_index!$Z$1=1,"janeiro","January")</f>
        <v>janeiro</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144"/>
      <c r="D62" s="172" t="str">
        <f>IF(Indice_index!$Z$1=1,"fevereiro","February")</f>
        <v>fevereiro</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144"/>
      <c r="D63" s="172" t="str">
        <f>IF(Indice_index!$Z$1=1,"março","March")</f>
        <v>março</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144"/>
      <c r="D64" s="172" t="str">
        <f>IF(Indice_index!$Z$1=1,"abril","April")</f>
        <v>abril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144"/>
      <c r="D65" s="172" t="str">
        <f>IF(Indice_index!$Z$1=1,"maio","May")</f>
        <v>maio</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144"/>
      <c r="D66" s="172" t="str">
        <f>IF(Indice_index!$Z$1=1,"junho","June")</f>
        <v>junho</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144"/>
      <c r="D67" s="172" t="str">
        <f>IF(Indice_index!$Z$1=1,"julho","July")</f>
        <v>julho</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144"/>
      <c r="D68" s="172" t="str">
        <f>IF(Indice_index!$Z$1=1,"agosto","August")</f>
        <v>agosto</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144"/>
      <c r="D69" s="172" t="str">
        <f>IF(Indice_index!$Z$1=1,"setembro","September")</f>
        <v>setembro</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144"/>
      <c r="D70" s="172" t="str">
        <f>IF(Indice_index!$Z$1=1,"outubro","October")</f>
        <v>outubro</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144"/>
      <c r="D71" s="172" t="str">
        <f>IF(Indice_index!$Z$1=1,"novembro","November")</f>
        <v>novembro</v>
      </c>
      <c r="E71" s="172">
        <v>409108</v>
      </c>
      <c r="F71" s="172">
        <v>73710</v>
      </c>
      <c r="G71" s="172">
        <v>159949</v>
      </c>
      <c r="H71" s="172">
        <v>642767</v>
      </c>
      <c r="I71" s="171">
        <v>1159</v>
      </c>
      <c r="K71" s="172">
        <v>464885</v>
      </c>
      <c r="R71" s="161"/>
      <c r="S71" s="161"/>
      <c r="T71" s="161"/>
      <c r="U71" s="172"/>
      <c r="V71" s="172"/>
      <c r="W71" s="172"/>
      <c r="X71" s="172"/>
      <c r="Y71" s="172"/>
      <c r="Z71" s="172"/>
      <c r="AA71" s="172"/>
      <c r="AB71" s="172"/>
      <c r="AC71" s="172"/>
      <c r="AD71" s="172"/>
      <c r="AE71" s="172"/>
      <c r="AF71" s="172"/>
      <c r="AG71" s="172"/>
      <c r="AH71" s="172"/>
    </row>
    <row r="72" spans="3:34" hidden="1">
      <c r="C72" s="1144"/>
      <c r="D72" s="172" t="str">
        <f>IF(Indice_index!$Z$1=1,"dezembro","December")</f>
        <v>dezembro</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145">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144"/>
      <c r="D74" s="172" t="str">
        <f>IF(Indice_index!$Z$1=1,"janeiro","January")</f>
        <v>janeiro</v>
      </c>
      <c r="E74" s="172">
        <v>408939</v>
      </c>
      <c r="F74" s="172">
        <v>73624</v>
      </c>
      <c r="G74" s="172">
        <v>160065</v>
      </c>
      <c r="H74" s="172">
        <v>642628</v>
      </c>
      <c r="I74" s="171">
        <v>1143.5</v>
      </c>
      <c r="K74" s="172">
        <v>462411</v>
      </c>
      <c r="M74" s="229"/>
      <c r="R74" s="161"/>
      <c r="S74" s="161"/>
      <c r="T74" s="161"/>
      <c r="U74" s="172"/>
      <c r="V74" s="172"/>
      <c r="W74" s="172"/>
      <c r="X74" s="172"/>
      <c r="Y74" s="172"/>
      <c r="Z74" s="172"/>
      <c r="AA74" s="172"/>
      <c r="AB74" s="172"/>
      <c r="AC74" s="172"/>
      <c r="AD74" s="172"/>
      <c r="AE74" s="172"/>
      <c r="AF74" s="172"/>
      <c r="AG74" s="172"/>
      <c r="AH74" s="172"/>
    </row>
    <row r="75" spans="3:34" hidden="1">
      <c r="C75" s="1144"/>
      <c r="D75" s="172" t="str">
        <f>IF(Indice_index!$Z$1=1,"fevereiro","February")</f>
        <v>fevereiro</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144"/>
      <c r="D76" s="172" t="str">
        <f>IF(Indice_index!$Z$1=1,"março","March")</f>
        <v>março</v>
      </c>
      <c r="E76" s="172">
        <v>407540</v>
      </c>
      <c r="F76" s="172">
        <v>73348</v>
      </c>
      <c r="G76" s="172">
        <v>159347</v>
      </c>
      <c r="H76" s="172">
        <v>640235</v>
      </c>
      <c r="I76" s="171">
        <v>1130.3</v>
      </c>
      <c r="K76" s="172">
        <v>461332</v>
      </c>
      <c r="R76" s="161"/>
      <c r="S76" s="161"/>
      <c r="T76" s="161"/>
      <c r="U76" s="172"/>
      <c r="V76" s="172"/>
      <c r="W76" s="172"/>
      <c r="X76" s="172"/>
      <c r="Y76" s="172"/>
      <c r="Z76" s="172"/>
      <c r="AA76" s="172"/>
      <c r="AB76" s="172"/>
      <c r="AC76" s="172"/>
      <c r="AD76" s="172"/>
      <c r="AE76" s="172"/>
      <c r="AF76" s="172"/>
      <c r="AG76" s="172"/>
      <c r="AH76" s="172"/>
    </row>
    <row r="77" spans="3:34" hidden="1">
      <c r="C77" s="1144"/>
      <c r="D77" s="172" t="str">
        <f>IF(Indice_index!$Z$1=1,"abril","April")</f>
        <v>abril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144"/>
      <c r="D78" s="172" t="str">
        <f>IF(Indice_index!$Z$1=1,"maio","May")</f>
        <v>maio</v>
      </c>
      <c r="E78" s="172">
        <v>407141</v>
      </c>
      <c r="F78" s="172">
        <v>73177</v>
      </c>
      <c r="G78" s="172">
        <v>159861</v>
      </c>
      <c r="H78" s="172">
        <v>640179</v>
      </c>
      <c r="I78" s="171">
        <v>1122.4000000000001</v>
      </c>
      <c r="K78" s="172">
        <v>460119</v>
      </c>
      <c r="R78" s="161"/>
      <c r="S78" s="161"/>
      <c r="T78" s="161"/>
      <c r="U78" s="172"/>
      <c r="V78" s="172"/>
      <c r="W78" s="172"/>
      <c r="X78" s="172"/>
      <c r="Y78" s="172"/>
      <c r="Z78" s="172"/>
      <c r="AA78" s="172"/>
      <c r="AB78" s="172"/>
      <c r="AC78" s="172"/>
      <c r="AD78" s="172"/>
      <c r="AE78" s="172"/>
      <c r="AF78" s="172"/>
      <c r="AG78" s="172"/>
      <c r="AH78" s="172"/>
    </row>
    <row r="79" spans="3:34" s="171" customFormat="1" hidden="1">
      <c r="C79" s="1144"/>
      <c r="D79" s="172" t="str">
        <f>IF(Indice_index!$Z$1=1,"junho","June")</f>
        <v>junho</v>
      </c>
      <c r="E79" s="172">
        <v>407346</v>
      </c>
      <c r="F79" s="172">
        <v>73104</v>
      </c>
      <c r="G79" s="172">
        <v>160094</v>
      </c>
      <c r="H79" s="172">
        <v>640544</v>
      </c>
      <c r="I79" s="171">
        <v>1121.5999999999999</v>
      </c>
      <c r="K79" s="172">
        <v>459273</v>
      </c>
      <c r="R79" s="161"/>
      <c r="S79" s="161"/>
      <c r="T79" s="161"/>
      <c r="U79" s="172"/>
      <c r="V79" s="172"/>
      <c r="W79" s="172"/>
      <c r="X79" s="172"/>
      <c r="Y79" s="172"/>
      <c r="Z79" s="172"/>
      <c r="AA79" s="172"/>
      <c r="AB79" s="172"/>
      <c r="AC79" s="172"/>
      <c r="AD79" s="172"/>
      <c r="AE79" s="172"/>
      <c r="AF79" s="172"/>
      <c r="AG79" s="172"/>
      <c r="AH79" s="172"/>
    </row>
    <row r="80" spans="3:34" hidden="1">
      <c r="C80" s="1144"/>
      <c r="D80" s="172" t="str">
        <f>IF(Indice_index!$Z$1=1,"julho","July")</f>
        <v>julho</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144"/>
      <c r="D81" s="172" t="str">
        <f>IF(Indice_index!$Z$1=1,"agosto","August")</f>
        <v>agosto</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144"/>
      <c r="D82" s="172" t="str">
        <f>IF(Indice_index!$Z$1=1,"setembro","September")</f>
        <v>setembro</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144"/>
      <c r="D83" s="172" t="str">
        <f>IF(Indice_index!$Z$1=1,"outubro","October")</f>
        <v>outubro</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144"/>
      <c r="D84" s="172" t="str">
        <f>IF(Indice_index!$Z$1=1,"novembro","November")</f>
        <v>novembro</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144"/>
      <c r="D85" s="172" t="str">
        <f>IF(Indice_index!$Z$1=1,"dezembro","December")</f>
        <v>dezembro</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145">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144"/>
      <c r="D87" s="172" t="str">
        <f>IF(Indice_index!$Z$1=1,"janeiro","January")</f>
        <v>janeiro</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144"/>
      <c r="D88" s="172" t="str">
        <f>IF(Indice_index!$Z$1=1,"fevereiro","February")</f>
        <v>fevereiro</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144"/>
      <c r="D89" s="172" t="str">
        <f>IF(Indice_index!$Z$1=1,"março","March")</f>
        <v>março</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144"/>
      <c r="D90" s="172" t="str">
        <f>IF(Indice_index!$Z$1=1,"abril","April")</f>
        <v>abril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144"/>
      <c r="D91" s="172" t="str">
        <f>IF(Indice_index!$Z$1=1,"maio","May")</f>
        <v>maio</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144"/>
      <c r="D92" s="172" t="str">
        <f>IF(Indice_index!$Z$1=1,"junho","June")</f>
        <v>junho</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144"/>
      <c r="D93" s="172" t="str">
        <f>IF(Indice_index!$Z$1=1,"julho","July")</f>
        <v>julho</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144"/>
      <c r="D94" s="172" t="str">
        <f>IF(Indice_index!$Z$1=1,"agosto","August")</f>
        <v>agosto</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144"/>
      <c r="D95" s="172" t="str">
        <f>IF(Indice_index!$Z$1=1,"setembro","September")</f>
        <v>setembro</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144"/>
      <c r="D96" s="172" t="str">
        <f>IF(Indice_index!$Z$1=1,"outubro","October")</f>
        <v>outubro</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144"/>
      <c r="D97" s="172" t="str">
        <f>IF(Indice_index!$Z$1=1,"novembro","November")</f>
        <v>novembro</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146"/>
      <c r="D98" s="172" t="str">
        <f>IF(Indice_index!$Z$1=1,"dezembro","December")</f>
        <v>dezembro</v>
      </c>
      <c r="E98" s="172">
        <v>407476</v>
      </c>
      <c r="F98" s="172">
        <v>71656</v>
      </c>
      <c r="G98" s="172">
        <v>163168</v>
      </c>
      <c r="H98" s="172">
        <v>642300</v>
      </c>
      <c r="I98" s="171">
        <v>1119.8</v>
      </c>
      <c r="J98" s="172"/>
      <c r="K98" s="172">
        <v>443528</v>
      </c>
      <c r="M98" s="232"/>
      <c r="N98" s="232"/>
      <c r="O98" s="232"/>
      <c r="P98" s="232"/>
      <c r="Q98" s="232"/>
      <c r="R98" s="232"/>
      <c r="S98" s="232"/>
      <c r="T98" s="161"/>
      <c r="U98" s="172"/>
      <c r="V98" s="172"/>
      <c r="W98" s="172"/>
      <c r="X98" s="172"/>
      <c r="Y98" s="172"/>
      <c r="Z98" s="172"/>
      <c r="AA98" s="172"/>
      <c r="AB98" s="172"/>
      <c r="AC98" s="172"/>
      <c r="AD98" s="172"/>
      <c r="AE98" s="172"/>
      <c r="AF98" s="172"/>
      <c r="AG98" s="172"/>
      <c r="AH98" s="172"/>
    </row>
    <row r="99" spans="3:34" ht="15" customHeight="1">
      <c r="C99" s="1145">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144"/>
      <c r="D100" s="172" t="str">
        <f>IF(Indice_index!$Z$1=1,"janeiro","January")</f>
        <v>janeiro</v>
      </c>
      <c r="E100" s="1147">
        <v>407457</v>
      </c>
      <c r="F100" s="1147">
        <v>71632</v>
      </c>
      <c r="G100" s="1147">
        <v>163301</v>
      </c>
      <c r="H100" s="1147">
        <v>642390</v>
      </c>
      <c r="I100" s="1148">
        <v>1144.9000000000001</v>
      </c>
      <c r="J100" s="1148"/>
      <c r="K100" s="1147">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144"/>
      <c r="D101" s="172" t="str">
        <f>IF(Indice_index!$Z$1=1,"fevereiro","February")</f>
        <v>fevereiro</v>
      </c>
      <c r="E101" s="1147">
        <v>407174</v>
      </c>
      <c r="F101" s="1147">
        <v>71523</v>
      </c>
      <c r="G101" s="1147">
        <v>163477</v>
      </c>
      <c r="H101" s="1147">
        <v>642174</v>
      </c>
      <c r="I101" s="1148">
        <v>1120.0999999999999</v>
      </c>
      <c r="J101" s="1148"/>
      <c r="K101" s="1147">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144"/>
      <c r="D102" s="172" t="str">
        <f>IF(Indice_index!$Z$1=1,"março","March")</f>
        <v>março</v>
      </c>
      <c r="E102" s="1147">
        <v>406468</v>
      </c>
      <c r="F102" s="1147">
        <v>71486</v>
      </c>
      <c r="G102" s="1147">
        <v>163448</v>
      </c>
      <c r="H102" s="1147">
        <v>641402</v>
      </c>
      <c r="I102" s="1148">
        <v>1108.9000000000001</v>
      </c>
      <c r="J102" s="1148"/>
      <c r="K102" s="1147">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144"/>
      <c r="D103" s="172" t="str">
        <f>IF(Indice_index!$Z$1=1,"abril","April")</f>
        <v>abril</v>
      </c>
      <c r="E103" s="1147">
        <v>406554</v>
      </c>
      <c r="F103" s="1147">
        <v>71547</v>
      </c>
      <c r="G103" s="1147">
        <v>163401</v>
      </c>
      <c r="H103" s="1147">
        <v>641502</v>
      </c>
      <c r="I103" s="1148">
        <v>1115.8</v>
      </c>
      <c r="J103" s="1148"/>
      <c r="K103" s="1147">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144"/>
      <c r="D104" s="172" t="str">
        <f>IF(Indice_index!$Z$1=1,"maio","May")</f>
        <v>maio</v>
      </c>
      <c r="E104" s="1147">
        <v>406842</v>
      </c>
      <c r="F104" s="1147">
        <v>71546</v>
      </c>
      <c r="G104" s="1147">
        <v>163306</v>
      </c>
      <c r="H104" s="1147">
        <v>641694</v>
      </c>
      <c r="I104" s="1148">
        <v>1112.3</v>
      </c>
      <c r="J104" s="1148"/>
      <c r="K104" s="1147">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144"/>
      <c r="D105" s="172" t="str">
        <f>IF(Indice_index!$Z$1=1,"junho","June")</f>
        <v>junho</v>
      </c>
      <c r="E105" s="1147">
        <v>406804</v>
      </c>
      <c r="F105" s="1147">
        <v>71532</v>
      </c>
      <c r="G105" s="1147">
        <v>163596</v>
      </c>
      <c r="H105" s="1147">
        <v>641932</v>
      </c>
      <c r="I105" s="1148">
        <v>1113.0999999999999</v>
      </c>
      <c r="J105" s="1148"/>
      <c r="K105" s="1147">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144"/>
      <c r="D106" s="172" t="str">
        <f>IF(Indice_index!$Z$1=1,"julho","July")</f>
        <v>julho</v>
      </c>
      <c r="E106" s="1147">
        <v>407083</v>
      </c>
      <c r="F106" s="1147">
        <v>71510</v>
      </c>
      <c r="G106" s="1147">
        <v>163772</v>
      </c>
      <c r="H106" s="1147">
        <v>642365</v>
      </c>
      <c r="I106" s="1148">
        <v>2173.6</v>
      </c>
      <c r="J106" s="1148"/>
      <c r="K106" s="1147">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144"/>
      <c r="D107" s="172" t="str">
        <f>IF(Indice_index!$Z$1=1,"agosto","August")</f>
        <v>agosto</v>
      </c>
      <c r="E107" s="1147">
        <v>407210</v>
      </c>
      <c r="F107" s="1147">
        <v>71452</v>
      </c>
      <c r="G107" s="1147">
        <v>164027</v>
      </c>
      <c r="H107" s="1147">
        <v>642689</v>
      </c>
      <c r="I107" s="1148">
        <v>1132.9000000000001</v>
      </c>
      <c r="J107" s="1148"/>
      <c r="K107" s="1147">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144"/>
      <c r="D108" s="172" t="str">
        <f>IF(Indice_index!$Z$1=1,"setembro","September")</f>
        <v>setembro</v>
      </c>
      <c r="E108" s="1147">
        <v>407461</v>
      </c>
      <c r="F108" s="1147">
        <v>71450</v>
      </c>
      <c r="G108" s="1147">
        <v>164231</v>
      </c>
      <c r="H108" s="1147">
        <v>643142</v>
      </c>
      <c r="I108" s="1148">
        <v>1113.5999999999999</v>
      </c>
      <c r="J108" s="1148"/>
      <c r="K108" s="1147">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144"/>
      <c r="D109" s="172" t="str">
        <f>IF(Indice_index!$Z$1=1,"outubro","October")</f>
        <v>outubro</v>
      </c>
      <c r="E109" s="1149">
        <v>407389</v>
      </c>
      <c r="F109" s="1149">
        <v>71309</v>
      </c>
      <c r="G109" s="1149">
        <v>164320</v>
      </c>
      <c r="H109" s="1149">
        <v>643018</v>
      </c>
      <c r="I109" s="1150">
        <v>1111.7</v>
      </c>
      <c r="J109" s="1150"/>
      <c r="K109" s="1149">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144"/>
      <c r="D110" s="172" t="str">
        <f>IF(Indice_index!$Z$1=1,"novembro","November")</f>
        <v>novembro</v>
      </c>
      <c r="E110" s="1151">
        <v>408592</v>
      </c>
      <c r="F110" s="1151">
        <v>71287</v>
      </c>
      <c r="G110" s="1151">
        <v>164693</v>
      </c>
      <c r="H110" s="1151">
        <v>644572</v>
      </c>
      <c r="I110" s="1152">
        <v>2221.3000000000002</v>
      </c>
      <c r="J110" s="1152"/>
      <c r="K110" s="1151">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146"/>
      <c r="D111" s="172" t="str">
        <f>IF(Indice_index!$Z$1=1,"dezembro","December")</f>
        <v>dezembro</v>
      </c>
      <c r="E111" s="172">
        <v>409789</v>
      </c>
      <c r="F111" s="172">
        <v>71225</v>
      </c>
      <c r="G111" s="172">
        <v>164514</v>
      </c>
      <c r="H111" s="172">
        <v>645528</v>
      </c>
      <c r="I111" s="171">
        <v>1129.8</v>
      </c>
      <c r="J111" s="172"/>
      <c r="K111" s="172">
        <v>431132</v>
      </c>
      <c r="M111" s="227"/>
      <c r="N111" s="227"/>
      <c r="O111" s="227"/>
      <c r="P111" s="227"/>
      <c r="Q111" s="227"/>
      <c r="R111" s="227"/>
      <c r="S111" s="227"/>
      <c r="T111" s="161"/>
      <c r="U111" s="172"/>
      <c r="V111" s="172"/>
      <c r="W111" s="172"/>
      <c r="X111" s="172"/>
      <c r="Y111" s="172"/>
      <c r="Z111" s="172"/>
      <c r="AA111" s="172"/>
      <c r="AB111" s="172"/>
      <c r="AC111" s="172"/>
      <c r="AD111" s="172"/>
      <c r="AE111" s="172"/>
      <c r="AF111" s="172"/>
      <c r="AG111" s="172"/>
      <c r="AH111" s="172"/>
    </row>
    <row r="112" spans="3:34" ht="15" customHeight="1">
      <c r="C112" s="1145">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144"/>
      <c r="D113" s="172" t="str">
        <f>IF(Indice_index!$Z$1=1,"janeiro","January")</f>
        <v>janeiro</v>
      </c>
      <c r="E113" s="1147">
        <v>410101</v>
      </c>
      <c r="F113" s="1147">
        <v>71061</v>
      </c>
      <c r="G113" s="1147">
        <v>165420</v>
      </c>
      <c r="H113" s="1147">
        <v>646582</v>
      </c>
      <c r="I113" s="1148">
        <v>1146.5</v>
      </c>
      <c r="J113" s="1148"/>
      <c r="K113" s="1147">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144"/>
      <c r="D114" s="172" t="str">
        <f>IF(Indice_index!$Z$1=1,"fevereiro","February")</f>
        <v>fevereiro</v>
      </c>
      <c r="E114" s="1147">
        <v>410094</v>
      </c>
      <c r="F114" s="1147">
        <v>70877</v>
      </c>
      <c r="G114" s="1147">
        <v>165251</v>
      </c>
      <c r="H114" s="1147">
        <v>646222</v>
      </c>
      <c r="I114" s="1148">
        <v>1125.4000000000001</v>
      </c>
      <c r="J114" s="1148"/>
      <c r="K114" s="1147">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144"/>
      <c r="D115" s="172" t="str">
        <f>IF(Indice_index!$Z$1=1,"março","March")</f>
        <v>março</v>
      </c>
      <c r="E115" s="1147">
        <v>410087</v>
      </c>
      <c r="F115" s="1147">
        <v>70899</v>
      </c>
      <c r="G115" s="1147">
        <v>165182</v>
      </c>
      <c r="H115" s="1147">
        <v>646168</v>
      </c>
      <c r="I115" s="1148">
        <v>1121.3</v>
      </c>
      <c r="J115" s="1148"/>
      <c r="K115" s="1147">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144"/>
      <c r="D116" s="172" t="str">
        <f>IF(Indice_index!$Z$1=1,"abril","April")</f>
        <v>abril</v>
      </c>
      <c r="E116" s="1147">
        <v>410375</v>
      </c>
      <c r="F116" s="1147">
        <v>70760</v>
      </c>
      <c r="G116" s="1147">
        <v>165317</v>
      </c>
      <c r="H116" s="1147">
        <v>646452</v>
      </c>
      <c r="I116" s="1148">
        <v>1121.3</v>
      </c>
      <c r="J116" s="1148"/>
      <c r="K116" s="1147">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144"/>
      <c r="D117" s="172" t="str">
        <f>IF(Indice_index!$Z$1=1,"maio","May")</f>
        <v>maio</v>
      </c>
      <c r="E117" s="1153">
        <v>410802</v>
      </c>
      <c r="F117" s="1153">
        <v>70571</v>
      </c>
      <c r="G117" s="1153">
        <v>165247</v>
      </c>
      <c r="H117" s="1153">
        <v>646620</v>
      </c>
      <c r="I117" s="1154">
        <v>1119.5999999999999</v>
      </c>
      <c r="J117" s="1154"/>
      <c r="K117" s="1153">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144"/>
      <c r="D118" s="172" t="str">
        <f>IF(Indice_index!$Z$1=1,"junho","June")</f>
        <v>junho</v>
      </c>
      <c r="E118" s="1147">
        <v>411240</v>
      </c>
      <c r="F118" s="1147">
        <v>70372</v>
      </c>
      <c r="G118" s="1147">
        <v>165253</v>
      </c>
      <c r="H118" s="1147">
        <v>646865</v>
      </c>
      <c r="I118" s="1148">
        <v>1119.5999999999999</v>
      </c>
      <c r="J118" s="1148"/>
      <c r="K118" s="1147">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144"/>
      <c r="D119" s="172" t="str">
        <f>IF(Indice_index!$Z$1=1,"julho","July")</f>
        <v>julho</v>
      </c>
      <c r="E119" s="1147">
        <v>411780</v>
      </c>
      <c r="F119" s="1147">
        <v>70237</v>
      </c>
      <c r="G119" s="1147">
        <v>165534</v>
      </c>
      <c r="H119" s="1147">
        <v>647551</v>
      </c>
      <c r="I119" s="1148">
        <v>2184.8000000000002</v>
      </c>
      <c r="J119" s="1148"/>
      <c r="K119" s="1147">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144"/>
      <c r="D120" s="172" t="str">
        <f>IF(Indice_index!$Z$1=1,"agosto","August")</f>
        <v>agosto</v>
      </c>
      <c r="E120" s="1147">
        <v>412314</v>
      </c>
      <c r="F120" s="1147">
        <v>70041</v>
      </c>
      <c r="G120" s="1147">
        <v>165867</v>
      </c>
      <c r="H120" s="1147">
        <v>648222</v>
      </c>
      <c r="I120" s="1148">
        <v>1124.2</v>
      </c>
      <c r="J120" s="1148"/>
      <c r="K120" s="1147">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144"/>
      <c r="D121" s="172" t="str">
        <f>IF(Indice_index!$Z$1=1,"setembro","September")</f>
        <v>setembro</v>
      </c>
      <c r="E121" s="1147">
        <v>412631</v>
      </c>
      <c r="F121" s="1147">
        <v>69806</v>
      </c>
      <c r="G121" s="1147">
        <v>165824</v>
      </c>
      <c r="H121" s="1147">
        <v>648261</v>
      </c>
      <c r="I121" s="1148">
        <v>1124.9000000000001</v>
      </c>
      <c r="J121" s="1148"/>
      <c r="K121" s="1147">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144"/>
      <c r="D122" s="172" t="str">
        <f>IF(Indice_index!$Z$1=1,"outubro","October")</f>
        <v>outubro</v>
      </c>
      <c r="E122" s="1155">
        <v>412895</v>
      </c>
      <c r="F122" s="1155">
        <v>69624</v>
      </c>
      <c r="G122" s="1155">
        <v>165869</v>
      </c>
      <c r="H122" s="1155">
        <v>648388</v>
      </c>
      <c r="I122" s="1156">
        <v>1119.8</v>
      </c>
      <c r="J122" s="1150"/>
      <c r="K122" s="1157">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144"/>
      <c r="D123" s="172" t="str">
        <f>IF(Indice_index!$Z$1=1,"novembro","November")</f>
        <v>novembro</v>
      </c>
      <c r="E123" s="1158">
        <v>413065</v>
      </c>
      <c r="F123" s="1158">
        <v>69489</v>
      </c>
      <c r="G123" s="1158">
        <v>166049</v>
      </c>
      <c r="H123" s="1158">
        <v>648603</v>
      </c>
      <c r="I123" s="1159">
        <v>2220.1999999999998</v>
      </c>
      <c r="J123" s="1159"/>
      <c r="K123" s="1158">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146"/>
      <c r="D124" s="172" t="str">
        <f>IF(Indice_index!$Z$1=1,"dezembro","December")</f>
        <v>dezembro</v>
      </c>
      <c r="E124" s="1160">
        <v>413108</v>
      </c>
      <c r="F124" s="1160">
        <v>69321</v>
      </c>
      <c r="G124" s="1160">
        <v>166218</v>
      </c>
      <c r="H124" s="1160">
        <v>648647</v>
      </c>
      <c r="I124" s="1161">
        <v>1140.3</v>
      </c>
      <c r="J124" s="1161"/>
      <c r="K124" s="1160">
        <v>416874</v>
      </c>
      <c r="M124" s="227"/>
      <c r="N124" s="227"/>
      <c r="O124" s="227"/>
      <c r="P124" s="227"/>
      <c r="Q124" s="227"/>
      <c r="R124" s="227"/>
      <c r="S124" s="227"/>
      <c r="T124" s="161"/>
      <c r="U124" s="172"/>
      <c r="V124" s="172"/>
      <c r="W124" s="172"/>
      <c r="X124" s="172"/>
      <c r="Y124" s="172"/>
      <c r="Z124" s="172"/>
      <c r="AA124" s="172"/>
      <c r="AB124" s="172"/>
      <c r="AC124" s="172"/>
      <c r="AD124" s="172"/>
      <c r="AE124" s="172"/>
      <c r="AF124" s="172"/>
      <c r="AG124" s="172"/>
      <c r="AH124" s="172"/>
    </row>
    <row r="125" spans="3:34" ht="15" customHeight="1">
      <c r="C125" s="1145"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144"/>
      <c r="D126" s="172" t="str">
        <f>IF(Indice_index!$Z$1=1,"janeiro","January")</f>
        <v>janeiro</v>
      </c>
      <c r="E126" s="1147">
        <v>413072</v>
      </c>
      <c r="F126" s="1147">
        <v>69149</v>
      </c>
      <c r="G126" s="1147">
        <v>166134</v>
      </c>
      <c r="H126" s="1147">
        <v>648355</v>
      </c>
      <c r="I126" s="1148">
        <v>1156.8</v>
      </c>
      <c r="J126" s="1148"/>
      <c r="K126" s="1147">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144"/>
      <c r="D127" s="172" t="str">
        <f>IF(Indice_index!$Z$1=1,"fevereiro","February")</f>
        <v>fevereiro</v>
      </c>
      <c r="E127" s="1147">
        <v>412612</v>
      </c>
      <c r="F127" s="1147">
        <v>68915</v>
      </c>
      <c r="G127" s="1147">
        <v>165958</v>
      </c>
      <c r="H127" s="1147">
        <v>647485</v>
      </c>
      <c r="I127" s="1148">
        <v>1128.3</v>
      </c>
      <c r="J127" s="1148"/>
      <c r="K127" s="1147">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144"/>
      <c r="D128" s="172" t="str">
        <f>IF(Indice_index!$Z$1=1,"março","March")</f>
        <v>março</v>
      </c>
      <c r="E128" s="1162">
        <v>411718</v>
      </c>
      <c r="F128" s="1162">
        <v>68662</v>
      </c>
      <c r="G128" s="1162">
        <v>165536</v>
      </c>
      <c r="H128" s="1162">
        <v>645916</v>
      </c>
      <c r="I128" s="1163">
        <v>1128.8</v>
      </c>
      <c r="J128" s="1163"/>
      <c r="K128" s="1162">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144"/>
      <c r="D129" s="172" t="str">
        <f>IF(Indice_index!$Z$1=1,"abril","April")</f>
        <v>abril</v>
      </c>
      <c r="E129" s="1147">
        <v>411435</v>
      </c>
      <c r="F129" s="1147">
        <v>68332</v>
      </c>
      <c r="G129" s="1147">
        <v>165633</v>
      </c>
      <c r="H129" s="1147">
        <v>645400</v>
      </c>
      <c r="I129" s="1148">
        <v>1133.4000000000001</v>
      </c>
      <c r="J129" s="1148"/>
      <c r="K129" s="1147">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144"/>
      <c r="D130" s="172" t="str">
        <f>IF(Indice_index!$Z$1=1,"maio","May")</f>
        <v>maio</v>
      </c>
      <c r="E130" s="1164">
        <v>411709</v>
      </c>
      <c r="F130" s="1164">
        <v>68218</v>
      </c>
      <c r="G130" s="1164">
        <v>165542</v>
      </c>
      <c r="H130" s="1164">
        <v>645469</v>
      </c>
      <c r="I130" s="1165">
        <v>1132.5</v>
      </c>
      <c r="J130" s="1165"/>
      <c r="K130" s="1164">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144"/>
      <c r="D131" s="172" t="str">
        <f>IF(Indice_index!$Z$1=1,"junho","June")</f>
        <v>junho</v>
      </c>
      <c r="E131" s="1166">
        <v>412113</v>
      </c>
      <c r="F131" s="1166">
        <v>68103</v>
      </c>
      <c r="G131" s="1166">
        <v>164864</v>
      </c>
      <c r="H131" s="1166">
        <v>645080</v>
      </c>
      <c r="I131" s="1167">
        <v>1132.2</v>
      </c>
      <c r="J131" s="1167"/>
      <c r="K131" s="1166">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144"/>
      <c r="D132" s="172" t="str">
        <f>IF(Indice_index!$Z$1=1,"julho","July")</f>
        <v>julho</v>
      </c>
      <c r="E132" s="1168">
        <v>412768</v>
      </c>
      <c r="F132" s="1168">
        <v>67998</v>
      </c>
      <c r="G132" s="1168">
        <v>165065</v>
      </c>
      <c r="H132" s="1168">
        <v>645831</v>
      </c>
      <c r="I132" s="1169">
        <v>2207.4</v>
      </c>
      <c r="J132" s="1169"/>
      <c r="K132" s="1168">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144"/>
      <c r="D133" s="172" t="str">
        <f>IF(Indice_index!$Z$1=1,"agosto","August")</f>
        <v>agosto</v>
      </c>
      <c r="E133" s="1170">
        <v>413403</v>
      </c>
      <c r="F133" s="1170">
        <v>67917</v>
      </c>
      <c r="G133" s="1170">
        <v>165331</v>
      </c>
      <c r="H133" s="1170">
        <v>646651</v>
      </c>
      <c r="I133" s="1171">
        <v>1135.3</v>
      </c>
      <c r="J133" s="1171"/>
      <c r="K133" s="1170">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144"/>
      <c r="D134" s="172" t="str">
        <f>IF(Indice_index!$Z$1=1,"setembro","September")</f>
        <v>setembro</v>
      </c>
      <c r="E134" s="1172">
        <v>413684</v>
      </c>
      <c r="F134" s="1172">
        <v>67794</v>
      </c>
      <c r="G134" s="1172">
        <v>165391</v>
      </c>
      <c r="H134" s="1172">
        <v>646869</v>
      </c>
      <c r="I134" s="1173">
        <v>1132.3</v>
      </c>
      <c r="J134" s="1173"/>
      <c r="K134" s="1172">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144"/>
      <c r="D135" s="172" t="str">
        <f>IF(Indice_index!$Z$1=1,"outubro","October")</f>
        <v>outubro</v>
      </c>
      <c r="E135" s="1155">
        <v>413984</v>
      </c>
      <c r="F135" s="1155">
        <v>67651</v>
      </c>
      <c r="G135" s="1155">
        <v>165294</v>
      </c>
      <c r="H135" s="1155">
        <v>646929</v>
      </c>
      <c r="I135" s="1156">
        <v>1133.2</v>
      </c>
      <c r="J135" s="1150"/>
      <c r="K135" s="1157">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144"/>
      <c r="D136" s="172" t="str">
        <f>IF(Indice_index!$Z$1=1,"novembro","November")</f>
        <v>novembro</v>
      </c>
      <c r="E136" s="1158">
        <v>414230</v>
      </c>
      <c r="F136" s="1158">
        <v>67525</v>
      </c>
      <c r="G136" s="1158">
        <v>165434</v>
      </c>
      <c r="H136" s="1158">
        <v>647189</v>
      </c>
      <c r="I136" s="1159">
        <v>2243</v>
      </c>
      <c r="J136" s="1159"/>
      <c r="K136" s="1158">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146"/>
      <c r="D137" s="172" t="str">
        <f>IF(Indice_index!$Z$1=1,"dezembro","December")</f>
        <v>dezembro</v>
      </c>
      <c r="E137" s="1174">
        <v>414572</v>
      </c>
      <c r="F137" s="1174">
        <v>67370</v>
      </c>
      <c r="G137" s="1174">
        <v>165541</v>
      </c>
      <c r="H137" s="1174">
        <v>647483</v>
      </c>
      <c r="I137" s="1175">
        <v>1151.7</v>
      </c>
      <c r="J137" s="1175"/>
      <c r="K137" s="1174">
        <v>402099</v>
      </c>
      <c r="M137" s="227"/>
      <c r="N137" s="227"/>
      <c r="O137" s="227"/>
      <c r="P137" s="227"/>
      <c r="Q137" s="227"/>
      <c r="R137" s="227"/>
      <c r="S137" s="227"/>
      <c r="T137" s="161"/>
      <c r="U137" s="172"/>
      <c r="V137" s="172"/>
      <c r="W137" s="172"/>
      <c r="X137" s="172"/>
      <c r="Y137" s="172"/>
      <c r="Z137" s="172"/>
      <c r="AA137" s="172"/>
      <c r="AB137" s="172"/>
      <c r="AC137" s="172"/>
      <c r="AD137" s="172"/>
      <c r="AE137" s="172"/>
      <c r="AF137" s="172"/>
      <c r="AG137" s="172"/>
      <c r="AH137" s="172"/>
    </row>
    <row r="138" spans="3:34" ht="15" customHeight="1">
      <c r="C138" s="1145" t="s">
        <v>74</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144"/>
      <c r="D139" s="172" t="str">
        <f>IF(Indice_index!$Z$1=1,"janeiro","January")</f>
        <v>janeiro</v>
      </c>
      <c r="E139" s="1176">
        <v>414962</v>
      </c>
      <c r="F139" s="1176">
        <v>67188</v>
      </c>
      <c r="G139" s="1176">
        <v>165355</v>
      </c>
      <c r="H139" s="1176">
        <v>647505</v>
      </c>
      <c r="I139" s="1177">
        <v>1175.9000000000001</v>
      </c>
      <c r="J139" s="1177"/>
      <c r="K139" s="1176">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144"/>
      <c r="D140" s="172" t="str">
        <f>IF(Indice_index!$Z$1=1,"fevereiro","February")</f>
        <v>fevereiro</v>
      </c>
      <c r="E140" s="1178">
        <v>415095</v>
      </c>
      <c r="F140" s="1178">
        <v>66947</v>
      </c>
      <c r="G140" s="1178">
        <v>165213</v>
      </c>
      <c r="H140" s="1179">
        <v>647255</v>
      </c>
      <c r="I140" s="1180">
        <v>1146.3</v>
      </c>
      <c r="J140" s="1180"/>
      <c r="K140" s="1178">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144"/>
      <c r="D141" s="172" t="str">
        <f>IF(Indice_index!$Z$1=1,"março","March")</f>
        <v>março</v>
      </c>
      <c r="E141" s="1181">
        <v>415095</v>
      </c>
      <c r="F141" s="1181">
        <v>66747</v>
      </c>
      <c r="G141" s="1181">
        <v>165126</v>
      </c>
      <c r="H141" s="1181">
        <v>646968</v>
      </c>
      <c r="I141" s="1182">
        <v>1147.5999999999999</v>
      </c>
      <c r="J141" s="1182"/>
      <c r="K141" s="1181">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144"/>
      <c r="D142" s="172" t="str">
        <f>IF(Indice_index!$Z$1=1,"abril","April")</f>
        <v>abril</v>
      </c>
      <c r="E142" s="1147">
        <v>415264</v>
      </c>
      <c r="F142" s="1147">
        <v>66550</v>
      </c>
      <c r="G142" s="1147">
        <v>165266</v>
      </c>
      <c r="H142" s="1147">
        <v>647080</v>
      </c>
      <c r="I142" s="1148">
        <v>1150.2</v>
      </c>
      <c r="J142" s="1148"/>
      <c r="K142" s="1147">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144"/>
      <c r="D143" s="172" t="str">
        <f>IF(Indice_index!$Z$1=1,"maio","May")</f>
        <v>maio</v>
      </c>
      <c r="E143" s="1164">
        <v>415728</v>
      </c>
      <c r="F143" s="1164">
        <v>66359</v>
      </c>
      <c r="G143" s="1164">
        <v>164872</v>
      </c>
      <c r="H143" s="1164">
        <v>646959</v>
      </c>
      <c r="I143" s="1165">
        <v>1139.9000000000001</v>
      </c>
      <c r="J143" s="1165"/>
      <c r="K143" s="1164">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144"/>
      <c r="D144" s="172" t="str">
        <f>IF(Indice_index!$Z$1=1,"junho","June")</f>
        <v>junho</v>
      </c>
      <c r="E144" s="1166">
        <v>416271</v>
      </c>
      <c r="F144" s="1166">
        <v>66188</v>
      </c>
      <c r="G144" s="1166">
        <v>164928</v>
      </c>
      <c r="H144" s="1166">
        <v>647387</v>
      </c>
      <c r="I144" s="1167">
        <v>1150.7</v>
      </c>
      <c r="J144" s="1167"/>
      <c r="K144" s="1166">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144"/>
      <c r="D145" s="172" t="str">
        <f>IF(Indice_index!$Z$1=1,"julho","July")</f>
        <v>julho</v>
      </c>
      <c r="E145" s="1168">
        <v>416361</v>
      </c>
      <c r="F145" s="1168">
        <v>65989</v>
      </c>
      <c r="G145" s="1168">
        <v>164878</v>
      </c>
      <c r="H145" s="1168">
        <v>647228</v>
      </c>
      <c r="I145" s="1169">
        <v>2251</v>
      </c>
      <c r="J145" s="1169"/>
      <c r="K145" s="1168">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144"/>
      <c r="D146" s="172" t="str">
        <f>IF(Indice_index!$Z$1=1,"agosto","August")</f>
        <v>agosto</v>
      </c>
      <c r="E146" s="1170">
        <v>416437</v>
      </c>
      <c r="F146" s="1170">
        <v>65794</v>
      </c>
      <c r="G146" s="1170">
        <v>164898</v>
      </c>
      <c r="H146" s="1170">
        <v>647129</v>
      </c>
      <c r="I146" s="1171">
        <v>1155.8</v>
      </c>
      <c r="J146" s="1171"/>
      <c r="K146" s="1170">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144"/>
      <c r="D147" s="172" t="str">
        <f>IF(Indice_index!$Z$1=1,"setembro","September")</f>
        <v>setembro</v>
      </c>
      <c r="E147" s="1284">
        <v>416735</v>
      </c>
      <c r="F147" s="1284">
        <v>65620</v>
      </c>
      <c r="G147" s="1284">
        <v>164979</v>
      </c>
      <c r="H147" s="1284">
        <v>647334</v>
      </c>
      <c r="I147" s="1283">
        <v>1155</v>
      </c>
      <c r="J147" s="1283"/>
      <c r="K147" s="1285">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5" hidden="1" customHeight="1">
      <c r="C148" s="1144"/>
      <c r="D148" s="172" t="str">
        <f>IF(Indice_index!$Z$1=1,"outubro","October")</f>
        <v>outubro</v>
      </c>
      <c r="E148" s="1155"/>
      <c r="F148" s="1155"/>
      <c r="G148" s="1155"/>
      <c r="H148" s="1155"/>
      <c r="I148" s="1156"/>
      <c r="J148" s="1150"/>
      <c r="K148" s="1157"/>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5" hidden="1" customHeight="1">
      <c r="C149" s="1144"/>
      <c r="D149" s="172" t="str">
        <f>IF(Indice_index!$Z$1=1,"novembro","November")</f>
        <v>novembro</v>
      </c>
      <c r="E149" s="1158"/>
      <c r="F149" s="1158"/>
      <c r="G149" s="1158"/>
      <c r="H149" s="1158"/>
      <c r="I149" s="1159"/>
      <c r="J149" s="1159"/>
      <c r="K149" s="1158"/>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hidden="1" customHeight="1">
      <c r="C150" s="1146"/>
      <c r="D150" s="172" t="str">
        <f>IF(Indice_index!$Z$1=1,"dezembro","December")</f>
        <v>dezembro</v>
      </c>
      <c r="E150" s="1174"/>
      <c r="F150" s="1174"/>
      <c r="G150" s="1174"/>
      <c r="H150" s="1174"/>
      <c r="I150" s="1175"/>
      <c r="J150" s="1175"/>
      <c r="K150" s="1174"/>
      <c r="M150" s="227"/>
      <c r="N150" s="227"/>
      <c r="O150" s="227"/>
      <c r="P150" s="227"/>
      <c r="Q150" s="227"/>
      <c r="R150" s="227"/>
      <c r="S150" s="227"/>
      <c r="T150" s="161"/>
      <c r="U150" s="172"/>
      <c r="V150" s="172"/>
      <c r="W150" s="172"/>
      <c r="X150" s="172"/>
      <c r="Y150" s="172"/>
      <c r="Z150" s="172"/>
      <c r="AA150" s="172"/>
      <c r="AB150" s="172"/>
      <c r="AC150" s="172"/>
      <c r="AD150" s="172"/>
      <c r="AE150" s="172"/>
      <c r="AF150" s="172"/>
      <c r="AG150" s="172"/>
      <c r="AH150" s="172"/>
    </row>
    <row r="151" spans="3:34" ht="3" customHeight="1">
      <c r="C151" s="1139"/>
      <c r="D151" s="1140"/>
      <c r="E151" s="1140"/>
      <c r="F151" s="1140"/>
      <c r="G151" s="1140"/>
      <c r="H151" s="1140"/>
      <c r="I151" s="1140"/>
      <c r="K151" s="1183"/>
      <c r="M151" s="227"/>
      <c r="N151" s="227"/>
      <c r="O151" s="227"/>
      <c r="P151" s="227"/>
      <c r="Q151" s="227"/>
      <c r="R151" s="227"/>
      <c r="S151" s="227"/>
      <c r="X151" s="229"/>
      <c r="Y151" s="229"/>
      <c r="Z151" s="229"/>
    </row>
    <row r="152" spans="3:34" ht="15" customHeight="1">
      <c r="C152" s="1146"/>
      <c r="D152" s="171"/>
      <c r="E152" s="171"/>
      <c r="F152" s="171"/>
      <c r="G152" s="171"/>
      <c r="H152" s="171"/>
      <c r="I152" s="171"/>
      <c r="K152" s="171"/>
      <c r="M152" s="227"/>
      <c r="N152" s="227"/>
      <c r="O152" s="227"/>
      <c r="P152" s="227"/>
      <c r="Q152" s="227"/>
      <c r="R152" s="227"/>
      <c r="S152" s="227"/>
      <c r="X152" s="229"/>
      <c r="Y152" s="229"/>
      <c r="Z152" s="229"/>
    </row>
    <row r="153" spans="3:34" ht="15" customHeight="1">
      <c r="C153" s="1146"/>
      <c r="D153" s="171"/>
      <c r="E153" s="171"/>
      <c r="F153" s="171"/>
      <c r="G153" s="171"/>
      <c r="H153" s="171"/>
      <c r="I153" s="171"/>
      <c r="K153" s="171"/>
      <c r="X153" s="229"/>
      <c r="Y153" s="229"/>
      <c r="Z153" s="229"/>
    </row>
    <row r="154" spans="3:34" ht="15" customHeight="1">
      <c r="C154" s="1134"/>
      <c r="D154" s="1184"/>
      <c r="E154" s="1184"/>
      <c r="F154" s="1184"/>
      <c r="G154" s="1184"/>
      <c r="H154" s="171"/>
      <c r="I154" s="171"/>
      <c r="J154" s="171"/>
      <c r="K154" s="1136" t="str">
        <f>IF(Indice_index!$Z$1=1,"Subscritores","Subscribers")</f>
        <v>Subscritores</v>
      </c>
      <c r="Q154" s="171"/>
      <c r="R154" s="171"/>
      <c r="S154" s="171"/>
      <c r="T154" s="171"/>
    </row>
    <row r="155" spans="3:34" ht="15.75" customHeight="1">
      <c r="C155" s="1185"/>
      <c r="D155" s="1186"/>
      <c r="E155" s="1770" t="str">
        <f>IF(Indice_index!$Z$1=1,"VH do número de pensionistas (%)","YOY Change Rate of the number of subscribers (%)")</f>
        <v>VH do número de pensionistas (%)</v>
      </c>
      <c r="F155" s="1766"/>
      <c r="G155" s="1766"/>
      <c r="H155" s="1771"/>
      <c r="I155" s="1767" t="str">
        <f>IF(Indice_index!$Z$1=1,"VHA Valor médio pago por pensionista","YOY Change Rate of the Average Value paid per Pensioner")</f>
        <v>VHA Valor médio pago por pensionista</v>
      </c>
      <c r="K155" s="1772" t="str">
        <f>IF(Indice_index!$Z$1=1,"VHA do Número de subscritores (%)","YOY Change Rate of the Number of Subscribers (%)")</f>
        <v>VHA do Número de subscritores (%)</v>
      </c>
      <c r="Q155" s="171"/>
      <c r="R155" s="171"/>
      <c r="S155" s="171"/>
      <c r="T155" s="171"/>
    </row>
    <row r="156" spans="3:34" ht="40.5" customHeight="1">
      <c r="C156" s="1187"/>
      <c r="D156" s="1188"/>
      <c r="E156" s="1189" t="str">
        <f>IF(Indice_index!$Z$1=1,"Velhice e Outros Motivos","Old age and other Reasons")</f>
        <v>Velhice e Outros Motivos</v>
      </c>
      <c r="F156" s="1142" t="str">
        <f>IF(Indice_index!$Z$1=1,"Invalidez","Disability")</f>
        <v>Invalidez</v>
      </c>
      <c r="G156" s="1141" t="str">
        <f>IF(Indice_index!$Z$1=1,"Sobrevivência e Outros","Survival and Others")</f>
        <v>Sobrevivência e Outros</v>
      </c>
      <c r="H156" s="1190" t="str">
        <f>IF(Indice_index!$Z$1=1,"Total de Pensionistas","Total of Pensioners")</f>
        <v>Total de Pensionistas</v>
      </c>
      <c r="I156" s="1767"/>
      <c r="K156" s="1772"/>
      <c r="Q156" s="171"/>
      <c r="R156" s="171"/>
      <c r="S156" s="171"/>
      <c r="T156" s="171"/>
    </row>
    <row r="157" spans="3:34" hidden="1">
      <c r="C157" s="1143" t="s">
        <v>10</v>
      </c>
      <c r="D157" s="646"/>
      <c r="E157" s="172"/>
      <c r="F157" s="172"/>
      <c r="G157" s="172"/>
      <c r="H157" s="172"/>
      <c r="I157" s="171"/>
      <c r="K157" s="171"/>
      <c r="Q157" s="171"/>
      <c r="R157" s="171"/>
      <c r="S157" s="171"/>
      <c r="T157" s="171"/>
    </row>
    <row r="158" spans="3:34" ht="10.5" hidden="1">
      <c r="C158" s="1143"/>
      <c r="D158" s="172" t="str">
        <f>IF(Indice_index!$Z$1=1,"janeiro","January")</f>
        <v>janeiro</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0.5" hidden="1">
      <c r="C159" s="1143"/>
      <c r="D159" s="172" t="str">
        <f>IF(Indice_index!$Z$1=1,"fevereiro","February")</f>
        <v>fevereiro</v>
      </c>
      <c r="E159" s="171">
        <v>3.3</v>
      </c>
      <c r="F159" s="171">
        <v>0.2</v>
      </c>
      <c r="G159" s="171">
        <v>1.2</v>
      </c>
      <c r="H159" s="171">
        <v>2.4</v>
      </c>
      <c r="I159" s="171">
        <v>1.6</v>
      </c>
      <c r="K159" s="171">
        <v>-4.5</v>
      </c>
      <c r="Q159" s="171"/>
      <c r="R159" s="171"/>
      <c r="S159" s="171"/>
      <c r="T159" s="171"/>
      <c r="X159" s="229"/>
      <c r="Y159" s="229"/>
      <c r="Z159" s="229"/>
    </row>
    <row r="160" spans="3:34" ht="10.5" hidden="1">
      <c r="C160" s="1143"/>
      <c r="D160" s="172" t="str">
        <f>IF(Indice_index!$Z$1=1,"março","March")</f>
        <v>março</v>
      </c>
      <c r="E160" s="171">
        <v>3.2</v>
      </c>
      <c r="F160" s="171">
        <v>0.2</v>
      </c>
      <c r="G160" s="171">
        <v>1.4</v>
      </c>
      <c r="H160" s="171">
        <v>2.4</v>
      </c>
      <c r="I160" s="171">
        <v>1.7</v>
      </c>
      <c r="K160" s="171">
        <v>-5</v>
      </c>
      <c r="Q160" s="171"/>
      <c r="R160" s="171"/>
      <c r="S160" s="171"/>
      <c r="T160" s="171"/>
      <c r="X160" s="229"/>
      <c r="Y160" s="229"/>
      <c r="Z160" s="229"/>
    </row>
    <row r="161" spans="3:26" ht="10.5" hidden="1">
      <c r="C161" s="1143"/>
      <c r="D161" s="172" t="str">
        <f>IF(Indice_index!$Z$1=1,"abril","April")</f>
        <v>abril</v>
      </c>
      <c r="E161" s="171">
        <v>3</v>
      </c>
      <c r="F161" s="171">
        <v>0.4</v>
      </c>
      <c r="G161" s="171">
        <v>1.4</v>
      </c>
      <c r="H161" s="171">
        <v>2.2999999999999998</v>
      </c>
      <c r="I161" s="171">
        <v>0.2</v>
      </c>
      <c r="K161" s="171">
        <v>-4.9000000000000004</v>
      </c>
      <c r="Q161" s="171"/>
      <c r="R161" s="171"/>
      <c r="S161" s="171"/>
      <c r="T161" s="171"/>
      <c r="X161" s="229"/>
      <c r="Y161" s="229"/>
      <c r="Z161" s="229"/>
    </row>
    <row r="162" spans="3:26" ht="10.5" hidden="1">
      <c r="C162" s="1143"/>
      <c r="D162" s="172" t="str">
        <f>IF(Indice_index!$Z$1=1,"maio","May")</f>
        <v>maio</v>
      </c>
      <c r="E162" s="171">
        <v>2.9</v>
      </c>
      <c r="F162" s="171">
        <v>0.4</v>
      </c>
      <c r="G162" s="171">
        <v>1.5</v>
      </c>
      <c r="H162" s="171">
        <v>2.2000000000000002</v>
      </c>
      <c r="I162" s="171">
        <v>0.6</v>
      </c>
      <c r="K162" s="171">
        <v>-4.9000000000000004</v>
      </c>
      <c r="Q162" s="171"/>
      <c r="R162" s="171"/>
      <c r="S162" s="171"/>
      <c r="T162" s="171"/>
      <c r="X162" s="229"/>
      <c r="Y162" s="229"/>
      <c r="Z162" s="229"/>
    </row>
    <row r="163" spans="3:26" ht="10.5" hidden="1">
      <c r="C163" s="1143"/>
      <c r="D163" s="172" t="str">
        <f>IF(Indice_index!$Z$1=1,"junho","June")</f>
        <v>junho</v>
      </c>
      <c r="E163" s="171">
        <v>2.8</v>
      </c>
      <c r="F163" s="171">
        <v>0.6</v>
      </c>
      <c r="G163" s="171">
        <v>1.6</v>
      </c>
      <c r="H163" s="171">
        <v>2.2000000000000002</v>
      </c>
      <c r="I163" s="171">
        <v>1.1000000000000001</v>
      </c>
      <c r="K163" s="171">
        <v>-4.8</v>
      </c>
      <c r="Q163" s="171"/>
      <c r="R163" s="171"/>
      <c r="S163" s="171"/>
      <c r="T163" s="171"/>
      <c r="X163" s="229"/>
      <c r="Y163" s="229"/>
      <c r="Z163" s="229"/>
    </row>
    <row r="164" spans="3:26" ht="10.5" hidden="1">
      <c r="C164" s="1143"/>
      <c r="D164" s="172" t="str">
        <f>IF(Indice_index!$Z$1=1,"julho","July")</f>
        <v>julho</v>
      </c>
      <c r="E164" s="171">
        <v>2.7</v>
      </c>
      <c r="F164" s="171">
        <v>0.6</v>
      </c>
      <c r="G164" s="171">
        <v>1.6</v>
      </c>
      <c r="H164" s="171">
        <v>2.2000000000000002</v>
      </c>
      <c r="I164" s="171">
        <v>-39.1</v>
      </c>
      <c r="K164" s="171">
        <v>-4.8</v>
      </c>
      <c r="Q164" s="171"/>
      <c r="R164" s="171"/>
      <c r="S164" s="171"/>
      <c r="T164" s="171"/>
      <c r="X164" s="229"/>
      <c r="Y164" s="229"/>
      <c r="Z164" s="229"/>
    </row>
    <row r="165" spans="3:26" ht="10.5" hidden="1">
      <c r="C165" s="1143"/>
      <c r="D165" s="172" t="str">
        <f>IF(Indice_index!$Z$1=1,"agosto","August")</f>
        <v>agosto</v>
      </c>
      <c r="E165" s="171">
        <v>2.8</v>
      </c>
      <c r="F165" s="171">
        <v>0.6</v>
      </c>
      <c r="G165" s="171">
        <v>1.7</v>
      </c>
      <c r="H165" s="171">
        <v>2.2999999999999998</v>
      </c>
      <c r="I165" s="171">
        <v>0.6</v>
      </c>
      <c r="K165" s="171">
        <v>-4.8</v>
      </c>
      <c r="Q165" s="171"/>
      <c r="R165" s="171"/>
      <c r="S165" s="171"/>
      <c r="T165" s="171"/>
      <c r="X165" s="229"/>
      <c r="Y165" s="229"/>
      <c r="Z165" s="229"/>
    </row>
    <row r="166" spans="3:26" ht="10.5" hidden="1">
      <c r="C166" s="1143"/>
      <c r="D166" s="172" t="str">
        <f>IF(Indice_index!$Z$1=1,"setembro","September")</f>
        <v>setembro</v>
      </c>
      <c r="E166" s="171">
        <v>2.9</v>
      </c>
      <c r="F166" s="171">
        <v>0.6</v>
      </c>
      <c r="G166" s="171">
        <v>1.7</v>
      </c>
      <c r="H166" s="171">
        <v>2.2999999999999998</v>
      </c>
      <c r="I166" s="171">
        <v>-0.2</v>
      </c>
      <c r="K166" s="171">
        <v>-4.9000000000000004</v>
      </c>
      <c r="Q166" s="171"/>
      <c r="R166" s="171"/>
      <c r="S166" s="171"/>
      <c r="T166" s="171"/>
      <c r="X166" s="229"/>
      <c r="Y166" s="229"/>
      <c r="Z166" s="229"/>
    </row>
    <row r="167" spans="3:26" ht="10.5" hidden="1">
      <c r="C167" s="1143"/>
      <c r="D167" s="172" t="str">
        <f>IF(Indice_index!$Z$1=1,"outubro","October")</f>
        <v>outubro</v>
      </c>
      <c r="E167" s="171">
        <v>3</v>
      </c>
      <c r="F167" s="171">
        <v>0.5</v>
      </c>
      <c r="G167" s="171">
        <v>1.8</v>
      </c>
      <c r="H167" s="171">
        <v>2.4</v>
      </c>
      <c r="I167" s="171">
        <v>0.2</v>
      </c>
      <c r="K167" s="171">
        <v>-4.9000000000000004</v>
      </c>
      <c r="Q167" s="171"/>
      <c r="R167" s="171"/>
      <c r="S167" s="171"/>
      <c r="T167" s="171"/>
      <c r="X167" s="229"/>
      <c r="Y167" s="229"/>
      <c r="Z167" s="229"/>
    </row>
    <row r="168" spans="3:26" ht="10.5" hidden="1">
      <c r="C168" s="1143"/>
      <c r="D168" s="172" t="str">
        <f>IF(Indice_index!$Z$1=1,"novembro","November")</f>
        <v>novembro</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0.5" hidden="1">
      <c r="C169" s="1143"/>
      <c r="D169" s="172" t="str">
        <f>IF(Indice_index!$Z$1=1,"dezembro","December")</f>
        <v>dezembro</v>
      </c>
      <c r="E169" s="171">
        <v>2.5</v>
      </c>
      <c r="F169" s="171">
        <v>-0.2</v>
      </c>
      <c r="G169" s="171">
        <v>1.6</v>
      </c>
      <c r="H169" s="171">
        <v>1.9</v>
      </c>
      <c r="I169" s="171">
        <v>-0.2</v>
      </c>
      <c r="K169" s="171">
        <v>-4.9000000000000004</v>
      </c>
      <c r="Q169" s="171"/>
      <c r="R169" s="171"/>
      <c r="S169" s="171"/>
      <c r="T169" s="171"/>
      <c r="X169" s="229"/>
      <c r="Y169" s="229"/>
      <c r="Z169" s="229"/>
    </row>
    <row r="170" spans="3:26" ht="10.5" hidden="1">
      <c r="C170" s="1143" t="s">
        <v>11</v>
      </c>
      <c r="D170" s="171"/>
      <c r="E170" s="171"/>
      <c r="F170" s="171"/>
      <c r="G170" s="171"/>
      <c r="H170" s="171"/>
      <c r="I170" s="171"/>
      <c r="K170" s="171"/>
      <c r="Q170" s="171"/>
      <c r="R170" s="171"/>
      <c r="S170" s="171"/>
      <c r="T170" s="171"/>
      <c r="X170" s="229"/>
      <c r="Y170" s="229"/>
      <c r="Z170" s="229"/>
    </row>
    <row r="171" spans="3:26" ht="10.5" hidden="1">
      <c r="C171" s="1143"/>
      <c r="D171" s="172" t="str">
        <f>IF(Indice_index!$Z$1=1,"janeiro","January")</f>
        <v>janeiro</v>
      </c>
      <c r="E171" s="171">
        <v>2.6</v>
      </c>
      <c r="F171" s="171">
        <v>-0.2</v>
      </c>
      <c r="G171" s="171">
        <v>1.7</v>
      </c>
      <c r="H171" s="171">
        <v>2</v>
      </c>
      <c r="I171" s="171">
        <v>0.2</v>
      </c>
      <c r="K171" s="171">
        <v>-4.9000000000000004</v>
      </c>
      <c r="Q171" s="171"/>
      <c r="R171" s="171"/>
      <c r="S171" s="171"/>
      <c r="T171" s="171"/>
      <c r="X171" s="229"/>
      <c r="Y171" s="229"/>
      <c r="Z171" s="229"/>
    </row>
    <row r="172" spans="3:26" ht="10.5" hidden="1">
      <c r="C172" s="1144"/>
      <c r="D172" s="172" t="str">
        <f>IF(Indice_index!$Z$1=1,"fevereiro","February")</f>
        <v>fevereiro</v>
      </c>
      <c r="E172" s="171">
        <v>2.4</v>
      </c>
      <c r="F172" s="171">
        <v>-0.2</v>
      </c>
      <c r="G172" s="171">
        <v>1.6</v>
      </c>
      <c r="H172" s="171">
        <v>1.9</v>
      </c>
      <c r="I172" s="171">
        <v>16.600000000000001</v>
      </c>
      <c r="K172" s="171">
        <v>-4.8</v>
      </c>
      <c r="Q172" s="171"/>
      <c r="R172" s="171"/>
      <c r="S172" s="171"/>
      <c r="T172" s="171"/>
      <c r="X172" s="229"/>
      <c r="Y172" s="229"/>
      <c r="Z172" s="229"/>
    </row>
    <row r="173" spans="3:26" ht="10.5" hidden="1">
      <c r="C173" s="1146"/>
      <c r="D173" s="172" t="str">
        <f>IF(Indice_index!$Z$1=1,"março","March")</f>
        <v>março</v>
      </c>
      <c r="E173" s="171">
        <v>2.5</v>
      </c>
      <c r="F173" s="171">
        <v>-0.3</v>
      </c>
      <c r="G173" s="171">
        <v>1.3</v>
      </c>
      <c r="H173" s="171">
        <v>1.9</v>
      </c>
      <c r="I173" s="171">
        <v>7.7</v>
      </c>
      <c r="K173" s="171">
        <v>-4.2</v>
      </c>
      <c r="X173" s="229"/>
      <c r="Y173" s="229"/>
      <c r="Z173" s="229"/>
    </row>
    <row r="174" spans="3:26" ht="10.5" hidden="1">
      <c r="C174" s="1146"/>
      <c r="D174" s="172" t="str">
        <f>IF(Indice_index!$Z$1=1,"abril","April")</f>
        <v>abril</v>
      </c>
      <c r="E174" s="171">
        <v>2.7</v>
      </c>
      <c r="F174" s="171">
        <v>-0.4</v>
      </c>
      <c r="G174" s="171">
        <v>1.3</v>
      </c>
      <c r="H174" s="171">
        <v>2</v>
      </c>
      <c r="I174" s="171">
        <v>9</v>
      </c>
      <c r="K174" s="171">
        <v>-4.3</v>
      </c>
      <c r="X174" s="229"/>
      <c r="Y174" s="229"/>
      <c r="Z174" s="229"/>
    </row>
    <row r="175" spans="3:26" ht="10.5" hidden="1">
      <c r="C175" s="1146"/>
      <c r="D175" s="172" t="str">
        <f>IF(Indice_index!$Z$1=1,"maio","May")</f>
        <v>maio</v>
      </c>
      <c r="E175" s="171">
        <v>2.7</v>
      </c>
      <c r="F175" s="171">
        <v>-0.3</v>
      </c>
      <c r="G175" s="171">
        <v>1.3</v>
      </c>
      <c r="H175" s="171">
        <v>2</v>
      </c>
      <c r="I175" s="171">
        <v>8.3000000000000007</v>
      </c>
      <c r="K175" s="171">
        <v>-4.2</v>
      </c>
      <c r="X175" s="229"/>
      <c r="Y175" s="229"/>
      <c r="Z175" s="229"/>
    </row>
    <row r="176" spans="3:26" ht="10.5" hidden="1">
      <c r="C176" s="1146"/>
      <c r="D176" s="172" t="str">
        <f>IF(Indice_index!$Z$1=1,"junho","June")</f>
        <v>junho</v>
      </c>
      <c r="E176" s="171">
        <v>2.6</v>
      </c>
      <c r="F176" s="171">
        <v>-0.1</v>
      </c>
      <c r="G176" s="171">
        <v>1.2</v>
      </c>
      <c r="H176" s="171">
        <v>1.9</v>
      </c>
      <c r="I176" s="171">
        <v>8.1999999999999993</v>
      </c>
      <c r="K176" s="171">
        <v>-4.3</v>
      </c>
      <c r="X176" s="229"/>
      <c r="Y176" s="229"/>
      <c r="Z176" s="229"/>
    </row>
    <row r="177" spans="3:26" ht="10.5" hidden="1">
      <c r="C177" s="1146"/>
      <c r="D177" s="172" t="str">
        <f>IF(Indice_index!$Z$1=1,"julho","July")</f>
        <v>julho</v>
      </c>
      <c r="E177" s="171">
        <v>2.5</v>
      </c>
      <c r="F177" s="171">
        <v>-0.2</v>
      </c>
      <c r="G177" s="171">
        <v>1.1000000000000001</v>
      </c>
      <c r="H177" s="171">
        <v>1.8</v>
      </c>
      <c r="I177" s="171">
        <v>14.7</v>
      </c>
      <c r="K177" s="171">
        <v>-4.3</v>
      </c>
      <c r="X177" s="229"/>
      <c r="Y177" s="229"/>
      <c r="Z177" s="229"/>
    </row>
    <row r="178" spans="3:26" ht="10.5" hidden="1">
      <c r="C178" s="1146"/>
      <c r="D178" s="172" t="str">
        <f>IF(Indice_index!$Z$1=1,"agosto","August")</f>
        <v>agosto</v>
      </c>
      <c r="E178" s="171">
        <v>2.2999999999999998</v>
      </c>
      <c r="F178" s="171">
        <v>-0.2</v>
      </c>
      <c r="G178" s="171">
        <v>1.1000000000000001</v>
      </c>
      <c r="H178" s="171">
        <v>1.7</v>
      </c>
      <c r="I178" s="171">
        <v>8.6</v>
      </c>
      <c r="K178" s="171">
        <v>-4.4000000000000004</v>
      </c>
      <c r="X178" s="229"/>
      <c r="Y178" s="229"/>
      <c r="Z178" s="229"/>
    </row>
    <row r="179" spans="3:26" ht="10.5" hidden="1">
      <c r="C179" s="1146"/>
      <c r="D179" s="172" t="str">
        <f>IF(Indice_index!$Z$1=1,"setembro","September")</f>
        <v>setembro</v>
      </c>
      <c r="E179" s="171">
        <v>2</v>
      </c>
      <c r="F179" s="171">
        <v>-0.3</v>
      </c>
      <c r="G179" s="171">
        <v>1</v>
      </c>
      <c r="H179" s="171">
        <v>1.5</v>
      </c>
      <c r="I179" s="171">
        <v>8.6</v>
      </c>
      <c r="K179" s="171">
        <v>-4.4000000000000004</v>
      </c>
      <c r="X179" s="229"/>
      <c r="Y179" s="229"/>
      <c r="Z179" s="229"/>
    </row>
    <row r="180" spans="3:26" ht="10.5" hidden="1">
      <c r="C180" s="1146"/>
      <c r="D180" s="172" t="str">
        <f>IF(Indice_index!$Z$1=1,"outubro","October")</f>
        <v>outubro</v>
      </c>
      <c r="E180" s="171">
        <v>1.8</v>
      </c>
      <c r="F180" s="171">
        <v>-0.4</v>
      </c>
      <c r="G180" s="171">
        <v>1.1000000000000001</v>
      </c>
      <c r="H180" s="171">
        <v>1.4</v>
      </c>
      <c r="I180" s="171">
        <v>9.8000000000000007</v>
      </c>
      <c r="K180" s="171">
        <v>-4.3</v>
      </c>
      <c r="X180" s="229"/>
      <c r="Y180" s="229"/>
      <c r="Z180" s="229"/>
    </row>
    <row r="181" spans="3:26" ht="10.5" hidden="1">
      <c r="C181" s="1146"/>
      <c r="D181" s="172" t="str">
        <f>IF(Indice_index!$Z$1=1,"novembro","November")</f>
        <v>novembro</v>
      </c>
      <c r="E181" s="171">
        <v>2</v>
      </c>
      <c r="F181" s="171">
        <v>0</v>
      </c>
      <c r="G181" s="171">
        <v>1.3</v>
      </c>
      <c r="H181" s="171">
        <v>1.6</v>
      </c>
      <c r="I181" s="171">
        <v>53.1</v>
      </c>
      <c r="K181" s="171">
        <v>-4.2</v>
      </c>
      <c r="X181" s="229"/>
      <c r="Y181" s="229"/>
      <c r="Z181" s="229"/>
    </row>
    <row r="182" spans="3:26" ht="10.5" hidden="1">
      <c r="C182" s="1146"/>
      <c r="D182" s="172" t="str">
        <f>IF(Indice_index!$Z$1=1,"dezembro","December")</f>
        <v>dezembro</v>
      </c>
      <c r="E182" s="171">
        <v>2.2000000000000002</v>
      </c>
      <c r="F182" s="171">
        <v>0</v>
      </c>
      <c r="G182" s="171">
        <v>1.4</v>
      </c>
      <c r="H182" s="171">
        <v>1.8</v>
      </c>
      <c r="I182" s="171">
        <v>8.8000000000000007</v>
      </c>
      <c r="K182" s="171">
        <v>-4.0999999999999996</v>
      </c>
      <c r="X182" s="229"/>
      <c r="Y182" s="229"/>
      <c r="Z182" s="229"/>
    </row>
    <row r="183" spans="3:26" ht="10.5" hidden="1">
      <c r="C183" s="1143" t="s">
        <v>12</v>
      </c>
      <c r="D183" s="171"/>
      <c r="E183" s="171"/>
      <c r="F183" s="171"/>
      <c r="G183" s="171"/>
      <c r="H183" s="171"/>
      <c r="I183" s="171"/>
      <c r="K183" s="171"/>
      <c r="X183" s="229"/>
      <c r="Y183" s="229"/>
      <c r="Z183" s="229"/>
    </row>
    <row r="184" spans="3:26" ht="10.5" hidden="1">
      <c r="C184" s="1146"/>
      <c r="D184" s="172" t="str">
        <f>IF(Indice_index!$Z$1=1,"janeiro","January")</f>
        <v>janeiro</v>
      </c>
      <c r="E184" s="171">
        <v>2.2000000000000002</v>
      </c>
      <c r="F184" s="171">
        <v>0.1</v>
      </c>
      <c r="G184" s="171">
        <v>1.3</v>
      </c>
      <c r="H184" s="171">
        <v>1.8</v>
      </c>
      <c r="I184" s="171">
        <v>10.1</v>
      </c>
      <c r="K184" s="171">
        <v>-4.4000000000000004</v>
      </c>
      <c r="X184" s="229"/>
      <c r="Y184" s="229"/>
      <c r="Z184" s="229"/>
    </row>
    <row r="185" spans="3:26" ht="10.5" hidden="1">
      <c r="C185" s="1146"/>
      <c r="D185" s="172" t="str">
        <f>IF(Indice_index!$Z$1=1,"fevereiro","February")</f>
        <v>fevereiro</v>
      </c>
      <c r="E185" s="171">
        <v>2.2000000000000002</v>
      </c>
      <c r="F185" s="171">
        <v>0</v>
      </c>
      <c r="G185" s="171">
        <v>1.3</v>
      </c>
      <c r="H185" s="171">
        <v>1.7</v>
      </c>
      <c r="I185" s="171">
        <v>-8</v>
      </c>
      <c r="K185" s="171">
        <v>-4.5</v>
      </c>
      <c r="X185" s="229"/>
      <c r="Y185" s="229"/>
      <c r="Z185" s="229"/>
    </row>
    <row r="186" spans="3:26" ht="10.5" hidden="1">
      <c r="C186" s="1146"/>
      <c r="D186" s="172" t="str">
        <f>IF(Indice_index!$Z$1=1,"março","March")</f>
        <v>março</v>
      </c>
      <c r="E186" s="171">
        <v>2.1</v>
      </c>
      <c r="F186" s="171">
        <v>0</v>
      </c>
      <c r="G186" s="171">
        <v>1.5</v>
      </c>
      <c r="H186" s="171">
        <v>1.7</v>
      </c>
      <c r="I186" s="171">
        <v>-0.7</v>
      </c>
      <c r="K186" s="171">
        <v>-4.5999999999999996</v>
      </c>
      <c r="X186" s="229"/>
      <c r="Y186" s="229"/>
      <c r="Z186" s="229"/>
    </row>
    <row r="187" spans="3:26" ht="10.5" hidden="1">
      <c r="C187" s="1146"/>
      <c r="D187" s="172" t="str">
        <f>IF(Indice_index!$Z$1=1,"abril","April")</f>
        <v>abril</v>
      </c>
      <c r="E187" s="171">
        <v>2</v>
      </c>
      <c r="F187" s="171">
        <v>0.1</v>
      </c>
      <c r="G187" s="171">
        <v>1.6</v>
      </c>
      <c r="H187" s="171">
        <v>1.7</v>
      </c>
      <c r="I187" s="171">
        <v>-1.2</v>
      </c>
      <c r="K187" s="171">
        <v>-4.8</v>
      </c>
      <c r="X187" s="229"/>
      <c r="Y187" s="229"/>
      <c r="Z187" s="229"/>
    </row>
    <row r="188" spans="3:26" ht="10.5" hidden="1">
      <c r="C188" s="1146"/>
      <c r="D188" s="172" t="str">
        <f>IF(Indice_index!$Z$1=1,"maio","May")</f>
        <v>maio</v>
      </c>
      <c r="E188" s="171">
        <v>1.9</v>
      </c>
      <c r="F188" s="171">
        <v>0.1</v>
      </c>
      <c r="G188" s="171">
        <v>1.6</v>
      </c>
      <c r="H188" s="171">
        <v>1.6</v>
      </c>
      <c r="I188" s="171">
        <v>-0.9</v>
      </c>
      <c r="K188" s="171">
        <v>-4.9000000000000004</v>
      </c>
      <c r="X188" s="229"/>
      <c r="Y188" s="229"/>
      <c r="Z188" s="229"/>
    </row>
    <row r="189" spans="3:26" ht="10.5" hidden="1">
      <c r="C189" s="1146"/>
      <c r="D189" s="172" t="str">
        <f>IF(Indice_index!$Z$1=1,"junho","June")</f>
        <v>junho</v>
      </c>
      <c r="E189" s="171">
        <v>2</v>
      </c>
      <c r="F189" s="171">
        <v>-0.2</v>
      </c>
      <c r="G189" s="171">
        <v>1.6</v>
      </c>
      <c r="H189" s="171">
        <v>1.6</v>
      </c>
      <c r="I189" s="171">
        <v>-0.9</v>
      </c>
      <c r="K189" s="171">
        <v>-5</v>
      </c>
      <c r="X189" s="229"/>
      <c r="Y189" s="229"/>
      <c r="Z189" s="229"/>
    </row>
    <row r="190" spans="3:26" ht="10.5" hidden="1">
      <c r="C190" s="1146"/>
      <c r="D190" s="172" t="str">
        <f>IF(Indice_index!$Z$1=1,"julho","July")</f>
        <v>julho</v>
      </c>
      <c r="E190" s="171">
        <v>2.1480540184017052</v>
      </c>
      <c r="F190" s="171">
        <v>-0.32109970013003208</v>
      </c>
      <c r="G190" s="171">
        <v>10.527022064016725</v>
      </c>
      <c r="H190" s="171">
        <v>3.7888244605378629</v>
      </c>
      <c r="I190" s="171">
        <v>48.076394613904931</v>
      </c>
      <c r="K190" s="171">
        <v>-5.1713744898311784</v>
      </c>
      <c r="X190" s="229"/>
      <c r="Y190" s="229"/>
      <c r="Z190" s="229"/>
    </row>
    <row r="191" spans="3:26" ht="10.5" hidden="1">
      <c r="C191" s="1146"/>
      <c r="D191" s="172" t="str">
        <f>IF(Indice_index!$Z$1=1,"agosto","August")</f>
        <v>agosto</v>
      </c>
      <c r="E191" s="171">
        <v>2.6</v>
      </c>
      <c r="F191" s="171">
        <v>-0.1</v>
      </c>
      <c r="G191" s="171">
        <v>10.5</v>
      </c>
      <c r="H191" s="171">
        <v>4.0999999999999996</v>
      </c>
      <c r="I191" s="171">
        <v>1.3</v>
      </c>
      <c r="K191" s="171">
        <v>-5.0999999999999996</v>
      </c>
      <c r="X191" s="229"/>
      <c r="Y191" s="229"/>
      <c r="Z191" s="229"/>
    </row>
    <row r="192" spans="3:26" ht="10.5" hidden="1">
      <c r="C192" s="1146"/>
      <c r="D192" s="172" t="str">
        <f>IF(Indice_index!$Z$1=1,"setembro","September")</f>
        <v>setembro</v>
      </c>
      <c r="E192" s="171">
        <v>3</v>
      </c>
      <c r="F192" s="171">
        <v>0.1</v>
      </c>
      <c r="G192" s="171">
        <v>10.5</v>
      </c>
      <c r="H192" s="171">
        <v>4.4000000000000004</v>
      </c>
      <c r="I192" s="171">
        <v>-2.2999999999999998</v>
      </c>
      <c r="K192" s="171">
        <v>-5</v>
      </c>
      <c r="X192" s="229"/>
      <c r="Y192" s="229"/>
      <c r="Z192" s="229"/>
    </row>
    <row r="193" spans="3:26" ht="10.5" hidden="1">
      <c r="C193" s="1146"/>
      <c r="D193" s="172" t="str">
        <f>IF(Indice_index!$Z$1=1,"outubro","October")</f>
        <v>outubro</v>
      </c>
      <c r="E193" s="171">
        <v>3.2</v>
      </c>
      <c r="F193" s="171">
        <v>0.1</v>
      </c>
      <c r="G193" s="171">
        <v>10.6</v>
      </c>
      <c r="H193" s="171">
        <v>4.5</v>
      </c>
      <c r="I193" s="171">
        <v>-3.4</v>
      </c>
      <c r="K193" s="171">
        <v>-5</v>
      </c>
      <c r="X193" s="229"/>
      <c r="Y193" s="229"/>
      <c r="Z193" s="229"/>
    </row>
    <row r="194" spans="3:26" ht="10.5" hidden="1">
      <c r="C194" s="1146"/>
      <c r="D194" s="172" t="str">
        <f>IF(Indice_index!$Z$1=1,"novembro","November")</f>
        <v>novembro</v>
      </c>
      <c r="E194" s="171">
        <v>3.1</v>
      </c>
      <c r="F194" s="171">
        <v>-0.2</v>
      </c>
      <c r="G194" s="171">
        <v>10.4</v>
      </c>
      <c r="H194" s="171">
        <v>4.4000000000000004</v>
      </c>
      <c r="I194" s="171">
        <v>-41.2</v>
      </c>
      <c r="K194" s="171">
        <v>-5</v>
      </c>
      <c r="X194" s="229"/>
      <c r="Y194" s="229"/>
      <c r="Z194" s="229"/>
    </row>
    <row r="195" spans="3:26" ht="10.5" hidden="1">
      <c r="C195" s="1146"/>
      <c r="D195" s="172" t="str">
        <f>IF(Indice_index!$Z$1=1,"dezembro","December")</f>
        <v>dezembro</v>
      </c>
      <c r="E195" s="171">
        <v>3</v>
      </c>
      <c r="F195" s="171">
        <v>-0.2</v>
      </c>
      <c r="G195" s="171">
        <v>10.199999999999999</v>
      </c>
      <c r="H195" s="171">
        <v>4.2</v>
      </c>
      <c r="I195" s="171">
        <v>0.7</v>
      </c>
      <c r="K195" s="171">
        <v>-5</v>
      </c>
      <c r="X195" s="229"/>
      <c r="Y195" s="229"/>
      <c r="Z195" s="229"/>
    </row>
    <row r="196" spans="3:26" ht="10.5" hidden="1">
      <c r="C196" s="1143" t="s">
        <v>13</v>
      </c>
      <c r="D196" s="171"/>
      <c r="E196" s="171"/>
      <c r="F196" s="171"/>
      <c r="G196" s="171"/>
      <c r="H196" s="171"/>
      <c r="I196" s="171"/>
      <c r="K196" s="171"/>
      <c r="X196" s="229"/>
      <c r="Y196" s="229"/>
      <c r="Z196" s="229"/>
    </row>
    <row r="197" spans="3:26" ht="10.5" hidden="1">
      <c r="C197" s="1146"/>
      <c r="D197" s="172" t="str">
        <f>IF(Indice_index!$Z$1=1,"janeiro","January")</f>
        <v>janeiro</v>
      </c>
      <c r="E197" s="171">
        <v>3</v>
      </c>
      <c r="F197" s="171">
        <v>-0.4</v>
      </c>
      <c r="G197" s="171">
        <v>10.1</v>
      </c>
      <c r="H197" s="171">
        <v>4.2</v>
      </c>
      <c r="I197" s="171">
        <v>-1.9</v>
      </c>
      <c r="K197" s="171">
        <v>-4.7</v>
      </c>
      <c r="M197" s="229"/>
      <c r="X197" s="229"/>
      <c r="Y197" s="229"/>
      <c r="Z197" s="229"/>
    </row>
    <row r="198" spans="3:26" ht="10.5" hidden="1">
      <c r="C198" s="1146"/>
      <c r="D198" s="172" t="str">
        <f>IF(Indice_index!$Z$1=1,"fevereiro","February")</f>
        <v>fevereiro</v>
      </c>
      <c r="E198" s="171">
        <v>3.1</v>
      </c>
      <c r="F198" s="171">
        <v>-0.5</v>
      </c>
      <c r="G198" s="171">
        <v>9.9</v>
      </c>
      <c r="H198" s="171">
        <v>4.2</v>
      </c>
      <c r="I198" s="171">
        <v>-1.2</v>
      </c>
      <c r="K198" s="171">
        <v>-4.5</v>
      </c>
      <c r="X198" s="229"/>
      <c r="Y198" s="229"/>
      <c r="Z198" s="229"/>
    </row>
    <row r="199" spans="3:26" ht="10.5" hidden="1">
      <c r="C199" s="1146"/>
      <c r="D199" s="172" t="str">
        <f>IF(Indice_index!$Z$1=1,"março","March")</f>
        <v>março</v>
      </c>
      <c r="E199" s="171">
        <v>3.1</v>
      </c>
      <c r="F199" s="171">
        <v>-0.6</v>
      </c>
      <c r="G199" s="171">
        <v>9.6999999999999993</v>
      </c>
      <c r="H199" s="171">
        <v>4.2</v>
      </c>
      <c r="I199" s="171">
        <v>-1.2</v>
      </c>
      <c r="K199" s="171">
        <v>-4.2</v>
      </c>
      <c r="X199" s="229"/>
      <c r="Y199" s="229"/>
      <c r="Z199" s="229"/>
    </row>
    <row r="200" spans="3:26" ht="10.5" hidden="1">
      <c r="C200" s="1146"/>
      <c r="D200" s="172" t="str">
        <f>IF(Indice_index!$Z$1=1,"abril","April")</f>
        <v>abril</v>
      </c>
      <c r="E200" s="171">
        <v>3</v>
      </c>
      <c r="F200" s="171">
        <v>-0.8</v>
      </c>
      <c r="G200" s="171">
        <v>9.6</v>
      </c>
      <c r="H200" s="171">
        <v>4.0999999999999996</v>
      </c>
      <c r="I200" s="171">
        <v>-1</v>
      </c>
      <c r="K200" s="171">
        <v>-4</v>
      </c>
      <c r="X200" s="229"/>
      <c r="Y200" s="229"/>
      <c r="Z200" s="229"/>
    </row>
    <row r="201" spans="3:26" ht="10.5" hidden="1">
      <c r="C201" s="1146"/>
      <c r="D201" s="172" t="str">
        <f>IF(Indice_index!$Z$1=1,"maio","May")</f>
        <v>maio</v>
      </c>
      <c r="E201" s="171">
        <v>2.9</v>
      </c>
      <c r="F201" s="171">
        <v>-0.9</v>
      </c>
      <c r="G201" s="171">
        <v>10.7</v>
      </c>
      <c r="H201" s="171">
        <v>4.3</v>
      </c>
      <c r="I201" s="171">
        <v>-1</v>
      </c>
      <c r="K201" s="171">
        <v>-3.7</v>
      </c>
      <c r="X201" s="229"/>
      <c r="Y201" s="229"/>
      <c r="Z201" s="229"/>
    </row>
    <row r="202" spans="3:26" ht="10.5" hidden="1">
      <c r="C202" s="1146"/>
      <c r="D202" s="172" t="str">
        <f>IF(Indice_index!$Z$1=1,"junho","June")</f>
        <v>junho</v>
      </c>
      <c r="E202" s="171">
        <v>2.9</v>
      </c>
      <c r="F202" s="171">
        <v>-0.8</v>
      </c>
      <c r="G202" s="171">
        <v>10.6</v>
      </c>
      <c r="H202" s="171">
        <v>4.2</v>
      </c>
      <c r="I202" s="171">
        <v>-1.3</v>
      </c>
      <c r="K202" s="171">
        <v>-3.4</v>
      </c>
      <c r="X202" s="229"/>
      <c r="Y202" s="229"/>
      <c r="Z202" s="229"/>
    </row>
    <row r="203" spans="3:26" ht="10.5" hidden="1">
      <c r="C203" s="1146"/>
      <c r="D203" s="172" t="str">
        <f>IF(Indice_index!$Z$1=1,"julho","July")</f>
        <v>julho</v>
      </c>
      <c r="E203" s="171">
        <v>2.6</v>
      </c>
      <c r="F203" s="171">
        <v>-0.8</v>
      </c>
      <c r="G203" s="171">
        <v>1.8</v>
      </c>
      <c r="H203" s="171">
        <v>2</v>
      </c>
      <c r="I203" s="171">
        <v>0.2</v>
      </c>
      <c r="K203" s="171">
        <v>-3.1</v>
      </c>
      <c r="X203" s="229"/>
      <c r="Y203" s="229"/>
      <c r="Z203" s="229"/>
    </row>
    <row r="204" spans="3:26" ht="10.5" hidden="1">
      <c r="C204" s="1146"/>
      <c r="D204" s="172" t="str">
        <f>IF(Indice_index!$Z$1=1,"agosto","August")</f>
        <v>agosto</v>
      </c>
      <c r="E204" s="171">
        <v>2.2000000000000002</v>
      </c>
      <c r="F204" s="171">
        <v>-0.9</v>
      </c>
      <c r="G204" s="171">
        <v>1.8</v>
      </c>
      <c r="H204" s="171">
        <v>1.7</v>
      </c>
      <c r="I204" s="171">
        <v>-3.6</v>
      </c>
      <c r="K204" s="171">
        <v>-3</v>
      </c>
      <c r="X204" s="229"/>
      <c r="Y204" s="229"/>
      <c r="Z204" s="229"/>
    </row>
    <row r="205" spans="3:26" ht="10.5" hidden="1">
      <c r="C205" s="1146"/>
      <c r="D205" s="172" t="str">
        <f>IF(Indice_index!$Z$1=1,"setembro","September")</f>
        <v>setembro</v>
      </c>
      <c r="E205" s="171">
        <v>1.8</v>
      </c>
      <c r="F205" s="171">
        <v>-1.1000000000000001</v>
      </c>
      <c r="G205" s="171">
        <v>1.9</v>
      </c>
      <c r="H205" s="171">
        <v>1.5</v>
      </c>
      <c r="I205" s="171">
        <v>0.1</v>
      </c>
      <c r="K205" s="171">
        <v>-2.6</v>
      </c>
      <c r="X205" s="229"/>
      <c r="Y205" s="229"/>
      <c r="Z205" s="229"/>
    </row>
    <row r="206" spans="3:26" ht="10.5" hidden="1">
      <c r="C206" s="1146"/>
      <c r="D206" s="172" t="str">
        <f>IF(Indice_index!$Z$1=1,"outubro","October")</f>
        <v>outubro</v>
      </c>
      <c r="E206" s="171">
        <v>1.5</v>
      </c>
      <c r="F206" s="171">
        <v>-1</v>
      </c>
      <c r="G206" s="171">
        <v>1.7</v>
      </c>
      <c r="H206" s="171">
        <v>1.3</v>
      </c>
      <c r="I206" s="171">
        <v>0.1</v>
      </c>
      <c r="K206" s="171">
        <v>-2.5</v>
      </c>
      <c r="X206" s="229"/>
      <c r="Y206" s="229"/>
      <c r="Z206" s="229"/>
    </row>
    <row r="207" spans="3:26" ht="10.5" hidden="1">
      <c r="C207" s="1146"/>
      <c r="D207" s="172" t="str">
        <f>IF(Indice_index!$Z$1=1,"novembro","November")</f>
        <v>novembro</v>
      </c>
      <c r="E207" s="171">
        <v>1.3</v>
      </c>
      <c r="F207" s="171">
        <v>-1</v>
      </c>
      <c r="G207" s="171">
        <v>1.7</v>
      </c>
      <c r="H207" s="171">
        <v>1.1000000000000001</v>
      </c>
      <c r="I207" s="171">
        <v>-0.4</v>
      </c>
      <c r="K207" s="171">
        <v>-2.2999999999999998</v>
      </c>
      <c r="X207" s="229"/>
      <c r="Y207" s="229"/>
      <c r="Z207" s="229"/>
    </row>
    <row r="208" spans="3:26" ht="10.5" hidden="1">
      <c r="C208" s="1146"/>
      <c r="D208" s="172" t="str">
        <f>IF(Indice_index!$Z$1=1,"dezembro","December")</f>
        <v>dezembro</v>
      </c>
      <c r="E208" s="171">
        <v>1</v>
      </c>
      <c r="F208" s="171">
        <v>-0.9</v>
      </c>
      <c r="G208" s="171">
        <v>1.7</v>
      </c>
      <c r="H208" s="171">
        <v>1</v>
      </c>
      <c r="I208" s="171">
        <v>-6.6</v>
      </c>
      <c r="K208" s="171">
        <v>-2.2999999999999998</v>
      </c>
      <c r="X208" s="229"/>
      <c r="Y208" s="229"/>
      <c r="Z208" s="229"/>
    </row>
    <row r="209" spans="3:27" ht="10.5" hidden="1">
      <c r="C209" s="1145">
        <v>2016</v>
      </c>
      <c r="D209" s="171"/>
      <c r="E209" s="171"/>
      <c r="F209" s="171"/>
      <c r="G209" s="171"/>
      <c r="H209" s="171"/>
      <c r="I209" s="171"/>
      <c r="K209" s="171"/>
      <c r="X209" s="229"/>
      <c r="Y209" s="229"/>
      <c r="Z209" s="229"/>
    </row>
    <row r="210" spans="3:27" ht="10.5" hidden="1">
      <c r="C210" s="1146"/>
      <c r="D210" s="172" t="str">
        <f>IF(Indice_index!$Z$1=1,"janeiro","January")</f>
        <v>janeiro</v>
      </c>
      <c r="E210" s="171">
        <v>0.7</v>
      </c>
      <c r="F210" s="171">
        <v>-0.9</v>
      </c>
      <c r="G210" s="171">
        <v>1.6</v>
      </c>
      <c r="H210" s="171">
        <v>0.8</v>
      </c>
      <c r="I210" s="171">
        <v>0.2</v>
      </c>
      <c r="K210" s="171">
        <v>-2.2000000000000002</v>
      </c>
      <c r="X210" s="229"/>
      <c r="Y210" s="229"/>
      <c r="Z210" s="229"/>
    </row>
    <row r="211" spans="3:27" ht="10.5" hidden="1">
      <c r="C211" s="1146"/>
      <c r="D211" s="172" t="str">
        <f>IF(Indice_index!$Z$1=1,"fevereiro","February")</f>
        <v>fevereiro</v>
      </c>
      <c r="E211" s="171">
        <v>0.5</v>
      </c>
      <c r="F211" s="171">
        <v>-0.9</v>
      </c>
      <c r="G211" s="171">
        <v>1.7</v>
      </c>
      <c r="H211" s="171">
        <v>0.6</v>
      </c>
      <c r="I211" s="171">
        <v>2.5</v>
      </c>
      <c r="K211" s="171">
        <v>-2.2000000000000002</v>
      </c>
      <c r="X211" s="229"/>
      <c r="Y211" s="229"/>
      <c r="Z211" s="229"/>
    </row>
    <row r="212" spans="3:27" ht="10.5" hidden="1">
      <c r="C212" s="1146"/>
      <c r="D212" s="172" t="str">
        <f>IF(Indice_index!$Z$1=1,"março","March")</f>
        <v>março</v>
      </c>
      <c r="E212" s="171">
        <v>0.3</v>
      </c>
      <c r="F212" s="171">
        <v>-0.8</v>
      </c>
      <c r="G212" s="171">
        <v>1.8</v>
      </c>
      <c r="H212" s="171">
        <v>0.5</v>
      </c>
      <c r="I212" s="171">
        <v>-0.3</v>
      </c>
      <c r="K212" s="171">
        <v>-2.2000000000000002</v>
      </c>
      <c r="X212" s="229"/>
      <c r="Y212" s="229"/>
      <c r="Z212" s="229"/>
    </row>
    <row r="213" spans="3:27" ht="10.5" hidden="1">
      <c r="C213" s="1146"/>
      <c r="D213" s="172" t="str">
        <f>IF(Indice_index!$Z$1=1,"abril","April")</f>
        <v>abril</v>
      </c>
      <c r="E213" s="171">
        <v>0.1</v>
      </c>
      <c r="F213" s="171">
        <v>-0.8</v>
      </c>
      <c r="G213" s="171">
        <v>1.7</v>
      </c>
      <c r="H213" s="171">
        <v>0.4</v>
      </c>
      <c r="I213" s="171">
        <v>-0.1</v>
      </c>
      <c r="K213" s="171">
        <v>-2.1</v>
      </c>
      <c r="X213" s="229"/>
      <c r="Y213" s="229"/>
      <c r="Z213" s="229"/>
    </row>
    <row r="214" spans="3:27" ht="10.5" hidden="1">
      <c r="C214" s="1146"/>
      <c r="D214" s="172" t="str">
        <f>IF(Indice_index!$Z$1=1,"maio","May")</f>
        <v>maio</v>
      </c>
      <c r="E214" s="171">
        <v>-0.1</v>
      </c>
      <c r="F214" s="171">
        <v>-0.8</v>
      </c>
      <c r="G214" s="171">
        <v>0.5</v>
      </c>
      <c r="H214" s="171">
        <v>0</v>
      </c>
      <c r="I214" s="171">
        <v>-0.3</v>
      </c>
      <c r="K214" s="171">
        <v>-2.2000000000000002</v>
      </c>
      <c r="X214" s="229"/>
      <c r="Y214" s="229"/>
      <c r="Z214" s="229"/>
    </row>
    <row r="215" spans="3:27" ht="10.5" hidden="1">
      <c r="C215" s="1146"/>
      <c r="D215" s="172" t="str">
        <f>IF(Indice_index!$Z$1=1,"junho","June")</f>
        <v>junho</v>
      </c>
      <c r="E215" s="171">
        <v>-0.3</v>
      </c>
      <c r="F215" s="171">
        <v>-0.9</v>
      </c>
      <c r="G215" s="171">
        <v>0.5</v>
      </c>
      <c r="H215" s="171">
        <v>-0.1</v>
      </c>
      <c r="I215" s="171">
        <v>1.5</v>
      </c>
      <c r="K215" s="171">
        <v>-2.2000000000000002</v>
      </c>
      <c r="X215" s="229"/>
      <c r="Y215" s="229"/>
      <c r="Z215" s="229"/>
    </row>
    <row r="216" spans="3:27" ht="10.5" hidden="1">
      <c r="C216" s="1146"/>
      <c r="D216" s="172" t="str">
        <f>IF(Indice_index!$Z$1=1,"julho","July")</f>
        <v>julho</v>
      </c>
      <c r="E216" s="171">
        <v>-0.3</v>
      </c>
      <c r="F216" s="171">
        <v>-0.9</v>
      </c>
      <c r="G216" s="171">
        <v>0.4</v>
      </c>
      <c r="H216" s="171">
        <v>-0.2</v>
      </c>
      <c r="I216" s="171">
        <v>1.3</v>
      </c>
      <c r="K216" s="171">
        <v>-2.1</v>
      </c>
      <c r="X216" s="229"/>
      <c r="Y216" s="229"/>
      <c r="Z216" s="229"/>
    </row>
    <row r="217" spans="3:27" ht="10.5" hidden="1">
      <c r="C217" s="1146"/>
      <c r="D217" s="172" t="str">
        <f>IF(Indice_index!$Z$1=1,"agosto","August")</f>
        <v>agosto</v>
      </c>
      <c r="E217" s="171">
        <v>-0.5</v>
      </c>
      <c r="F217" s="171">
        <v>-0.9</v>
      </c>
      <c r="G217" s="171">
        <v>0.3</v>
      </c>
      <c r="H217" s="171">
        <v>-0.3</v>
      </c>
      <c r="I217" s="171">
        <v>2.4</v>
      </c>
      <c r="K217" s="171">
        <v>-2.1</v>
      </c>
      <c r="X217" s="229"/>
      <c r="Y217" s="229"/>
      <c r="Z217" s="229"/>
    </row>
    <row r="218" spans="3:27" ht="10.5" hidden="1">
      <c r="C218" s="1146"/>
      <c r="D218" s="172" t="str">
        <f>IF(Indice_index!$Z$1=1,"setembro","September")</f>
        <v>setembro</v>
      </c>
      <c r="E218" s="171">
        <v>-0.6</v>
      </c>
      <c r="F218" s="171">
        <v>-0.9</v>
      </c>
      <c r="G218" s="171">
        <v>0.2</v>
      </c>
      <c r="H218" s="171">
        <v>-0.4</v>
      </c>
      <c r="I218" s="171">
        <v>1.7</v>
      </c>
      <c r="K218" s="171">
        <v>-2</v>
      </c>
      <c r="X218" s="229"/>
      <c r="Y218" s="229"/>
      <c r="Z218" s="229"/>
    </row>
    <row r="219" spans="3:27" ht="10.5" hidden="1">
      <c r="C219" s="1146"/>
      <c r="D219" s="172" t="str">
        <f>IF(Indice_index!$Z$1=1,"outubro","October")</f>
        <v>outubro</v>
      </c>
      <c r="E219" s="171">
        <v>-0.7</v>
      </c>
      <c r="F219" s="171">
        <v>-0.9</v>
      </c>
      <c r="G219" s="171">
        <v>0.2</v>
      </c>
      <c r="H219" s="171">
        <v>-0.5</v>
      </c>
      <c r="I219" s="171">
        <v>1.7</v>
      </c>
      <c r="K219" s="171">
        <v>-2</v>
      </c>
      <c r="X219" s="229"/>
      <c r="Y219" s="229"/>
      <c r="Z219" s="229"/>
    </row>
    <row r="220" spans="3:27" ht="10.5" hidden="1">
      <c r="C220" s="1146"/>
      <c r="D220" s="172" t="str">
        <f>IF(Indice_index!$Z$1=1,"novembro","November")</f>
        <v>novembro</v>
      </c>
      <c r="E220" s="171">
        <v>-0.7</v>
      </c>
      <c r="F220" s="171">
        <v>-0.9</v>
      </c>
      <c r="G220" s="171">
        <v>0.1</v>
      </c>
      <c r="H220" s="171">
        <v>-0.5</v>
      </c>
      <c r="I220" s="171">
        <v>1.9</v>
      </c>
      <c r="K220" s="171">
        <v>-2</v>
      </c>
      <c r="X220" s="229"/>
      <c r="Y220" s="229"/>
      <c r="Z220" s="229"/>
    </row>
    <row r="221" spans="3:27" ht="10.5" hidden="1">
      <c r="C221" s="1146"/>
      <c r="D221" s="172" t="str">
        <f>IF(Indice_index!$Z$1=1,"dezembro","December")</f>
        <v>dezembro</v>
      </c>
      <c r="E221" s="171">
        <v>-0.7</v>
      </c>
      <c r="F221" s="171">
        <v>-1</v>
      </c>
      <c r="G221" s="171">
        <v>0.1</v>
      </c>
      <c r="H221" s="171">
        <v>-0.6</v>
      </c>
      <c r="I221" s="171">
        <v>4.5999999999999996</v>
      </c>
      <c r="K221" s="171">
        <v>-2</v>
      </c>
      <c r="X221" s="229"/>
      <c r="Y221" s="229"/>
      <c r="Z221" s="229"/>
    </row>
    <row r="222" spans="3:27" ht="10.5" hidden="1">
      <c r="C222" s="1145">
        <v>2017</v>
      </c>
      <c r="D222" s="171"/>
      <c r="E222" s="171"/>
      <c r="F222" s="171"/>
      <c r="G222" s="171"/>
      <c r="H222" s="171"/>
      <c r="I222" s="171"/>
      <c r="K222" s="171"/>
      <c r="X222" s="229"/>
      <c r="Y222" s="229"/>
      <c r="Z222" s="229"/>
    </row>
    <row r="223" spans="3:27" s="171" customFormat="1" ht="10.5" hidden="1">
      <c r="C223" s="1191"/>
      <c r="D223" s="172" t="str">
        <f>IF(Indice_index!$Z$1=1,"janeiro","January")</f>
        <v>janeiro</v>
      </c>
      <c r="E223" s="171">
        <v>-0.7</v>
      </c>
      <c r="F223" s="171">
        <v>-1</v>
      </c>
      <c r="G223" s="171">
        <v>0.1</v>
      </c>
      <c r="H223" s="171">
        <v>-0.5</v>
      </c>
      <c r="I223" s="171">
        <v>-2</v>
      </c>
      <c r="K223" s="171">
        <v>-2.1</v>
      </c>
      <c r="M223" s="229"/>
      <c r="Q223" s="229"/>
      <c r="R223" s="229"/>
      <c r="S223" s="229"/>
      <c r="AA223" s="172"/>
    </row>
    <row r="224" spans="3:27" s="171" customFormat="1" ht="10.5" hidden="1">
      <c r="C224" s="1191"/>
      <c r="D224" s="172" t="str">
        <f>IF(Indice_index!$Z$1=1,"fevereiro","February")</f>
        <v>fevereiro</v>
      </c>
      <c r="E224" s="171">
        <v>-0.8</v>
      </c>
      <c r="F224" s="171">
        <v>-1</v>
      </c>
      <c r="G224" s="171">
        <v>0.1</v>
      </c>
      <c r="H224" s="171">
        <v>-0.6</v>
      </c>
      <c r="I224" s="171">
        <v>-4.7</v>
      </c>
      <c r="K224" s="171">
        <v>-2.1</v>
      </c>
      <c r="AA224" s="172"/>
    </row>
    <row r="225" spans="3:27" ht="10.5" hidden="1">
      <c r="C225" s="1145"/>
      <c r="D225" s="172" t="str">
        <f>IF(Indice_index!$Z$1=1,"março","March")</f>
        <v>março</v>
      </c>
      <c r="E225" s="171">
        <v>-0.9</v>
      </c>
      <c r="F225" s="171">
        <v>-1.1000000000000001</v>
      </c>
      <c r="G225" s="171">
        <v>0.1</v>
      </c>
      <c r="H225" s="171">
        <v>-0.7</v>
      </c>
      <c r="I225" s="171">
        <v>-1</v>
      </c>
      <c r="K225" s="171">
        <v>-2</v>
      </c>
      <c r="X225" s="229"/>
      <c r="Y225" s="229"/>
      <c r="Z225" s="229"/>
    </row>
    <row r="226" spans="3:27" ht="10.5" hidden="1">
      <c r="C226" s="1145"/>
      <c r="D226" s="172" t="str">
        <f>IF(Indice_index!$Z$1=1,"abril","April")</f>
        <v>abril</v>
      </c>
      <c r="E226" s="171">
        <v>-1</v>
      </c>
      <c r="F226" s="171">
        <v>-1.1000000000000001</v>
      </c>
      <c r="G226" s="171">
        <v>0.1</v>
      </c>
      <c r="H226" s="171">
        <v>-0.7</v>
      </c>
      <c r="I226" s="171">
        <v>-2</v>
      </c>
      <c r="K226" s="171">
        <v>-2</v>
      </c>
      <c r="X226" s="229"/>
      <c r="Y226" s="229"/>
      <c r="Z226" s="229"/>
    </row>
    <row r="227" spans="3:27" ht="10.5" hidden="1">
      <c r="C227" s="1145"/>
      <c r="D227" s="172" t="str">
        <f>IF(Indice_index!$Z$1=1,"maio","May")</f>
        <v>maio</v>
      </c>
      <c r="E227" s="171">
        <v>-0.9</v>
      </c>
      <c r="F227" s="171">
        <v>-1.1000000000000001</v>
      </c>
      <c r="G227" s="171">
        <v>0.1</v>
      </c>
      <c r="H227" s="171">
        <v>-0.6</v>
      </c>
      <c r="I227" s="171">
        <v>-1.8</v>
      </c>
      <c r="K227" s="171">
        <v>-2</v>
      </c>
      <c r="X227" s="229"/>
      <c r="Y227" s="229"/>
      <c r="Z227" s="229"/>
    </row>
    <row r="228" spans="3:27" ht="10.5" hidden="1">
      <c r="C228" s="1145"/>
      <c r="D228" s="172" t="str">
        <f>IF(Indice_index!$Z$1=1,"junho","June")</f>
        <v>junho</v>
      </c>
      <c r="E228" s="171">
        <v>-0.8</v>
      </c>
      <c r="F228" s="171">
        <v>-1.1000000000000001</v>
      </c>
      <c r="G228" s="171">
        <v>0.1</v>
      </c>
      <c r="H228" s="171">
        <v>-0.6</v>
      </c>
      <c r="I228" s="171">
        <v>-3.4</v>
      </c>
      <c r="K228" s="171">
        <v>-2.1</v>
      </c>
      <c r="X228" s="229"/>
      <c r="Y228" s="229"/>
      <c r="Z228" s="229"/>
    </row>
    <row r="229" spans="3:27" ht="10.5" hidden="1">
      <c r="C229" s="1145"/>
      <c r="D229" s="172" t="str">
        <f>IF(Indice_index!$Z$1=1,"julho","July")</f>
        <v>julho</v>
      </c>
      <c r="E229" s="171">
        <v>-0.5</v>
      </c>
      <c r="F229" s="171">
        <v>-1.1000000000000001</v>
      </c>
      <c r="G229" s="171">
        <v>0.1</v>
      </c>
      <c r="H229" s="171">
        <v>-0.4</v>
      </c>
      <c r="I229" s="171">
        <v>-1.5</v>
      </c>
      <c r="K229" s="171">
        <v>-2.2000000000000002</v>
      </c>
      <c r="X229" s="229"/>
      <c r="Y229" s="229"/>
      <c r="Z229" s="229"/>
    </row>
    <row r="230" spans="3:27" ht="10.5" hidden="1">
      <c r="C230" s="1145"/>
      <c r="D230" s="172" t="str">
        <f>IF(Indice_index!$Z$1=1,"agosto","August")</f>
        <v>agosto</v>
      </c>
      <c r="E230" s="171">
        <v>-0.4</v>
      </c>
      <c r="F230" s="171">
        <v>-1.2</v>
      </c>
      <c r="G230" s="171">
        <v>0.1</v>
      </c>
      <c r="H230" s="171">
        <v>-0.4</v>
      </c>
      <c r="I230" s="171">
        <v>-3.3</v>
      </c>
      <c r="K230" s="171">
        <v>-2.1</v>
      </c>
      <c r="X230" s="229"/>
      <c r="Y230" s="229"/>
      <c r="Z230" s="229"/>
    </row>
    <row r="231" spans="3:27" ht="10.5" hidden="1">
      <c r="C231" s="1145"/>
      <c r="D231" s="172" t="str">
        <f>IF(Indice_index!$Z$1=1,"setembro","September")</f>
        <v>setembro</v>
      </c>
      <c r="E231" s="171">
        <v>-0.3</v>
      </c>
      <c r="F231" s="171">
        <v>-1.2</v>
      </c>
      <c r="G231" s="171">
        <v>0.1</v>
      </c>
      <c r="H231" s="171">
        <v>-0.3</v>
      </c>
      <c r="I231" s="171">
        <v>-3</v>
      </c>
      <c r="K231" s="171">
        <v>-2.2000000000000002</v>
      </c>
      <c r="X231" s="229"/>
      <c r="Y231" s="229"/>
      <c r="Z231" s="229"/>
    </row>
    <row r="232" spans="3:27" ht="10.5" hidden="1">
      <c r="C232" s="1145"/>
      <c r="D232" s="172" t="str">
        <f>IF(Indice_index!$Z$1=1,"outubro","October")</f>
        <v>outubro</v>
      </c>
      <c r="E232" s="171">
        <v>-0.1</v>
      </c>
      <c r="F232" s="171">
        <v>-1.3</v>
      </c>
      <c r="G232" s="171">
        <v>2.2999999999999998</v>
      </c>
      <c r="H232" s="171">
        <v>0.3</v>
      </c>
      <c r="I232" s="171">
        <v>-3.6</v>
      </c>
      <c r="K232" s="171">
        <v>-2.2000000000000002</v>
      </c>
      <c r="X232" s="229"/>
      <c r="Y232" s="229"/>
      <c r="Z232" s="229"/>
    </row>
    <row r="233" spans="3:27" ht="10.5" hidden="1">
      <c r="C233" s="1146"/>
      <c r="D233" s="172" t="str">
        <f>IF(Indice_index!$Z$1=1,"novembro","November")</f>
        <v>novembro</v>
      </c>
      <c r="E233" s="171">
        <v>0</v>
      </c>
      <c r="F233" s="171">
        <v>-1.2</v>
      </c>
      <c r="G233" s="171">
        <v>2.2999999999999998</v>
      </c>
      <c r="H233" s="171">
        <v>0.5</v>
      </c>
      <c r="I233" s="171">
        <v>41.7</v>
      </c>
      <c r="J233" s="171"/>
      <c r="K233" s="171">
        <v>-2.2000000000000002</v>
      </c>
      <c r="X233" s="229"/>
      <c r="Y233" s="229"/>
      <c r="Z233" s="229"/>
    </row>
    <row r="234" spans="3:27" ht="10.5" hidden="1">
      <c r="C234" s="1146"/>
      <c r="D234" s="172" t="str">
        <f>IF(Indice_index!$Z$1=1,"dezembro","December")</f>
        <v>dezembro</v>
      </c>
      <c r="E234" s="171">
        <v>0.1</v>
      </c>
      <c r="F234" s="171">
        <v>-1.3</v>
      </c>
      <c r="G234" s="171">
        <v>2.4</v>
      </c>
      <c r="H234" s="171">
        <v>0.5</v>
      </c>
      <c r="I234" s="171">
        <v>-2.2999999999999998</v>
      </c>
      <c r="K234" s="171">
        <v>-2.1</v>
      </c>
      <c r="X234" s="229"/>
      <c r="Y234" s="229"/>
      <c r="Z234" s="229"/>
    </row>
    <row r="235" spans="3:27" ht="15" hidden="1" customHeight="1">
      <c r="C235" s="1145">
        <v>2018</v>
      </c>
      <c r="D235" s="171"/>
      <c r="E235" s="171"/>
      <c r="F235" s="171"/>
      <c r="G235" s="171"/>
      <c r="H235" s="171"/>
      <c r="I235" s="171"/>
      <c r="K235" s="171"/>
      <c r="X235" s="229"/>
      <c r="Y235" s="229"/>
      <c r="Z235" s="229"/>
    </row>
    <row r="236" spans="3:27" s="171" customFormat="1" ht="15" hidden="1" customHeight="1">
      <c r="C236" s="1191"/>
      <c r="D236" s="172" t="str">
        <f>IF(Indice_index!$Z$1=1,"janeiro","January")</f>
        <v>janeiro</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191"/>
      <c r="D237" s="172" t="str">
        <f>IF(Indice_index!$Z$1=1,"fevereiro","February")</f>
        <v>fevereiro</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145"/>
      <c r="D238" s="172" t="str">
        <f>IF(Indice_index!$Z$1=1,"março","March")</f>
        <v>março</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145"/>
      <c r="D239" s="172" t="str">
        <f>IF(Indice_index!$Z$1=1,"abril","April")</f>
        <v>abril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145"/>
      <c r="D240" s="172" t="str">
        <f>IF(Indice_index!$Z$1=1,"maio","May")</f>
        <v>maio</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145"/>
      <c r="D241" s="172" t="str">
        <f>IF(Indice_index!$Z$1=1,"junho","June")</f>
        <v>junho</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145"/>
      <c r="D242" s="172" t="str">
        <f>IF(Indice_index!$Z$1=1,"julho","July")</f>
        <v>julho</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145"/>
      <c r="D243" s="172" t="str">
        <f>IF(Indice_index!$Z$1=1,"agosto","August")</f>
        <v>agosto</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145"/>
      <c r="D244" s="172" t="str">
        <f>IF(Indice_index!$Z$1=1,"setembro","September")</f>
        <v>setembro</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145"/>
      <c r="D245" s="172" t="str">
        <f>IF(Indice_index!$Z$1=1,"outubro","October")</f>
        <v>outubro</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146"/>
      <c r="D246" s="172" t="str">
        <f>IF(Indice_index!$Z$1=1,"novembro","November")</f>
        <v>novembro</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146"/>
      <c r="D247" s="172" t="str">
        <f>IF(Indice_index!$Z$1=1,"dezembro","December")</f>
        <v>dezembro</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145">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191"/>
      <c r="D249" s="172" t="str">
        <f>IF(Indice_index!$Z$1=1,"janeiro","January")</f>
        <v>janeiro</v>
      </c>
      <c r="E249" s="1192">
        <v>-0.4</v>
      </c>
      <c r="F249" s="1192">
        <v>-1.4</v>
      </c>
      <c r="G249" s="1192">
        <v>-0.3</v>
      </c>
      <c r="H249" s="1192">
        <v>-0.5</v>
      </c>
      <c r="I249" s="1192">
        <v>2.6</v>
      </c>
      <c r="J249" s="1192"/>
      <c r="K249" s="1192">
        <v>-2.2000000000000002</v>
      </c>
      <c r="M249" s="231"/>
      <c r="N249" s="231"/>
      <c r="O249" s="231"/>
      <c r="P249" s="231"/>
      <c r="Q249" s="231"/>
      <c r="R249" s="231"/>
      <c r="S249" s="231"/>
      <c r="AA249" s="172"/>
    </row>
    <row r="250" spans="3:27" s="171" customFormat="1" ht="15" customHeight="1">
      <c r="C250" s="1191"/>
      <c r="D250" s="172" t="str">
        <f>IF(Indice_index!$Z$1=1,"fevereiro","February")</f>
        <v>fevereiro</v>
      </c>
      <c r="E250" s="1192">
        <v>-0.4</v>
      </c>
      <c r="F250" s="1192">
        <v>-1.3</v>
      </c>
      <c r="G250" s="1192">
        <v>-0.2</v>
      </c>
      <c r="H250" s="1192">
        <v>-0.4</v>
      </c>
      <c r="I250" s="1192">
        <v>1.6</v>
      </c>
      <c r="J250" s="1192"/>
      <c r="K250" s="1192">
        <v>-2.2999999999999998</v>
      </c>
      <c r="M250" s="231"/>
      <c r="N250" s="231"/>
      <c r="O250" s="231"/>
      <c r="P250" s="231"/>
      <c r="Q250" s="231"/>
      <c r="R250" s="231"/>
      <c r="S250" s="231"/>
      <c r="AA250" s="172"/>
    </row>
    <row r="251" spans="3:27" ht="15" customHeight="1">
      <c r="C251" s="1145"/>
      <c r="D251" s="172" t="str">
        <f>IF(Indice_index!$Z$1=1,"março","March")</f>
        <v>março</v>
      </c>
      <c r="E251" s="1192">
        <v>-0.5</v>
      </c>
      <c r="F251" s="1192">
        <v>-1.2</v>
      </c>
      <c r="G251" s="1192">
        <v>0</v>
      </c>
      <c r="H251" s="1192">
        <v>-0.4</v>
      </c>
      <c r="I251" s="1192">
        <v>1.7</v>
      </c>
      <c r="J251" s="1192"/>
      <c r="K251" s="1192">
        <v>-2.4</v>
      </c>
      <c r="M251" s="231"/>
      <c r="N251" s="231"/>
      <c r="O251" s="231"/>
      <c r="P251" s="231"/>
      <c r="Q251" s="231"/>
      <c r="R251" s="231"/>
      <c r="S251" s="231"/>
      <c r="X251" s="229"/>
      <c r="Y251" s="229"/>
      <c r="Z251" s="229"/>
    </row>
    <row r="252" spans="3:27" ht="15" customHeight="1">
      <c r="C252" s="1145"/>
      <c r="D252" s="172" t="str">
        <f>IF(Indice_index!$Z$1=1,"abril","April")</f>
        <v>abril</v>
      </c>
      <c r="E252" s="1192">
        <v>-0.3</v>
      </c>
      <c r="F252" s="1192">
        <v>-0.9</v>
      </c>
      <c r="G252" s="1192">
        <v>0.1</v>
      </c>
      <c r="H252" s="1192">
        <v>-0.3</v>
      </c>
      <c r="I252" s="1192">
        <v>1.4</v>
      </c>
      <c r="J252" s="1192"/>
      <c r="K252" s="1192">
        <v>-2.4</v>
      </c>
      <c r="M252" s="231"/>
      <c r="N252" s="231"/>
      <c r="O252" s="231"/>
      <c r="P252" s="231"/>
      <c r="Q252" s="231"/>
      <c r="R252" s="231"/>
      <c r="S252" s="231"/>
      <c r="X252" s="229"/>
      <c r="Y252" s="229"/>
      <c r="Z252" s="229"/>
    </row>
    <row r="253" spans="3:27" ht="15" customHeight="1">
      <c r="C253" s="1145"/>
      <c r="D253" s="172" t="str">
        <f>IF(Indice_index!$Z$1=1,"maio","May")</f>
        <v>maio</v>
      </c>
      <c r="E253" s="1192">
        <v>-0.3</v>
      </c>
      <c r="F253" s="1192">
        <v>-0.8</v>
      </c>
      <c r="G253" s="1192">
        <v>0.2</v>
      </c>
      <c r="H253" s="1192">
        <v>-0.2</v>
      </c>
      <c r="I253" s="1192">
        <v>1.5</v>
      </c>
      <c r="J253" s="1192"/>
      <c r="K253" s="1192">
        <v>-2.4</v>
      </c>
      <c r="M253" s="231"/>
      <c r="N253" s="231"/>
      <c r="O253" s="231"/>
      <c r="P253" s="231"/>
      <c r="Q253" s="231"/>
      <c r="R253" s="231"/>
      <c r="S253" s="231"/>
      <c r="X253" s="229"/>
      <c r="Y253" s="229"/>
      <c r="Z253" s="229"/>
    </row>
    <row r="254" spans="3:27" ht="15" customHeight="1">
      <c r="C254" s="1145"/>
      <c r="D254" s="172" t="str">
        <f>IF(Indice_index!$Z$1=1,"junho","June")</f>
        <v>junho</v>
      </c>
      <c r="E254" s="1192">
        <v>-0.2</v>
      </c>
      <c r="F254" s="1192">
        <v>-0.7</v>
      </c>
      <c r="G254" s="1192">
        <v>0.5</v>
      </c>
      <c r="H254" s="1192">
        <v>-0.1</v>
      </c>
      <c r="I254" s="1192">
        <v>1.5</v>
      </c>
      <c r="J254" s="1192"/>
      <c r="K254" s="1192">
        <v>-2.5</v>
      </c>
      <c r="M254" s="231"/>
      <c r="N254" s="231"/>
      <c r="O254" s="231"/>
      <c r="P254" s="231"/>
      <c r="Q254" s="231"/>
      <c r="R254" s="231"/>
      <c r="S254" s="231"/>
      <c r="X254" s="229"/>
      <c r="Y254" s="229"/>
      <c r="Z254" s="229"/>
    </row>
    <row r="255" spans="3:27" ht="15" customHeight="1">
      <c r="C255" s="1145"/>
      <c r="D255" s="172" t="str">
        <f>IF(Indice_index!$Z$1=1,"julho","July")</f>
        <v>julho</v>
      </c>
      <c r="E255" s="1192">
        <v>-0.1</v>
      </c>
      <c r="F255" s="1192">
        <v>-0.6</v>
      </c>
      <c r="G255" s="1192">
        <v>0.5</v>
      </c>
      <c r="H255" s="1192">
        <v>0</v>
      </c>
      <c r="I255" s="1192">
        <v>1.4</v>
      </c>
      <c r="J255" s="1192"/>
      <c r="K255" s="1192">
        <v>-2.5</v>
      </c>
      <c r="M255" s="231"/>
      <c r="N255" s="231"/>
      <c r="O255" s="231"/>
      <c r="P255" s="231"/>
      <c r="Q255" s="231"/>
      <c r="R255" s="231"/>
      <c r="S255" s="231"/>
      <c r="X255" s="229"/>
      <c r="Y255" s="229"/>
      <c r="Z255" s="229"/>
    </row>
    <row r="256" spans="3:27" ht="15" customHeight="1">
      <c r="C256" s="1145"/>
      <c r="D256" s="172" t="str">
        <f>IF(Indice_index!$Z$1=1,"agosto","August")</f>
        <v>agosto</v>
      </c>
      <c r="E256" s="1192">
        <v>-0.1</v>
      </c>
      <c r="F256" s="1192">
        <v>-0.6</v>
      </c>
      <c r="G256" s="1192">
        <v>0.7</v>
      </c>
      <c r="H256" s="1192">
        <v>0</v>
      </c>
      <c r="I256" s="1192">
        <v>3.2</v>
      </c>
      <c r="J256" s="1192"/>
      <c r="K256" s="1192">
        <v>-2.5</v>
      </c>
      <c r="X256" s="229"/>
      <c r="Y256" s="229"/>
      <c r="Z256" s="229"/>
    </row>
    <row r="257" spans="3:27" ht="15" customHeight="1">
      <c r="C257" s="1145"/>
      <c r="D257" s="172" t="str">
        <f>IF(Indice_index!$Z$1=1,"setembro","September")</f>
        <v>setembro</v>
      </c>
      <c r="E257" s="1192">
        <v>-0.1</v>
      </c>
      <c r="F257" s="1192">
        <v>-0.5</v>
      </c>
      <c r="G257" s="1192">
        <v>0.9</v>
      </c>
      <c r="H257" s="1192">
        <v>0.1</v>
      </c>
      <c r="I257" s="1192">
        <v>1.4</v>
      </c>
      <c r="J257" s="1192"/>
      <c r="K257" s="1192">
        <v>-2.5</v>
      </c>
      <c r="X257" s="229"/>
      <c r="Y257" s="229"/>
      <c r="Z257" s="229"/>
    </row>
    <row r="258" spans="3:27" ht="15" customHeight="1">
      <c r="C258" s="1145"/>
      <c r="D258" s="172" t="str">
        <f>IF(Indice_index!$Z$1=1,"outubro","October")</f>
        <v>outubro</v>
      </c>
      <c r="E258" s="1193">
        <v>0</v>
      </c>
      <c r="F258" s="1193">
        <v>-0.5</v>
      </c>
      <c r="G258" s="1193">
        <v>1</v>
      </c>
      <c r="H258" s="1193">
        <v>0.2</v>
      </c>
      <c r="I258" s="1193">
        <v>0.3</v>
      </c>
      <c r="J258" s="1193"/>
      <c r="K258" s="1193">
        <v>-2.6</v>
      </c>
      <c r="X258" s="229"/>
      <c r="Y258" s="229"/>
      <c r="Z258" s="229"/>
    </row>
    <row r="259" spans="3:27" ht="15" customHeight="1">
      <c r="C259" s="1146"/>
      <c r="D259" s="172" t="str">
        <f>IF(Indice_index!$Z$1=1,"novembro","November")</f>
        <v>novembro</v>
      </c>
      <c r="E259" s="1194">
        <v>0.28741768342819835</v>
      </c>
      <c r="F259" s="1194">
        <v>-0.478849644003909</v>
      </c>
      <c r="G259" s="1194">
        <v>1.0870232381139442</v>
      </c>
      <c r="H259" s="1194">
        <v>0.40484568665660392</v>
      </c>
      <c r="I259" s="1194">
        <v>2.2368481612740077</v>
      </c>
      <c r="J259" s="1194"/>
      <c r="K259" s="1194">
        <v>-2.7141471799914054</v>
      </c>
      <c r="X259" s="229"/>
      <c r="Y259" s="229"/>
      <c r="Z259" s="229"/>
    </row>
    <row r="260" spans="3:27" ht="15" customHeight="1">
      <c r="C260" s="1146"/>
      <c r="D260" s="172" t="str">
        <f>IF(Indice_index!$Z$1=1,"dezembro","December")</f>
        <v>dezembro</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145">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191"/>
      <c r="D262" s="172" t="str">
        <f>IF(Indice_index!$Z$1=1,"janeiro","January")</f>
        <v>janeiro</v>
      </c>
      <c r="E262" s="1192">
        <v>0.64890282901017782</v>
      </c>
      <c r="F262" s="1192">
        <v>-0.79712977440250177</v>
      </c>
      <c r="G262" s="1192">
        <v>1.2976038113667399</v>
      </c>
      <c r="H262" s="1192">
        <v>0.65256308473045976</v>
      </c>
      <c r="I262" s="1192">
        <v>0.13975019652370591</v>
      </c>
      <c r="J262" s="1192"/>
      <c r="K262" s="1192">
        <v>-2.830792038708132</v>
      </c>
      <c r="M262" s="231"/>
      <c r="N262" s="231"/>
      <c r="O262" s="231"/>
      <c r="P262" s="231"/>
      <c r="Q262" s="231"/>
      <c r="R262" s="231"/>
      <c r="S262" s="231"/>
      <c r="T262" s="231"/>
      <c r="U262" s="231"/>
      <c r="V262" s="231"/>
      <c r="W262" s="231"/>
      <c r="X262" s="231"/>
      <c r="Y262" s="231"/>
      <c r="AA262" s="172"/>
    </row>
    <row r="263" spans="3:27" s="171" customFormat="1" ht="15" customHeight="1">
      <c r="C263" s="1191"/>
      <c r="D263" s="172" t="str">
        <f>IF(Indice_index!$Z$1=1,"fevereiro","February")</f>
        <v>fevereiro</v>
      </c>
      <c r="E263" s="1192">
        <v>0.71713812768005814</v>
      </c>
      <c r="F263" s="1192">
        <v>-0.90320596171860801</v>
      </c>
      <c r="G263" s="1192">
        <v>1.0851679441144626</v>
      </c>
      <c r="H263" s="1192">
        <v>0.63035875012068388</v>
      </c>
      <c r="I263" s="1192">
        <v>0.47317203821089027</v>
      </c>
      <c r="J263" s="1192"/>
      <c r="K263" s="1192">
        <v>-2.9193642253336143</v>
      </c>
      <c r="M263" s="231"/>
      <c r="N263" s="231"/>
      <c r="O263" s="231"/>
      <c r="P263" s="231"/>
      <c r="Q263" s="231"/>
      <c r="R263" s="231"/>
      <c r="S263" s="231"/>
      <c r="T263" s="231"/>
      <c r="U263" s="231"/>
      <c r="V263" s="231"/>
      <c r="W263" s="231"/>
      <c r="X263" s="231"/>
      <c r="Y263" s="231"/>
      <c r="AA263" s="172"/>
    </row>
    <row r="264" spans="3:27" ht="15" customHeight="1">
      <c r="C264" s="1145"/>
      <c r="D264" s="172" t="str">
        <f>IF(Indice_index!$Z$1=1,"março","March")</f>
        <v>março</v>
      </c>
      <c r="E264" s="1192">
        <v>0.89035299211746077</v>
      </c>
      <c r="F264" s="1192">
        <v>-0.82113980359790717</v>
      </c>
      <c r="G264" s="1192">
        <v>1.0608878664774117</v>
      </c>
      <c r="H264" s="1192">
        <v>0.74305973476852272</v>
      </c>
      <c r="I264" s="1192">
        <v>1.1182252682838725</v>
      </c>
      <c r="J264" s="1192"/>
      <c r="K264" s="1192">
        <v>-2.9439334000603719</v>
      </c>
      <c r="M264" s="231"/>
      <c r="N264" s="231"/>
      <c r="O264" s="231"/>
      <c r="P264" s="231"/>
      <c r="Q264" s="231"/>
      <c r="R264" s="231"/>
      <c r="S264" s="231"/>
      <c r="T264" s="231"/>
      <c r="U264" s="231"/>
      <c r="V264" s="231"/>
      <c r="W264" s="231"/>
      <c r="X264" s="231"/>
      <c r="Y264" s="231"/>
      <c r="Z264" s="229"/>
    </row>
    <row r="265" spans="3:27" ht="15" customHeight="1">
      <c r="C265" s="1145"/>
      <c r="D265" s="172" t="str">
        <f>IF(Indice_index!$Z$1=1,"abril","April")</f>
        <v>abril</v>
      </c>
      <c r="E265" s="1192">
        <v>0.93985054875859053</v>
      </c>
      <c r="F265" s="1192">
        <v>-1.0999762393950829</v>
      </c>
      <c r="G265" s="1192">
        <v>1.1725754432347415</v>
      </c>
      <c r="H265" s="1192">
        <v>0.77162658884929436</v>
      </c>
      <c r="I265" s="1192">
        <v>0.49291987811435745</v>
      </c>
      <c r="J265" s="1192"/>
      <c r="K265" s="1192">
        <v>-2.9996565973114526</v>
      </c>
      <c r="M265" s="231"/>
      <c r="N265" s="231"/>
      <c r="O265" s="231"/>
      <c r="P265" s="231"/>
      <c r="Q265" s="231"/>
      <c r="R265" s="231"/>
      <c r="S265" s="231"/>
      <c r="T265" s="231"/>
      <c r="U265" s="231"/>
      <c r="V265" s="231"/>
      <c r="W265" s="231"/>
      <c r="X265" s="231"/>
      <c r="Y265" s="231"/>
      <c r="Z265" s="229"/>
    </row>
    <row r="266" spans="3:27" ht="15" customHeight="1">
      <c r="C266" s="1145"/>
      <c r="D266" s="172" t="str">
        <f>IF(Indice_index!$Z$1=1,"maio","May")</f>
        <v>maio</v>
      </c>
      <c r="E266" s="1195">
        <v>0.9733508339846918</v>
      </c>
      <c r="F266" s="1195">
        <v>-1.362759623179493</v>
      </c>
      <c r="G266" s="1195">
        <v>1.1885662498622218</v>
      </c>
      <c r="H266" s="1195">
        <v>0.76765561155317019</v>
      </c>
      <c r="I266" s="1195">
        <v>0.65629776139530294</v>
      </c>
      <c r="J266" s="1195"/>
      <c r="K266" s="1195">
        <v>-3.0613454149327475</v>
      </c>
      <c r="M266" s="231"/>
      <c r="N266" s="231"/>
      <c r="O266" s="231"/>
      <c r="P266" s="231"/>
      <c r="Q266" s="231"/>
      <c r="R266" s="231"/>
      <c r="S266" s="231"/>
      <c r="T266" s="231"/>
      <c r="U266" s="231"/>
      <c r="V266" s="231"/>
      <c r="W266" s="231"/>
      <c r="X266" s="231"/>
      <c r="Y266" s="231"/>
      <c r="Z266" s="229"/>
    </row>
    <row r="267" spans="3:27" ht="15" customHeight="1">
      <c r="C267" s="1145"/>
      <c r="D267" s="172" t="str">
        <f>IF(Indice_index!$Z$1=1,"junho","June")</f>
        <v>junho</v>
      </c>
      <c r="E267" s="1192">
        <v>1.1000000000000001</v>
      </c>
      <c r="F267" s="1192">
        <v>-1.6</v>
      </c>
      <c r="G267" s="1192">
        <v>1</v>
      </c>
      <c r="H267" s="1192">
        <v>0.8</v>
      </c>
      <c r="I267" s="1192">
        <v>0.6</v>
      </c>
      <c r="J267" s="1192"/>
      <c r="K267" s="1192">
        <v>-3.1</v>
      </c>
      <c r="M267" s="231"/>
      <c r="N267" s="231"/>
      <c r="O267" s="231"/>
      <c r="P267" s="231"/>
      <c r="Q267" s="231"/>
      <c r="R267" s="231"/>
      <c r="S267" s="231"/>
      <c r="T267" s="231"/>
      <c r="U267" s="231"/>
      <c r="V267" s="231"/>
      <c r="W267" s="231"/>
      <c r="X267" s="231"/>
      <c r="Y267" s="231"/>
      <c r="Z267" s="229"/>
    </row>
    <row r="268" spans="3:27" ht="15" customHeight="1">
      <c r="C268" s="1145"/>
      <c r="D268" s="172" t="str">
        <f>IF(Indice_index!$Z$1=1,"julho","July")</f>
        <v>julho</v>
      </c>
      <c r="E268" s="1192">
        <v>1.2</v>
      </c>
      <c r="F268" s="1192">
        <v>-1.8</v>
      </c>
      <c r="G268" s="1192">
        <v>1.1000000000000001</v>
      </c>
      <c r="H268" s="1192">
        <v>0.8</v>
      </c>
      <c r="I268" s="1192">
        <v>0.5</v>
      </c>
      <c r="J268" s="1192"/>
      <c r="K268" s="1192">
        <v>-3.2</v>
      </c>
      <c r="M268" s="231"/>
      <c r="N268" s="231"/>
      <c r="O268" s="231"/>
      <c r="P268" s="231"/>
      <c r="Q268" s="231"/>
      <c r="R268" s="231"/>
      <c r="S268" s="231"/>
      <c r="X268" s="229"/>
      <c r="Y268" s="229"/>
      <c r="Z268" s="229"/>
    </row>
    <row r="269" spans="3:27" ht="15" customHeight="1">
      <c r="C269" s="1145"/>
      <c r="D269" s="172" t="str">
        <f>IF(Indice_index!$Z$1=1,"agosto","August")</f>
        <v>agosto</v>
      </c>
      <c r="E269" s="1192">
        <v>1.2534073328258146</v>
      </c>
      <c r="F269" s="1192">
        <v>-1.9747522812517495</v>
      </c>
      <c r="G269" s="1192">
        <v>1.1217665384357454</v>
      </c>
      <c r="H269" s="1192">
        <v>0.86091406574564067</v>
      </c>
      <c r="I269" s="1192">
        <v>-0.76794068320240483</v>
      </c>
      <c r="J269" s="1192"/>
      <c r="K269" s="1192">
        <v>-3.2695709634565215</v>
      </c>
      <c r="X269" s="229"/>
      <c r="Y269" s="229"/>
      <c r="Z269" s="229"/>
    </row>
    <row r="270" spans="3:27" ht="15" customHeight="1">
      <c r="C270" s="1145"/>
      <c r="D270" s="172" t="str">
        <f>IF(Indice_index!$Z$1=1,"setembro","September")</f>
        <v>setembro</v>
      </c>
      <c r="E270" s="1192">
        <v>1.2688330907743317</v>
      </c>
      <c r="F270" s="1192">
        <v>-2.3009097270818755</v>
      </c>
      <c r="G270" s="1192">
        <v>0.96997521783341767</v>
      </c>
      <c r="H270" s="1192">
        <v>0.79593620071461668</v>
      </c>
      <c r="I270" s="1192">
        <v>1.0147270114942692</v>
      </c>
      <c r="J270" s="1192"/>
      <c r="K270" s="1192">
        <v>-3.4066937656284866</v>
      </c>
      <c r="X270" s="229"/>
      <c r="Y270" s="229"/>
      <c r="Z270" s="229"/>
    </row>
    <row r="271" spans="3:27" ht="15" customHeight="1">
      <c r="C271" s="1145"/>
      <c r="D271" s="172" t="str">
        <f>IF(Indice_index!$Z$1=1,"outubro","October")</f>
        <v>outubro</v>
      </c>
      <c r="E271" s="1196">
        <v>1.4</v>
      </c>
      <c r="F271" s="1196">
        <v>-2.4</v>
      </c>
      <c r="G271" s="1196">
        <v>0.9</v>
      </c>
      <c r="H271" s="1196">
        <v>0.8</v>
      </c>
      <c r="I271" s="1196">
        <v>0.7</v>
      </c>
      <c r="J271" s="1196"/>
      <c r="K271" s="1196">
        <v>-3.4</v>
      </c>
      <c r="X271" s="229"/>
      <c r="Y271" s="229"/>
      <c r="Z271" s="229"/>
    </row>
    <row r="272" spans="3:27" ht="15" customHeight="1">
      <c r="C272" s="1146"/>
      <c r="D272" s="172" t="str">
        <f>IF(Indice_index!$Z$1=1,"novembro","November")</f>
        <v>novembro</v>
      </c>
      <c r="E272" s="1197">
        <v>1.1000000000000001</v>
      </c>
      <c r="F272" s="1197">
        <v>-2.5</v>
      </c>
      <c r="G272" s="1197">
        <v>0.8</v>
      </c>
      <c r="H272" s="1197">
        <v>0.6</v>
      </c>
      <c r="I272" s="1197">
        <v>0</v>
      </c>
      <c r="J272" s="1197"/>
      <c r="K272" s="1197">
        <v>-3.3</v>
      </c>
      <c r="X272" s="229"/>
      <c r="Y272" s="229"/>
      <c r="Z272" s="229"/>
    </row>
    <row r="273" spans="3:27" ht="15" customHeight="1">
      <c r="C273" s="1146"/>
      <c r="D273" s="172" t="str">
        <f>IF(Indice_index!$Z$1=1,"dezembro","December")</f>
        <v>dezembro</v>
      </c>
      <c r="E273" s="1198">
        <v>0.8</v>
      </c>
      <c r="F273" s="1198">
        <v>-2.7</v>
      </c>
      <c r="G273" s="1198">
        <v>1</v>
      </c>
      <c r="H273" s="1198">
        <v>0.5</v>
      </c>
      <c r="I273" s="1198">
        <v>0.9</v>
      </c>
      <c r="J273" s="1198"/>
      <c r="K273" s="1198">
        <v>-3.3</v>
      </c>
      <c r="X273" s="229"/>
      <c r="Y273" s="229"/>
      <c r="Z273" s="229"/>
    </row>
    <row r="274" spans="3:27" ht="15" customHeight="1">
      <c r="C274" s="1145"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191"/>
      <c r="D275" s="172" t="str">
        <f>IF(Indice_index!$Z$1=1,"janeiro","January")</f>
        <v>janeiro</v>
      </c>
      <c r="E275" s="1192">
        <v>0.7</v>
      </c>
      <c r="F275" s="1192">
        <v>-2.7</v>
      </c>
      <c r="G275" s="1192">
        <v>0.4</v>
      </c>
      <c r="H275" s="1192">
        <v>0.3</v>
      </c>
      <c r="I275" s="1192">
        <v>0.9</v>
      </c>
      <c r="J275" s="1192"/>
      <c r="K275" s="1192">
        <v>-3.3</v>
      </c>
      <c r="M275" s="231"/>
      <c r="N275" s="231"/>
      <c r="O275" s="231"/>
      <c r="P275" s="231"/>
      <c r="Q275" s="231"/>
      <c r="R275" s="231"/>
      <c r="S275" s="231"/>
      <c r="T275" s="231"/>
      <c r="U275" s="231"/>
      <c r="V275" s="231"/>
      <c r="W275" s="231"/>
      <c r="X275" s="231"/>
      <c r="Y275" s="231"/>
      <c r="AA275" s="172"/>
    </row>
    <row r="276" spans="3:27" s="171" customFormat="1" ht="15" customHeight="1">
      <c r="C276" s="1191"/>
      <c r="D276" s="172" t="str">
        <f>IF(Indice_index!$Z$1=1,"fevereiro","February")</f>
        <v>fevereiro</v>
      </c>
      <c r="E276" s="1192">
        <v>0.6</v>
      </c>
      <c r="F276" s="1192">
        <v>-2.8</v>
      </c>
      <c r="G276" s="1192">
        <v>0.4</v>
      </c>
      <c r="H276" s="1192">
        <v>0.2</v>
      </c>
      <c r="I276" s="1192">
        <v>0.3</v>
      </c>
      <c r="J276" s="1192"/>
      <c r="K276" s="1192">
        <v>-3.2</v>
      </c>
      <c r="M276" s="231"/>
      <c r="N276" s="231"/>
      <c r="O276" s="231"/>
      <c r="P276" s="231"/>
      <c r="Q276" s="231"/>
      <c r="R276" s="231"/>
      <c r="S276" s="231"/>
      <c r="T276" s="231"/>
      <c r="U276" s="231"/>
      <c r="V276" s="231"/>
      <c r="W276" s="231"/>
      <c r="X276" s="231"/>
      <c r="Y276" s="231"/>
      <c r="AA276" s="172"/>
    </row>
    <row r="277" spans="3:27" ht="15" customHeight="1">
      <c r="C277" s="1145"/>
      <c r="D277" s="172" t="str">
        <f>IF(Indice_index!$Z$1=1,"março","March")</f>
        <v>março</v>
      </c>
      <c r="E277" s="1199">
        <v>0.39772048370223878</v>
      </c>
      <c r="F277" s="1199">
        <v>-3.1551925979209861</v>
      </c>
      <c r="G277" s="1199">
        <v>0.21430906515237735</v>
      </c>
      <c r="H277" s="1199">
        <v>-3.8999145732998231E-2</v>
      </c>
      <c r="I277" s="1199">
        <v>0.66886649424774824</v>
      </c>
      <c r="J277" s="1199"/>
      <c r="K277" s="1199">
        <v>-3.2832121226293762</v>
      </c>
      <c r="M277" s="231"/>
      <c r="N277" s="231"/>
      <c r="O277" s="231"/>
      <c r="P277" s="231"/>
      <c r="Q277" s="231"/>
      <c r="R277" s="231"/>
      <c r="S277" s="231"/>
      <c r="T277" s="231"/>
      <c r="U277" s="231"/>
      <c r="V277" s="231"/>
      <c r="W277" s="231"/>
      <c r="X277" s="231"/>
      <c r="Y277" s="231"/>
      <c r="Z277" s="229"/>
    </row>
    <row r="278" spans="3:27" ht="15" customHeight="1">
      <c r="C278" s="1145"/>
      <c r="D278" s="172" t="str">
        <f>IF(Indice_index!$Z$1=1,"abril","April")</f>
        <v>abril</v>
      </c>
      <c r="E278" s="1192">
        <v>0.25830033505939687</v>
      </c>
      <c r="F278" s="1192">
        <v>-3.4313171283210853</v>
      </c>
      <c r="G278" s="1192">
        <v>0.19114791582232923</v>
      </c>
      <c r="H278" s="1192">
        <v>-0.1627344334923552</v>
      </c>
      <c r="I278" s="1192">
        <v>1.0791046107197124</v>
      </c>
      <c r="J278" s="1192"/>
      <c r="K278" s="1192">
        <v>-3.2977982636503667</v>
      </c>
      <c r="M278" s="231"/>
      <c r="N278" s="231"/>
      <c r="O278" s="231"/>
      <c r="P278" s="231"/>
      <c r="Q278" s="231"/>
      <c r="R278" s="231"/>
      <c r="S278" s="231"/>
      <c r="T278" s="231"/>
      <c r="U278" s="231"/>
      <c r="V278" s="231"/>
      <c r="W278" s="231"/>
      <c r="X278" s="231"/>
      <c r="Y278" s="231"/>
      <c r="Z278" s="229"/>
    </row>
    <row r="279" spans="3:27" ht="15" customHeight="1">
      <c r="C279" s="1145"/>
      <c r="D279" s="172" t="str">
        <f>IF(Indice_index!$Z$1=1,"maio","May")</f>
        <v>maio</v>
      </c>
      <c r="E279" s="1200">
        <v>0.2207876300504866</v>
      </c>
      <c r="F279" s="1200">
        <v>-3.334230774680818</v>
      </c>
      <c r="G279" s="1200">
        <v>0.17852063880130956</v>
      </c>
      <c r="H279" s="1200">
        <v>-0.17800253626550369</v>
      </c>
      <c r="I279" s="1200">
        <v>1.152197213290469</v>
      </c>
      <c r="J279" s="1200"/>
      <c r="K279" s="1200">
        <v>-3.3000204532150335</v>
      </c>
      <c r="M279" s="231"/>
      <c r="N279" s="231"/>
      <c r="O279" s="231"/>
      <c r="P279" s="231"/>
      <c r="Q279" s="231"/>
      <c r="R279" s="231"/>
      <c r="S279" s="231"/>
      <c r="T279" s="231"/>
      <c r="U279" s="231"/>
      <c r="V279" s="231"/>
      <c r="W279" s="231"/>
      <c r="X279" s="231"/>
      <c r="Y279" s="231"/>
      <c r="Z279" s="229"/>
    </row>
    <row r="280" spans="3:27" ht="15" customHeight="1">
      <c r="C280" s="1145"/>
      <c r="D280" s="172" t="str">
        <f>IF(Indice_index!$Z$1=1,"junho","June")</f>
        <v>junho</v>
      </c>
      <c r="E280" s="1201">
        <v>0.21228479719871607</v>
      </c>
      <c r="F280" s="1201">
        <v>-3.2242937531972946</v>
      </c>
      <c r="G280" s="1201">
        <v>-0.23539663425172311</v>
      </c>
      <c r="H280" s="1201">
        <v>-0.27594629482194893</v>
      </c>
      <c r="I280" s="1201">
        <v>1.1254019292604625</v>
      </c>
      <c r="J280" s="1201"/>
      <c r="K280" s="1201">
        <v>-3.3272507803585407</v>
      </c>
      <c r="M280" s="231"/>
      <c r="N280" s="231"/>
      <c r="O280" s="231"/>
      <c r="P280" s="231"/>
      <c r="Q280" s="231"/>
      <c r="R280" s="231"/>
      <c r="S280" s="231"/>
      <c r="T280" s="231"/>
      <c r="U280" s="231"/>
      <c r="V280" s="231"/>
      <c r="W280" s="231"/>
      <c r="X280" s="231"/>
      <c r="Y280" s="231"/>
      <c r="Z280" s="229"/>
    </row>
    <row r="281" spans="3:27" ht="15" customHeight="1">
      <c r="C281" s="1145"/>
      <c r="D281" s="172" t="str">
        <f>IF(Indice_index!$Z$1=1,"julho","July")</f>
        <v>julho</v>
      </c>
      <c r="E281" s="1202">
        <v>0.23993394531060275</v>
      </c>
      <c r="F281" s="1202">
        <v>-3.1877785212921963</v>
      </c>
      <c r="G281" s="1202">
        <v>-0.28332547996182056</v>
      </c>
      <c r="H281" s="1202">
        <v>-0.26561614451989107</v>
      </c>
      <c r="I281" s="1202">
        <v>1.0344196265104315</v>
      </c>
      <c r="J281" s="1202"/>
      <c r="K281" s="1202">
        <v>-3.3993932357371381</v>
      </c>
      <c r="M281" s="231"/>
      <c r="N281" s="231"/>
      <c r="O281" s="231"/>
      <c r="P281" s="231"/>
      <c r="Q281" s="231"/>
      <c r="R281" s="231"/>
      <c r="S281" s="231"/>
      <c r="X281" s="229"/>
      <c r="Y281" s="229"/>
      <c r="Z281" s="229"/>
    </row>
    <row r="282" spans="3:27" ht="15" customHeight="1">
      <c r="C282" s="1145"/>
      <c r="D282" s="172" t="str">
        <f>IF(Indice_index!$Z$1=1,"agosto","August")</f>
        <v>agosto</v>
      </c>
      <c r="E282" s="1203">
        <v>0.26411909370043218</v>
      </c>
      <c r="F282" s="1203">
        <v>-3.032509530132351</v>
      </c>
      <c r="G282" s="1203">
        <v>-0.32315047598377017</v>
      </c>
      <c r="H282" s="1203">
        <v>-0.2423552424940838</v>
      </c>
      <c r="I282" s="1203">
        <v>0.98736879558796553</v>
      </c>
      <c r="J282" s="1203"/>
      <c r="K282" s="1203">
        <v>-3.4113955126699826</v>
      </c>
      <c r="X282" s="229"/>
      <c r="Y282" s="229"/>
      <c r="Z282" s="229"/>
    </row>
    <row r="283" spans="3:27" ht="15" customHeight="1">
      <c r="C283" s="1145"/>
      <c r="D283" s="172" t="str">
        <f>IF(Indice_index!$Z$1=1,"setembro","September")</f>
        <v>setembro</v>
      </c>
      <c r="E283" s="1204">
        <v>0.25519168458016966</v>
      </c>
      <c r="F283" s="1204">
        <v>-2.8822737300518582</v>
      </c>
      <c r="G283" s="1204">
        <v>-0.26112022385179467</v>
      </c>
      <c r="H283" s="1204">
        <v>-0.21472832701643321</v>
      </c>
      <c r="I283" s="1204">
        <v>0.6578362521112866</v>
      </c>
      <c r="J283" s="1204"/>
      <c r="K283" s="1204">
        <v>-3.3582285052894303</v>
      </c>
      <c r="X283" s="229"/>
      <c r="Y283" s="229"/>
      <c r="Z283" s="229"/>
    </row>
    <row r="284" spans="3:27" ht="15" customHeight="1">
      <c r="C284" s="1145"/>
      <c r="D284" s="172" t="str">
        <f>IF(Indice_index!$Z$1=1,"outubro","October")</f>
        <v>outubro</v>
      </c>
      <c r="E284" s="1196">
        <v>0.26374744184356796</v>
      </c>
      <c r="F284" s="1196">
        <v>-2.8337929449615076</v>
      </c>
      <c r="G284" s="1196">
        <v>-0.34665911050286674</v>
      </c>
      <c r="H284" s="1196">
        <v>-0.22501958703739117</v>
      </c>
      <c r="I284" s="1196">
        <v>1.1966422575459985</v>
      </c>
      <c r="J284" s="1196"/>
      <c r="K284" s="1196">
        <v>-3.3137824309350044</v>
      </c>
      <c r="X284" s="229"/>
      <c r="Y284" s="229"/>
      <c r="Z284" s="229"/>
    </row>
    <row r="285" spans="3:27" ht="15" customHeight="1">
      <c r="C285" s="1146"/>
      <c r="D285" s="172" t="str">
        <f>IF(Indice_index!$Z$1=1,"novembro","November")</f>
        <v>novembro</v>
      </c>
      <c r="E285" s="1197">
        <v>0.28203793591807585</v>
      </c>
      <c r="F285" s="1197">
        <v>-2.826346616011167</v>
      </c>
      <c r="G285" s="1197">
        <v>-0.37037260085878265</v>
      </c>
      <c r="H285" s="1197">
        <v>-0.2180070089099187</v>
      </c>
      <c r="I285" s="1197">
        <v>1.0269345104044763</v>
      </c>
      <c r="J285" s="1197"/>
      <c r="K285" s="1197">
        <v>-3.4625800216261737</v>
      </c>
      <c r="X285" s="229"/>
      <c r="Y285" s="229"/>
      <c r="Z285" s="229"/>
    </row>
    <row r="286" spans="3:27" ht="15" customHeight="1">
      <c r="C286" s="1146"/>
      <c r="D286" s="172" t="str">
        <f>IF(Indice_index!$Z$1=1,"dezembro","December")</f>
        <v>dezembro</v>
      </c>
      <c r="E286" s="1205">
        <v>0.35438674632299544</v>
      </c>
      <c r="F286" s="1205">
        <v>-2.8144429537946656</v>
      </c>
      <c r="G286" s="1205">
        <v>-0.407296442021923</v>
      </c>
      <c r="H286" s="1205">
        <v>-0.17945045610324259</v>
      </c>
      <c r="I286" s="1205">
        <v>0.99973691133912934</v>
      </c>
      <c r="J286" s="1205"/>
      <c r="K286" s="1205">
        <v>-3.5442363879733443</v>
      </c>
      <c r="X286" s="229"/>
      <c r="Y286" s="229"/>
      <c r="Z286" s="229"/>
    </row>
    <row r="287" spans="3:27" ht="15" customHeight="1">
      <c r="C287" s="1145" t="s">
        <v>74</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191"/>
      <c r="D288" s="172" t="str">
        <f>IF(Indice_index!$Z$1=1,"janeiro","January")</f>
        <v>janeiro</v>
      </c>
      <c r="E288" s="1206">
        <v>0.45754735251965756</v>
      </c>
      <c r="F288" s="1206">
        <v>-2.8359050745491619</v>
      </c>
      <c r="G288" s="1206">
        <v>-0.46889859992536143</v>
      </c>
      <c r="H288" s="1206">
        <v>-0.13110101718965692</v>
      </c>
      <c r="I288" s="1206">
        <v>1.6511065006915748</v>
      </c>
      <c r="J288" s="1206"/>
      <c r="K288" s="1206">
        <v>-3.6132175987724247</v>
      </c>
      <c r="M288" s="231"/>
      <c r="N288" s="231"/>
      <c r="O288" s="231"/>
      <c r="P288" s="231"/>
      <c r="Q288" s="231"/>
      <c r="R288" s="231"/>
      <c r="S288" s="231"/>
      <c r="T288" s="231"/>
      <c r="U288" s="231"/>
      <c r="V288" s="231"/>
      <c r="W288" s="231"/>
      <c r="X288" s="231"/>
      <c r="Y288" s="231"/>
      <c r="AA288" s="172"/>
    </row>
    <row r="289" spans="3:27" s="171" customFormat="1" ht="15" customHeight="1">
      <c r="C289" s="1191"/>
      <c r="D289" s="172" t="str">
        <f>IF(Indice_index!$Z$1=1,"fevereiro","February")</f>
        <v>fevereiro</v>
      </c>
      <c r="E289" s="1207">
        <v>0.60177600263685982</v>
      </c>
      <c r="F289" s="1207">
        <v>-2.8556917942392803</v>
      </c>
      <c r="G289" s="1207">
        <v>-0.4489087600477229</v>
      </c>
      <c r="H289" s="1207">
        <v>-3.5522058426063922E-2</v>
      </c>
      <c r="I289" s="1207">
        <v>1.5953203935123637</v>
      </c>
      <c r="J289" s="1207"/>
      <c r="K289" s="1207">
        <v>-3.6276100493983714</v>
      </c>
      <c r="M289" s="231"/>
      <c r="N289" s="231"/>
      <c r="O289" s="231"/>
      <c r="P289" s="231"/>
      <c r="Q289" s="231"/>
      <c r="R289" s="231"/>
      <c r="S289" s="231"/>
      <c r="T289" s="231"/>
      <c r="U289" s="231"/>
      <c r="V289" s="231"/>
      <c r="W289" s="231"/>
      <c r="X289" s="231"/>
      <c r="Y289" s="231"/>
      <c r="AA289" s="172"/>
    </row>
    <row r="290" spans="3:27" ht="15" customHeight="1">
      <c r="C290" s="1145"/>
      <c r="D290" s="172" t="str">
        <f>IF(Indice_index!$Z$1=1,"março","March")</f>
        <v>março</v>
      </c>
      <c r="E290" s="1208">
        <v>0.82022160799382104</v>
      </c>
      <c r="F290" s="1208">
        <v>-2.7890244968104629</v>
      </c>
      <c r="G290" s="1208">
        <v>-0.24768026290353762</v>
      </c>
      <c r="H290" s="1208">
        <v>0.16286947528780832</v>
      </c>
      <c r="I290" s="1208">
        <v>1.6654854712969485</v>
      </c>
      <c r="J290" s="1208"/>
      <c r="K290" s="1208">
        <v>-3.6502333228559682</v>
      </c>
      <c r="M290" s="231"/>
      <c r="N290" s="231"/>
      <c r="O290" s="231"/>
      <c r="P290" s="231"/>
      <c r="Q290" s="231"/>
      <c r="R290" s="231"/>
      <c r="S290" s="231"/>
      <c r="T290" s="231"/>
      <c r="U290" s="231"/>
      <c r="V290" s="231"/>
      <c r="W290" s="231"/>
      <c r="X290" s="231"/>
      <c r="Y290" s="231"/>
      <c r="Z290" s="229"/>
    </row>
    <row r="291" spans="3:27" ht="15" customHeight="1">
      <c r="C291" s="1145"/>
      <c r="D291" s="172" t="str">
        <f>IF(Indice_index!$Z$1=1,"abril","April")</f>
        <v>abril</v>
      </c>
      <c r="E291" s="1192">
        <v>0.9306451808912708</v>
      </c>
      <c r="F291" s="1192">
        <v>-2.6078557630392787</v>
      </c>
      <c r="G291" s="1192">
        <v>-0.22157420320829788</v>
      </c>
      <c r="H291" s="1192">
        <v>0.26030368763557482</v>
      </c>
      <c r="I291" s="1192">
        <v>1.4822657490735798</v>
      </c>
      <c r="J291" s="1192"/>
      <c r="K291" s="1192">
        <v>-3.7746599072397151</v>
      </c>
      <c r="M291" s="231"/>
      <c r="N291" s="231"/>
      <c r="O291" s="231"/>
      <c r="P291" s="231"/>
      <c r="Q291" s="231"/>
      <c r="R291" s="231"/>
      <c r="S291" s="231"/>
      <c r="T291" s="231"/>
      <c r="U291" s="231"/>
      <c r="V291" s="231"/>
      <c r="W291" s="231"/>
      <c r="X291" s="231"/>
      <c r="Y291" s="231"/>
      <c r="Z291" s="229"/>
    </row>
    <row r="292" spans="3:27" ht="15" customHeight="1">
      <c r="C292" s="1145"/>
      <c r="D292" s="172" t="str">
        <f>IF(Indice_index!$Z$1=1,"maio","May")</f>
        <v>maio</v>
      </c>
      <c r="E292" s="1200">
        <v>0.97617491966413161</v>
      </c>
      <c r="F292" s="1200">
        <v>-2.7250872203817176</v>
      </c>
      <c r="G292" s="1200">
        <v>-0.40473112563579033</v>
      </c>
      <c r="H292" s="1200">
        <v>0.23083990090926135</v>
      </c>
      <c r="I292" s="1200">
        <v>0.653421633554092</v>
      </c>
      <c r="J292" s="1200"/>
      <c r="K292" s="1200">
        <v>-3.8458733261370601</v>
      </c>
      <c r="M292" s="231"/>
      <c r="N292" s="231"/>
      <c r="O292" s="231"/>
      <c r="P292" s="231"/>
      <c r="Q292" s="231"/>
      <c r="R292" s="231"/>
      <c r="S292" s="231"/>
      <c r="T292" s="231"/>
      <c r="U292" s="231"/>
      <c r="V292" s="231"/>
      <c r="W292" s="231"/>
      <c r="X292" s="231"/>
      <c r="Y292" s="231"/>
      <c r="Z292" s="229"/>
    </row>
    <row r="293" spans="3:27" ht="15" customHeight="1">
      <c r="C293" s="1145"/>
      <c r="D293" s="172" t="str">
        <f>IF(Indice_index!$Z$1=1,"junho","June")</f>
        <v>junho</v>
      </c>
      <c r="E293" s="1201">
        <v>1.0089465753324938</v>
      </c>
      <c r="F293" s="1201">
        <v>-2.811917242999574</v>
      </c>
      <c r="G293" s="1201">
        <v>3.8819875776397512E-2</v>
      </c>
      <c r="H293" s="1201">
        <v>0.35763006138773484</v>
      </c>
      <c r="I293" s="1201">
        <v>1.6339869281045754</v>
      </c>
      <c r="J293" s="1201"/>
      <c r="K293" s="1201">
        <v>-3.8604954017914848</v>
      </c>
      <c r="M293" s="231"/>
      <c r="N293" s="231"/>
      <c r="O293" s="231"/>
      <c r="P293" s="231"/>
      <c r="Q293" s="231"/>
      <c r="R293" s="231"/>
      <c r="S293" s="231"/>
      <c r="T293" s="231"/>
      <c r="U293" s="231"/>
      <c r="V293" s="231"/>
      <c r="W293" s="231"/>
      <c r="X293" s="231"/>
      <c r="Y293" s="231"/>
      <c r="Z293" s="229"/>
    </row>
    <row r="294" spans="3:27" ht="15" customHeight="1">
      <c r="C294" s="1145"/>
      <c r="D294" s="172" t="str">
        <f>IF(Indice_index!$Z$1=1,"julho","July")</f>
        <v>julho</v>
      </c>
      <c r="E294" s="1202">
        <v>0.87046476471044265</v>
      </c>
      <c r="F294" s="1202">
        <v>-2.9544986617253448</v>
      </c>
      <c r="G294" s="1202">
        <v>-0.11328870444976222</v>
      </c>
      <c r="H294" s="1202">
        <v>0.21631045892810968</v>
      </c>
      <c r="I294" s="1202">
        <v>1.9751744133369533</v>
      </c>
      <c r="J294" s="1202"/>
      <c r="K294" s="1202">
        <v>-3.8019891168918276</v>
      </c>
      <c r="M294" s="231"/>
      <c r="N294" s="231"/>
      <c r="O294" s="231"/>
      <c r="P294" s="231"/>
      <c r="Q294" s="231"/>
      <c r="R294" s="231"/>
      <c r="S294" s="231"/>
      <c r="X294" s="229"/>
      <c r="Y294" s="229"/>
      <c r="Z294" s="229"/>
    </row>
    <row r="295" spans="3:27" ht="15" customHeight="1">
      <c r="C295" s="1145"/>
      <c r="D295" s="172" t="str">
        <f>IF(Indice_index!$Z$1=1,"agosto","August")</f>
        <v>agosto</v>
      </c>
      <c r="E295" s="1203">
        <v>0.73390855896062679</v>
      </c>
      <c r="F295" s="1203">
        <v>-3.1258742288381409</v>
      </c>
      <c r="G295" s="1203">
        <v>-0.26189885744355262</v>
      </c>
      <c r="H295" s="1203">
        <v>7.3919316602000157E-2</v>
      </c>
      <c r="I295" s="1203">
        <v>1.8056901259578966</v>
      </c>
      <c r="J295" s="1203"/>
      <c r="K295" s="1203">
        <v>-3.8096290566176743</v>
      </c>
      <c r="X295" s="229"/>
      <c r="Y295" s="229"/>
      <c r="Z295" s="229"/>
    </row>
    <row r="296" spans="3:27" ht="15" customHeight="1">
      <c r="C296" s="1145"/>
      <c r="D296" s="172" t="str">
        <f>IF(Indice_index!$Z$1=1,"setembro","September")</f>
        <v>setembro</v>
      </c>
      <c r="E296" s="1287">
        <v>0.73751945929743479</v>
      </c>
      <c r="F296" s="1287">
        <v>-3.2067734607782401</v>
      </c>
      <c r="G296" s="1287">
        <v>-0.2491066623939634</v>
      </c>
      <c r="H296" s="1287">
        <v>7.1884724727881544E-2</v>
      </c>
      <c r="I296" s="1287">
        <v>2.0047690541376002</v>
      </c>
      <c r="J296" s="1287"/>
      <c r="K296" s="1286">
        <v>-3.8470353111068945</v>
      </c>
      <c r="X296" s="229"/>
      <c r="Y296" s="229"/>
      <c r="Z296" s="229"/>
    </row>
    <row r="297" spans="3:27" ht="15" hidden="1" customHeight="1">
      <c r="C297" s="1145"/>
      <c r="D297" s="172" t="str">
        <f>IF(Indice_index!$Z$1=1,"outubro","October")</f>
        <v>outubro</v>
      </c>
      <c r="E297" s="1196"/>
      <c r="F297" s="1196"/>
      <c r="G297" s="1196"/>
      <c r="H297" s="1196"/>
      <c r="I297" s="1196"/>
      <c r="J297" s="1196"/>
      <c r="K297" s="1196"/>
      <c r="X297" s="229"/>
      <c r="Y297" s="229"/>
      <c r="Z297" s="229"/>
    </row>
    <row r="298" spans="3:27" ht="15" hidden="1" customHeight="1">
      <c r="C298" s="1146"/>
      <c r="D298" s="172" t="str">
        <f>IF(Indice_index!$Z$1=1,"novembro","November")</f>
        <v>novembro</v>
      </c>
      <c r="E298" s="1197"/>
      <c r="F298" s="1197"/>
      <c r="G298" s="1197"/>
      <c r="H298" s="1197"/>
      <c r="I298" s="1197"/>
      <c r="J298" s="1197"/>
      <c r="K298" s="1197"/>
      <c r="X298" s="229"/>
      <c r="Y298" s="229"/>
      <c r="Z298" s="229"/>
    </row>
    <row r="299" spans="3:27" ht="15" hidden="1" customHeight="1">
      <c r="C299" s="1146"/>
      <c r="D299" s="172" t="str">
        <f>IF(Indice_index!$Z$1=1,"dezembro","December")</f>
        <v>dezembro</v>
      </c>
      <c r="E299" s="1205"/>
      <c r="F299" s="1205"/>
      <c r="G299" s="1205"/>
      <c r="H299" s="1205"/>
      <c r="I299" s="1205"/>
      <c r="J299" s="1205"/>
      <c r="K299" s="1205"/>
      <c r="X299" s="229"/>
      <c r="Y299" s="229"/>
      <c r="Z299" s="229"/>
    </row>
    <row r="300" spans="3:27" ht="3" customHeight="1">
      <c r="C300" s="1139"/>
      <c r="D300" s="1140"/>
      <c r="E300" s="1140"/>
      <c r="F300" s="1140"/>
      <c r="G300" s="1140"/>
      <c r="H300" s="1140"/>
      <c r="I300" s="1140"/>
      <c r="K300" s="1183"/>
      <c r="X300" s="229"/>
      <c r="Y300" s="229"/>
      <c r="Z300" s="229"/>
    </row>
    <row r="301" spans="3:27" ht="15" customHeight="1">
      <c r="C301" s="1146"/>
      <c r="D301" s="171"/>
      <c r="E301" s="171"/>
      <c r="F301" s="171"/>
      <c r="G301" s="171"/>
      <c r="H301" s="171"/>
      <c r="I301" s="171"/>
      <c r="K301" s="171"/>
      <c r="X301" s="229"/>
      <c r="Y301" s="229"/>
      <c r="Z301" s="229"/>
    </row>
    <row r="302" spans="3:27" ht="15" customHeight="1">
      <c r="C302" s="1146"/>
      <c r="D302" s="171"/>
      <c r="E302" s="171"/>
      <c r="F302" s="171"/>
      <c r="G302" s="171"/>
      <c r="H302" s="171"/>
      <c r="I302" s="171"/>
      <c r="K302" s="171"/>
      <c r="X302" s="229"/>
      <c r="Y302" s="229"/>
      <c r="Z302" s="229"/>
    </row>
    <row r="303" spans="3:27" ht="15" customHeight="1">
      <c r="C303" s="1209" t="str">
        <f>IF(Indice_index!$Z$1=1,"Pensionistas de Aposentação/Reforma - Novos e Abatidos","Retirement Pensioners - New and extinct")</f>
        <v>Pensionistas de Aposentação/Reforma - Novos e Abatidos</v>
      </c>
      <c r="D303" s="1184"/>
      <c r="E303" s="171"/>
      <c r="F303" s="1184"/>
      <c r="G303" s="1184"/>
      <c r="H303" s="171"/>
      <c r="I303" s="171"/>
      <c r="J303" s="171"/>
      <c r="K303" s="171"/>
      <c r="O303" s="85"/>
      <c r="P303" s="229"/>
    </row>
    <row r="304" spans="3:27" ht="11.25" customHeight="1">
      <c r="C304" s="1137"/>
      <c r="D304" s="1210"/>
      <c r="E304" s="1766" t="str">
        <f>IF(Indice_index!$Z$1=1,"Número","Number")</f>
        <v>Número</v>
      </c>
      <c r="F304" s="1766"/>
      <c r="G304" s="1766"/>
      <c r="H304" s="1766"/>
      <c r="I304" s="1766"/>
      <c r="J304" s="1726" t="str">
        <f>IF(Indice_index!$Z$1=1,"Despesa com pensões (€)","Expense with Pensions")</f>
        <v>Despesa com pensões (€)</v>
      </c>
      <c r="K304" s="1726"/>
      <c r="L304" s="1726"/>
      <c r="M304" s="1726"/>
      <c r="N304" s="1726"/>
      <c r="O304" s="1773" t="str">
        <f>IF(Indice_index!$Z$1=1,"Pensão média nova Aposentação/Reforma (€)"," Average Value paid per new Retirment Pensioner")</f>
        <v>Pensão média nova Aposentação/Reforma (€)</v>
      </c>
      <c r="P304" s="1767" t="str">
        <f>IF(Indice_index!$Z$1=1,"Pensão média nova Sobrevivência e Outras (€)"," Average Value paid per new Survival and Others Pensioner")</f>
        <v>Pensão média nova Sobrevivência e Outras (€)</v>
      </c>
    </row>
    <row r="305" spans="3:20" ht="11.25" customHeight="1">
      <c r="C305" s="1209"/>
      <c r="D305" s="1211"/>
      <c r="E305" s="1766" t="str">
        <f>IF(Indice_index!$Z$1=1,"Novos","New")</f>
        <v>Novos</v>
      </c>
      <c r="F305" s="1766"/>
      <c r="G305" s="1766"/>
      <c r="H305" s="1766"/>
      <c r="I305" s="1773" t="str">
        <f>IF(Indice_index!$Z$1=1,"Abonos abatidos de Aposentação /Reforma","Allowances deducted from Retirement / Pension")</f>
        <v>Abonos abatidos de Aposentação /Reforma</v>
      </c>
      <c r="J305" s="1726" t="str">
        <f>IF(Indice_index!$Z$1=1,"Novos","New")</f>
        <v>Novos</v>
      </c>
      <c r="K305" s="1726"/>
      <c r="L305" s="1726"/>
      <c r="M305" s="1726"/>
      <c r="N305" s="1773" t="str">
        <f>IF(Indice_index!$Z$1=1,"Abonos abatidos de Aposentação /Reforma","Allowances deducted from Retirement / Pension")</f>
        <v>Abonos abatidos de Aposentação /Reforma</v>
      </c>
      <c r="O305" s="1773"/>
      <c r="P305" s="1767"/>
      <c r="R305" s="96"/>
      <c r="S305" s="96"/>
      <c r="T305" s="96"/>
    </row>
    <row r="306" spans="3:20" ht="44.25" customHeight="1">
      <c r="C306" s="1139"/>
      <c r="D306" s="1212"/>
      <c r="E306" s="1141" t="str">
        <f>IF(Indice_index!$Z$1=1,"Velhice e Outros Motivos","Old age and other Reasons")</f>
        <v>Velhice e Outros Motivos</v>
      </c>
      <c r="F306" s="1142" t="str">
        <f>IF(Indice_index!$Z$1=1,"Invalidez","Disability")</f>
        <v>Invalidez</v>
      </c>
      <c r="G306" s="1141" t="str">
        <f>IF(Indice_index!$Z$1=1,"Sobrevivência e Outros","Survival and Others")</f>
        <v>Sobrevivência e Outros</v>
      </c>
      <c r="H306" s="1141" t="str">
        <f>IF(Indice_index!$Z$1=1,"Total de Pensionistas","Total of Pensioners")</f>
        <v>Total de Pensionistas</v>
      </c>
      <c r="I306" s="1773"/>
      <c r="J306" s="1141" t="str">
        <f>IF(Indice_index!$Z$1=1,"Velhice e Outros Motivos","Old age and other Reasons")</f>
        <v>Velhice e Outros Motivos</v>
      </c>
      <c r="K306" s="1142" t="str">
        <f>IF(Indice_index!$Z$1=1,"Invalidez","Disability")</f>
        <v>Invalidez</v>
      </c>
      <c r="L306" s="1141" t="str">
        <f>IF(Indice_index!$Z$1=1,"Sobrevivência e Outros","Survival and Others")</f>
        <v>Sobrevivência e Outros</v>
      </c>
      <c r="M306" s="1141" t="str">
        <f>IF(Indice_index!$Z$1=1,"Total","Total")</f>
        <v>Total</v>
      </c>
      <c r="N306" s="1773"/>
      <c r="O306" s="1773"/>
      <c r="P306" s="1767"/>
      <c r="R306" s="96"/>
      <c r="S306" s="96"/>
      <c r="T306" s="96"/>
    </row>
    <row r="307" spans="3:20" hidden="1">
      <c r="C307" s="1143" t="s">
        <v>10</v>
      </c>
      <c r="D307" s="646"/>
      <c r="E307" s="1213"/>
      <c r="F307" s="1213"/>
      <c r="G307" s="1213"/>
      <c r="H307" s="1213"/>
      <c r="I307" s="1213"/>
      <c r="J307" s="1214"/>
      <c r="K307" s="1214"/>
      <c r="L307" s="1214"/>
      <c r="N307" s="1214"/>
      <c r="O307" s="1214"/>
      <c r="P307" s="229"/>
    </row>
    <row r="308" spans="3:20" hidden="1">
      <c r="C308" s="1143"/>
      <c r="D308" s="172" t="str">
        <f>IF(Indice_index!$Z$1=1,"janeiro","January")</f>
        <v>janeiro</v>
      </c>
      <c r="E308" s="1213">
        <v>1471</v>
      </c>
      <c r="F308" s="1213">
        <v>170</v>
      </c>
      <c r="G308" s="1213">
        <v>513</v>
      </c>
      <c r="H308" s="1213">
        <v>2154</v>
      </c>
      <c r="I308" s="1213">
        <v>912</v>
      </c>
      <c r="J308" s="1214">
        <v>2253347.4200000004</v>
      </c>
      <c r="K308" s="1214">
        <v>179900.55</v>
      </c>
      <c r="L308" s="1214">
        <v>249524.43</v>
      </c>
      <c r="M308" s="171">
        <v>2682772.4000000004</v>
      </c>
      <c r="N308" s="1214">
        <v>916372.71</v>
      </c>
      <c r="O308" s="1214">
        <v>1482.8</v>
      </c>
      <c r="P308" s="229">
        <v>486.4</v>
      </c>
    </row>
    <row r="309" spans="3:20" hidden="1">
      <c r="C309" s="1143"/>
      <c r="D309" s="172" t="str">
        <f>IF(Indice_index!$Z$1=1,"fevereiro","February")</f>
        <v>fevereiro</v>
      </c>
      <c r="E309" s="1213">
        <v>1939</v>
      </c>
      <c r="F309" s="1213">
        <v>209</v>
      </c>
      <c r="G309" s="1213">
        <v>781</v>
      </c>
      <c r="H309" s="1213">
        <v>2929</v>
      </c>
      <c r="I309" s="1213">
        <v>1065</v>
      </c>
      <c r="J309" s="1214">
        <v>2945192.88</v>
      </c>
      <c r="K309" s="1214">
        <v>229212.15</v>
      </c>
      <c r="L309" s="1214">
        <v>361995.2</v>
      </c>
      <c r="M309" s="171">
        <v>3536400.23</v>
      </c>
      <c r="N309" s="1214">
        <v>1127751.53</v>
      </c>
      <c r="O309" s="1214">
        <v>1477.8</v>
      </c>
      <c r="P309" s="229">
        <v>463.5</v>
      </c>
    </row>
    <row r="310" spans="3:20" hidden="1">
      <c r="C310" s="1143"/>
      <c r="D310" s="172" t="str">
        <f>IF(Indice_index!$Z$1=1,"março","March")</f>
        <v>março</v>
      </c>
      <c r="E310" s="1213">
        <v>1335</v>
      </c>
      <c r="F310" s="1213">
        <v>244</v>
      </c>
      <c r="G310" s="1213">
        <v>917</v>
      </c>
      <c r="H310" s="1213">
        <v>2496</v>
      </c>
      <c r="I310" s="1213">
        <v>1072</v>
      </c>
      <c r="J310" s="1214">
        <v>1800757.79</v>
      </c>
      <c r="K310" s="1214">
        <v>270853.71999999997</v>
      </c>
      <c r="L310" s="1214">
        <v>458403.63</v>
      </c>
      <c r="M310" s="171">
        <v>2530015.14</v>
      </c>
      <c r="N310" s="1214">
        <v>1000274.44</v>
      </c>
      <c r="O310" s="1214">
        <v>1312</v>
      </c>
      <c r="P310" s="229">
        <v>499.9</v>
      </c>
    </row>
    <row r="311" spans="3:20" hidden="1">
      <c r="C311" s="1143"/>
      <c r="D311" s="172" t="str">
        <f>IF(Indice_index!$Z$1=1,"abril","April")</f>
        <v>abril</v>
      </c>
      <c r="E311" s="1213">
        <v>1515</v>
      </c>
      <c r="F311" s="1213">
        <v>271</v>
      </c>
      <c r="G311" s="1213">
        <v>913</v>
      </c>
      <c r="H311" s="1213">
        <v>2699</v>
      </c>
      <c r="I311" s="1213">
        <v>1281</v>
      </c>
      <c r="J311" s="1214">
        <v>1784019.16</v>
      </c>
      <c r="K311" s="1214">
        <v>320223.28999999998</v>
      </c>
      <c r="L311" s="1214">
        <v>410277</v>
      </c>
      <c r="M311" s="171">
        <v>2514519.4499999997</v>
      </c>
      <c r="N311" s="1214">
        <v>1232238.1499999999</v>
      </c>
      <c r="O311" s="1214">
        <v>1178.2</v>
      </c>
      <c r="P311" s="229">
        <v>449.4</v>
      </c>
    </row>
    <row r="312" spans="3:20" hidden="1">
      <c r="C312" s="1143"/>
      <c r="D312" s="172" t="str">
        <f>IF(Indice_index!$Z$1=1,"maio","May")</f>
        <v>maio</v>
      </c>
      <c r="E312" s="1213">
        <v>1724</v>
      </c>
      <c r="F312" s="1213">
        <v>157</v>
      </c>
      <c r="G312" s="1213">
        <v>787</v>
      </c>
      <c r="H312" s="1213">
        <v>2668</v>
      </c>
      <c r="I312" s="1213">
        <v>1070</v>
      </c>
      <c r="J312" s="1214">
        <v>1822949.91</v>
      </c>
      <c r="K312" s="1214">
        <v>168669.13</v>
      </c>
      <c r="L312" s="1214">
        <v>376886.49</v>
      </c>
      <c r="M312" s="171">
        <v>2368505.5300000003</v>
      </c>
      <c r="N312" s="1214">
        <v>1044103.32</v>
      </c>
      <c r="O312" s="1214">
        <v>1058.8</v>
      </c>
      <c r="P312" s="229">
        <v>478.9</v>
      </c>
    </row>
    <row r="313" spans="3:20" hidden="1">
      <c r="C313" s="1143"/>
      <c r="D313" s="172" t="str">
        <f>IF(Indice_index!$Z$1=1,"junho","June")</f>
        <v>junho</v>
      </c>
      <c r="E313" s="1213">
        <v>1732</v>
      </c>
      <c r="F313" s="1213">
        <v>222</v>
      </c>
      <c r="G313" s="1213">
        <v>872</v>
      </c>
      <c r="H313" s="1213">
        <v>2826</v>
      </c>
      <c r="I313" s="1213">
        <v>977</v>
      </c>
      <c r="J313" s="1214">
        <v>1733424.6700000002</v>
      </c>
      <c r="K313" s="1214">
        <v>266897.39999999997</v>
      </c>
      <c r="L313" s="1214">
        <v>419051.86</v>
      </c>
      <c r="M313" s="171">
        <v>2419373.9300000002</v>
      </c>
      <c r="N313" s="1214">
        <v>942522.85</v>
      </c>
      <c r="O313" s="1214">
        <v>1023.7</v>
      </c>
      <c r="P313" s="229">
        <v>480.6</v>
      </c>
    </row>
    <row r="314" spans="3:20" hidden="1">
      <c r="C314" s="1143"/>
      <c r="D314" s="172" t="str">
        <f>IF(Indice_index!$Z$1=1,"julho","July")</f>
        <v>julho</v>
      </c>
      <c r="E314" s="1213">
        <v>1581</v>
      </c>
      <c r="F314" s="1213">
        <v>182</v>
      </c>
      <c r="G314" s="1213">
        <v>617</v>
      </c>
      <c r="H314" s="1213">
        <v>2380</v>
      </c>
      <c r="I314" s="1213">
        <v>849</v>
      </c>
      <c r="J314" s="1214">
        <v>1800225.19</v>
      </c>
      <c r="K314" s="1214">
        <v>184002.3</v>
      </c>
      <c r="L314" s="1214">
        <v>274219.46999999997</v>
      </c>
      <c r="M314" s="171">
        <v>2258446.96</v>
      </c>
      <c r="N314" s="1214">
        <v>858439.14</v>
      </c>
      <c r="O314" s="1214">
        <v>1125.5</v>
      </c>
      <c r="P314" s="229">
        <v>444.4</v>
      </c>
    </row>
    <row r="315" spans="3:20" hidden="1">
      <c r="C315" s="1143"/>
      <c r="D315" s="172" t="str">
        <f>IF(Indice_index!$Z$1=1,"agosto","August")</f>
        <v>agosto</v>
      </c>
      <c r="E315" s="1213">
        <v>1669</v>
      </c>
      <c r="F315" s="1213">
        <v>158</v>
      </c>
      <c r="G315" s="1213">
        <v>772</v>
      </c>
      <c r="H315" s="1213">
        <v>2599</v>
      </c>
      <c r="I315" s="1213">
        <v>741</v>
      </c>
      <c r="J315" s="1214">
        <v>1727876</v>
      </c>
      <c r="K315" s="1214">
        <v>185126</v>
      </c>
      <c r="L315" s="1214">
        <v>352719.34</v>
      </c>
      <c r="M315" s="171">
        <v>2265721.34</v>
      </c>
      <c r="N315" s="1214">
        <v>778258.21</v>
      </c>
      <c r="O315" s="1214">
        <v>1047.0999999999999</v>
      </c>
      <c r="P315" s="229">
        <v>456.9</v>
      </c>
    </row>
    <row r="316" spans="3:20" hidden="1">
      <c r="C316" s="1143"/>
      <c r="D316" s="172" t="str">
        <f>IF(Indice_index!$Z$1=1,"setembro","September")</f>
        <v>setembro</v>
      </c>
      <c r="E316" s="1213">
        <v>1866</v>
      </c>
      <c r="F316" s="1213">
        <v>170</v>
      </c>
      <c r="G316" s="1213">
        <v>644</v>
      </c>
      <c r="H316" s="1213">
        <v>2680</v>
      </c>
      <c r="I316" s="1213">
        <v>920</v>
      </c>
      <c r="J316" s="1214">
        <v>2272099.3400000003</v>
      </c>
      <c r="K316" s="1214">
        <v>175025.16999999998</v>
      </c>
      <c r="L316" s="1214">
        <v>302947.55</v>
      </c>
      <c r="M316" s="171">
        <v>2750072.06</v>
      </c>
      <c r="N316" s="1214">
        <v>888055.27</v>
      </c>
      <c r="O316" s="1214">
        <v>1201.9000000000001</v>
      </c>
      <c r="P316" s="229">
        <v>470.4</v>
      </c>
    </row>
    <row r="317" spans="3:20" hidden="1">
      <c r="C317" s="1143"/>
      <c r="D317" s="172" t="str">
        <f>IF(Indice_index!$Z$1=1,"outubro","October")</f>
        <v>outubro</v>
      </c>
      <c r="E317" s="1213">
        <v>1561</v>
      </c>
      <c r="F317" s="1213">
        <v>188</v>
      </c>
      <c r="G317" s="1213">
        <v>580</v>
      </c>
      <c r="H317" s="1213">
        <v>2329</v>
      </c>
      <c r="I317" s="1213">
        <v>832</v>
      </c>
      <c r="J317" s="1214">
        <v>2178361.13</v>
      </c>
      <c r="K317" s="1214">
        <v>234236.07</v>
      </c>
      <c r="L317" s="1214">
        <v>288827.51</v>
      </c>
      <c r="M317" s="171">
        <v>2701424.71</v>
      </c>
      <c r="N317" s="1214">
        <v>809217.05</v>
      </c>
      <c r="O317" s="1214">
        <v>1379.4</v>
      </c>
      <c r="P317" s="229">
        <v>498</v>
      </c>
    </row>
    <row r="318" spans="3:20" hidden="1">
      <c r="C318" s="1143"/>
      <c r="D318" s="172" t="str">
        <f>IF(Indice_index!$Z$1=1,"novembro","November")</f>
        <v>novembro</v>
      </c>
      <c r="E318" s="1213">
        <v>1234</v>
      </c>
      <c r="F318" s="1213">
        <v>61</v>
      </c>
      <c r="G318" s="1213">
        <v>671</v>
      </c>
      <c r="H318" s="1213">
        <v>1966</v>
      </c>
      <c r="I318" s="1213">
        <v>812</v>
      </c>
      <c r="J318" s="1214">
        <v>1909576.94</v>
      </c>
      <c r="K318" s="1214">
        <v>72721.81</v>
      </c>
      <c r="L318" s="1214">
        <v>305056.65000000002</v>
      </c>
      <c r="M318" s="171">
        <v>2287355.4</v>
      </c>
      <c r="N318" s="1214">
        <v>848710.81</v>
      </c>
      <c r="O318" s="1214">
        <v>1530.7</v>
      </c>
      <c r="P318" s="229">
        <v>454.6</v>
      </c>
    </row>
    <row r="319" spans="3:20" hidden="1">
      <c r="C319" s="1143"/>
      <c r="D319" s="172" t="str">
        <f>IF(Indice_index!$Z$1=1,"dezembro","December")</f>
        <v>dezembro</v>
      </c>
      <c r="E319" s="1213">
        <v>983</v>
      </c>
      <c r="F319" s="1213">
        <v>92</v>
      </c>
      <c r="G319" s="1213">
        <v>718</v>
      </c>
      <c r="H319" s="1213">
        <v>1793</v>
      </c>
      <c r="I319" s="1213">
        <v>886</v>
      </c>
      <c r="J319" s="1214">
        <v>1287264.1600000001</v>
      </c>
      <c r="K319" s="1214">
        <v>95656.23000000001</v>
      </c>
      <c r="L319" s="1214">
        <v>338357.31</v>
      </c>
      <c r="M319" s="171">
        <v>1721277.7000000002</v>
      </c>
      <c r="N319" s="1214">
        <v>931999.81</v>
      </c>
      <c r="O319" s="1214">
        <v>1286.4000000000001</v>
      </c>
      <c r="P319" s="229">
        <v>471.2</v>
      </c>
    </row>
    <row r="320" spans="3:20" hidden="1">
      <c r="C320" s="1143" t="s">
        <v>11</v>
      </c>
      <c r="D320" s="646"/>
      <c r="E320" s="1213"/>
      <c r="F320" s="1213"/>
      <c r="G320" s="1213"/>
      <c r="H320" s="1213"/>
      <c r="I320" s="1213"/>
      <c r="J320" s="1214"/>
      <c r="K320" s="1214"/>
      <c r="L320" s="1214"/>
      <c r="N320" s="1214"/>
      <c r="O320" s="1214"/>
      <c r="P320" s="229"/>
    </row>
    <row r="321" spans="3:16" hidden="1">
      <c r="C321" s="1143"/>
      <c r="D321" s="172" t="str">
        <f>IF(Indice_index!$Z$1=1,"janeiro","January")</f>
        <v>janeiro</v>
      </c>
      <c r="E321" s="1213">
        <v>1613</v>
      </c>
      <c r="F321" s="1213">
        <v>179</v>
      </c>
      <c r="G321" s="1213">
        <v>623</v>
      </c>
      <c r="H321" s="1213">
        <v>2415</v>
      </c>
      <c r="I321" s="1213">
        <v>841</v>
      </c>
      <c r="J321" s="1214">
        <v>2400812.1300000004</v>
      </c>
      <c r="K321" s="1214">
        <v>227341.87</v>
      </c>
      <c r="L321" s="1214">
        <v>301045</v>
      </c>
      <c r="M321" s="171">
        <v>2929199.0000000005</v>
      </c>
      <c r="N321" s="1214">
        <v>866112.06</v>
      </c>
      <c r="O321" s="1214">
        <v>1466.6</v>
      </c>
      <c r="P321" s="229">
        <v>483.2</v>
      </c>
    </row>
    <row r="322" spans="3:16" hidden="1">
      <c r="C322" s="1144"/>
      <c r="D322" s="172" t="str">
        <f>IF(Indice_index!$Z$1=1,"fevereiro","February")</f>
        <v>fevereiro</v>
      </c>
      <c r="E322" s="1213">
        <v>1506</v>
      </c>
      <c r="F322" s="1213">
        <v>218</v>
      </c>
      <c r="G322" s="1213">
        <v>731</v>
      </c>
      <c r="H322" s="1213">
        <v>2455</v>
      </c>
      <c r="I322" s="1213">
        <v>1081</v>
      </c>
      <c r="J322" s="1214">
        <v>1862688.8800000001</v>
      </c>
      <c r="K322" s="1214">
        <v>244140.95</v>
      </c>
      <c r="L322" s="1214">
        <v>345412</v>
      </c>
      <c r="M322" s="1214">
        <v>2452241.83</v>
      </c>
      <c r="N322" s="1214">
        <v>1114050.94</v>
      </c>
      <c r="O322" s="1214">
        <v>1222.0999999999999</v>
      </c>
      <c r="P322" s="1214">
        <v>472.5</v>
      </c>
    </row>
    <row r="323" spans="3:16" hidden="1">
      <c r="C323" s="1144"/>
      <c r="D323" s="172" t="str">
        <f>IF(Indice_index!$Z$1=1,"março","March")</f>
        <v>março</v>
      </c>
      <c r="E323" s="1213">
        <v>1681</v>
      </c>
      <c r="F323" s="1213">
        <v>142</v>
      </c>
      <c r="G323" s="1213">
        <v>660</v>
      </c>
      <c r="H323" s="1213">
        <v>2483</v>
      </c>
      <c r="I323" s="1213">
        <v>1094</v>
      </c>
      <c r="J323" s="1214">
        <v>1953254.07</v>
      </c>
      <c r="K323" s="1214">
        <v>165596.85</v>
      </c>
      <c r="L323" s="1214">
        <v>320609</v>
      </c>
      <c r="M323" s="1214">
        <v>2439459.92</v>
      </c>
      <c r="N323" s="1214">
        <v>1038005.63</v>
      </c>
      <c r="O323" s="1214">
        <v>1162.3</v>
      </c>
      <c r="P323" s="1214">
        <v>485.8</v>
      </c>
    </row>
    <row r="324" spans="3:16" hidden="1">
      <c r="C324" s="1144"/>
      <c r="D324" s="172" t="str">
        <f>IF(Indice_index!$Z$1=1,"abril","April")</f>
        <v>abril</v>
      </c>
      <c r="E324" s="1213">
        <v>1900</v>
      </c>
      <c r="F324" s="1213">
        <v>177</v>
      </c>
      <c r="G324" s="1213">
        <v>671</v>
      </c>
      <c r="H324" s="1213">
        <v>2748</v>
      </c>
      <c r="I324" s="1213">
        <v>1050</v>
      </c>
      <c r="J324" s="1214">
        <v>2059097.8399999999</v>
      </c>
      <c r="K324" s="1214">
        <v>198424.51</v>
      </c>
      <c r="L324" s="1214">
        <v>356233.68</v>
      </c>
      <c r="M324" s="1214">
        <v>2613756.0299999998</v>
      </c>
      <c r="N324" s="1214">
        <v>1024683.18</v>
      </c>
      <c r="O324" s="1214">
        <v>1086.9000000000001</v>
      </c>
      <c r="P324" s="1214">
        <v>530.9</v>
      </c>
    </row>
    <row r="325" spans="3:16" hidden="1">
      <c r="C325" s="1144"/>
      <c r="D325" s="172" t="str">
        <f>IF(Indice_index!$Z$1=1,"maio","May")</f>
        <v>maio</v>
      </c>
      <c r="E325" s="1213">
        <v>1861</v>
      </c>
      <c r="F325" s="1213">
        <v>216</v>
      </c>
      <c r="G325" s="1213">
        <v>735</v>
      </c>
      <c r="H325" s="1213">
        <v>2812</v>
      </c>
      <c r="I325" s="1213">
        <v>1023</v>
      </c>
      <c r="J325" s="1214">
        <v>1969417.4999999998</v>
      </c>
      <c r="K325" s="1214">
        <v>246357.05999999997</v>
      </c>
      <c r="L325" s="1214">
        <v>355275.85</v>
      </c>
      <c r="M325" s="1214">
        <v>2571050.4099999997</v>
      </c>
      <c r="N325" s="1214">
        <v>1030219.37</v>
      </c>
      <c r="O325" s="1214">
        <v>1066.8</v>
      </c>
      <c r="P325" s="1214">
        <v>483.4</v>
      </c>
    </row>
    <row r="326" spans="3:16" hidden="1">
      <c r="C326" s="1144"/>
      <c r="D326" s="172" t="str">
        <f>IF(Indice_index!$Z$1=1,"junho","June")</f>
        <v>junho</v>
      </c>
      <c r="E326" s="1213">
        <v>1365</v>
      </c>
      <c r="F326" s="1213">
        <v>384</v>
      </c>
      <c r="G326" s="1213">
        <v>741</v>
      </c>
      <c r="H326" s="1213">
        <v>2490</v>
      </c>
      <c r="I326" s="1213">
        <v>1059</v>
      </c>
      <c r="J326" s="1214">
        <v>1662954.27</v>
      </c>
      <c r="K326" s="1214">
        <v>419758.02999999997</v>
      </c>
      <c r="L326" s="1214">
        <v>355587.63999999996</v>
      </c>
      <c r="M326" s="1214">
        <v>2438299.94</v>
      </c>
      <c r="N326" s="1214">
        <v>1067108.72</v>
      </c>
      <c r="O326" s="1214">
        <v>1190.8</v>
      </c>
      <c r="P326" s="1214">
        <v>479.9</v>
      </c>
    </row>
    <row r="327" spans="3:16" hidden="1">
      <c r="C327" s="1144"/>
      <c r="D327" s="172" t="str">
        <f>IF(Indice_index!$Z$1=1,"julho","July")</f>
        <v>julho</v>
      </c>
      <c r="E327" s="1213">
        <v>1213</v>
      </c>
      <c r="F327" s="1213">
        <v>164</v>
      </c>
      <c r="G327" s="1213">
        <v>517</v>
      </c>
      <c r="H327" s="1213">
        <v>1894</v>
      </c>
      <c r="I327" s="1213">
        <v>870</v>
      </c>
      <c r="J327" s="1214">
        <v>1340995.3999999999</v>
      </c>
      <c r="K327" s="1214">
        <v>188130.56</v>
      </c>
      <c r="L327" s="1214">
        <v>252965.25</v>
      </c>
      <c r="M327" s="1214">
        <v>1782091.21</v>
      </c>
      <c r="N327" s="1214">
        <v>901571.89</v>
      </c>
      <c r="O327" s="1214">
        <v>1110.5</v>
      </c>
      <c r="P327" s="1214">
        <v>489.3</v>
      </c>
    </row>
    <row r="328" spans="3:16" hidden="1">
      <c r="C328" s="1144"/>
      <c r="D328" s="172" t="str">
        <f>IF(Indice_index!$Z$1=1,"agosto","August")</f>
        <v>agosto</v>
      </c>
      <c r="E328" s="1213">
        <v>982</v>
      </c>
      <c r="F328" s="1213">
        <v>127</v>
      </c>
      <c r="G328" s="1213">
        <v>804</v>
      </c>
      <c r="H328" s="1213">
        <v>1913</v>
      </c>
      <c r="I328" s="1213">
        <v>888</v>
      </c>
      <c r="J328" s="1214">
        <v>1183488.18</v>
      </c>
      <c r="K328" s="1214">
        <v>160049.88999999998</v>
      </c>
      <c r="L328" s="1214">
        <v>403157.06999999995</v>
      </c>
      <c r="M328" s="1214">
        <v>1746695.1399999997</v>
      </c>
      <c r="N328" s="1214">
        <v>896681.29</v>
      </c>
      <c r="O328" s="1214">
        <v>1211.5</v>
      </c>
      <c r="P328" s="1214">
        <v>501.4</v>
      </c>
    </row>
    <row r="329" spans="3:16" hidden="1">
      <c r="C329" s="1144"/>
      <c r="D329" s="172" t="str">
        <f>IF(Indice_index!$Z$1=1,"setembro","September")</f>
        <v>setembro</v>
      </c>
      <c r="E329" s="1213">
        <v>917</v>
      </c>
      <c r="F329" s="1213">
        <v>109</v>
      </c>
      <c r="G329" s="1213">
        <v>593</v>
      </c>
      <c r="H329" s="1213">
        <v>1619</v>
      </c>
      <c r="I329" s="1213">
        <v>1070</v>
      </c>
      <c r="J329" s="1214">
        <v>1135377.3700000001</v>
      </c>
      <c r="K329" s="1214">
        <v>139130.28</v>
      </c>
      <c r="L329" s="1214">
        <v>308089.84000000003</v>
      </c>
      <c r="M329" s="1214">
        <v>1582597.49</v>
      </c>
      <c r="N329" s="1214">
        <v>1129850.44</v>
      </c>
      <c r="O329" s="1214">
        <v>1242.2</v>
      </c>
      <c r="P329" s="1214">
        <v>519.5</v>
      </c>
    </row>
    <row r="330" spans="3:16" hidden="1">
      <c r="C330" s="1144"/>
      <c r="D330" s="172" t="str">
        <f>IF(Indice_index!$Z$1=1,"outubro","October")</f>
        <v>outubro</v>
      </c>
      <c r="E330" s="1213">
        <v>1029</v>
      </c>
      <c r="F330" s="1213">
        <v>99</v>
      </c>
      <c r="G330" s="1213">
        <v>677</v>
      </c>
      <c r="H330" s="1213">
        <v>1805</v>
      </c>
      <c r="I330" s="1213">
        <v>841</v>
      </c>
      <c r="J330" s="1214">
        <v>1586106.08</v>
      </c>
      <c r="K330" s="1214">
        <v>125250.46</v>
      </c>
      <c r="L330" s="1214">
        <v>298338.21000000002</v>
      </c>
      <c r="M330" s="1214">
        <v>2009694.75</v>
      </c>
      <c r="N330" s="1214">
        <v>890517.06</v>
      </c>
      <c r="O330" s="1214">
        <v>1517.2</v>
      </c>
      <c r="P330" s="1214">
        <v>440.7</v>
      </c>
    </row>
    <row r="331" spans="3:16" hidden="1">
      <c r="C331" s="1144"/>
      <c r="D331" s="172" t="str">
        <f>IF(Indice_index!$Z$1=1,"novembro","November")</f>
        <v>novembro</v>
      </c>
      <c r="E331" s="1213">
        <v>2024</v>
      </c>
      <c r="F331" s="1213">
        <v>357</v>
      </c>
      <c r="G331" s="1213">
        <v>927</v>
      </c>
      <c r="H331" s="1213">
        <v>3308</v>
      </c>
      <c r="I331" s="1213">
        <v>899</v>
      </c>
      <c r="J331" s="1214">
        <v>3234310.3</v>
      </c>
      <c r="K331" s="1214">
        <v>451766.15</v>
      </c>
      <c r="L331" s="1214">
        <v>474381.68</v>
      </c>
      <c r="M331" s="1214">
        <v>4160458.13</v>
      </c>
      <c r="N331" s="1214">
        <v>973584.25</v>
      </c>
      <c r="O331" s="1214">
        <v>1548.1</v>
      </c>
      <c r="P331" s="1214">
        <v>511.7</v>
      </c>
    </row>
    <row r="332" spans="3:16" hidden="1">
      <c r="C332" s="1144"/>
      <c r="D332" s="172" t="str">
        <f>IF(Indice_index!$Z$1=1,"dezembro","December")</f>
        <v>dezembro</v>
      </c>
      <c r="E332" s="1213">
        <v>1935</v>
      </c>
      <c r="F332" s="1213">
        <v>132</v>
      </c>
      <c r="G332" s="1213">
        <v>881</v>
      </c>
      <c r="H332" s="1213">
        <v>2948</v>
      </c>
      <c r="I332" s="1213">
        <v>911</v>
      </c>
      <c r="J332" s="1214">
        <v>3354755.0300000003</v>
      </c>
      <c r="K332" s="1214">
        <v>152507.60999999999</v>
      </c>
      <c r="L332" s="1214">
        <v>438256.88</v>
      </c>
      <c r="M332" s="1214">
        <v>3945519.52</v>
      </c>
      <c r="N332" s="1214">
        <v>919486.9</v>
      </c>
      <c r="O332" s="1214">
        <v>1696.8</v>
      </c>
      <c r="P332" s="1214">
        <v>497.5</v>
      </c>
    </row>
    <row r="333" spans="3:16" hidden="1">
      <c r="C333" s="1143" t="s">
        <v>12</v>
      </c>
      <c r="D333" s="171"/>
      <c r="E333" s="1213"/>
      <c r="F333" s="1213"/>
      <c r="G333" s="1213"/>
      <c r="H333" s="1213"/>
      <c r="I333" s="1213"/>
      <c r="J333" s="1214"/>
      <c r="K333" s="1214"/>
      <c r="L333" s="1214"/>
      <c r="M333" s="1214"/>
      <c r="N333" s="1214"/>
      <c r="O333" s="1214"/>
      <c r="P333" s="1214"/>
    </row>
    <row r="334" spans="3:16" hidden="1">
      <c r="C334" s="1144"/>
      <c r="D334" s="172" t="str">
        <f>IF(Indice_index!$Z$1=1,"janeiro","January")</f>
        <v>janeiro</v>
      </c>
      <c r="E334" s="1213">
        <v>1562</v>
      </c>
      <c r="F334" s="1213">
        <v>298</v>
      </c>
      <c r="G334" s="1213">
        <v>580</v>
      </c>
      <c r="H334" s="1213">
        <v>2440</v>
      </c>
      <c r="I334" s="1213">
        <v>887</v>
      </c>
      <c r="J334" s="1214">
        <v>2144170.29</v>
      </c>
      <c r="K334" s="1214">
        <v>342562.81</v>
      </c>
      <c r="L334" s="1214">
        <v>264495.68</v>
      </c>
      <c r="M334" s="1214">
        <v>2751228.78</v>
      </c>
      <c r="N334" s="1214">
        <v>938329.29</v>
      </c>
      <c r="O334" s="1214">
        <v>1337</v>
      </c>
      <c r="P334" s="1214">
        <v>456</v>
      </c>
    </row>
    <row r="335" spans="3:16" hidden="1">
      <c r="C335" s="1144"/>
      <c r="D335" s="172" t="str">
        <f>IF(Indice_index!$Z$1=1,"fevereiro","February")</f>
        <v>fevereiro</v>
      </c>
      <c r="E335" s="1213">
        <v>1528</v>
      </c>
      <c r="F335" s="1213">
        <v>162</v>
      </c>
      <c r="G335" s="1213">
        <v>750</v>
      </c>
      <c r="H335" s="1213">
        <v>2440</v>
      </c>
      <c r="I335" s="1213">
        <v>1283</v>
      </c>
      <c r="J335" s="1214">
        <v>1757313.13</v>
      </c>
      <c r="K335" s="1214">
        <v>215035.99</v>
      </c>
      <c r="L335" s="1214">
        <v>377259.18</v>
      </c>
      <c r="M335" s="1214">
        <v>2349608.2999999998</v>
      </c>
      <c r="N335" s="1214">
        <v>1295736.5900000001</v>
      </c>
      <c r="O335" s="1214">
        <v>1167.0999999999999</v>
      </c>
      <c r="P335" s="1214">
        <v>503</v>
      </c>
    </row>
    <row r="336" spans="3:16" hidden="1">
      <c r="C336" s="1144"/>
      <c r="D336" s="172" t="str">
        <f>IF(Indice_index!$Z$1=1,"março","March")</f>
        <v>março</v>
      </c>
      <c r="E336" s="1213">
        <v>1569</v>
      </c>
      <c r="F336" s="1213">
        <v>77</v>
      </c>
      <c r="G336" s="1213">
        <v>813</v>
      </c>
      <c r="H336" s="1213">
        <v>2459</v>
      </c>
      <c r="I336" s="1213">
        <v>1102</v>
      </c>
      <c r="J336" s="1214">
        <v>1989226.2</v>
      </c>
      <c r="K336" s="1214">
        <v>95593.09</v>
      </c>
      <c r="L336" s="1214">
        <v>424644.21</v>
      </c>
      <c r="M336" s="1214">
        <v>2509463.5</v>
      </c>
      <c r="N336" s="1214">
        <v>1117527.6599999999</v>
      </c>
      <c r="O336" s="1214">
        <v>1266.5999999999999</v>
      </c>
      <c r="P336" s="1214">
        <v>522.29999999999995</v>
      </c>
    </row>
    <row r="337" spans="3:27" hidden="1">
      <c r="C337" s="1146"/>
      <c r="D337" s="172" t="str">
        <f>IF(Indice_index!$Z$1=1,"abril","April")</f>
        <v>abril</v>
      </c>
      <c r="E337" s="1213">
        <v>1334</v>
      </c>
      <c r="F337" s="1213">
        <v>341</v>
      </c>
      <c r="G337" s="1213">
        <v>818</v>
      </c>
      <c r="H337" s="1213">
        <v>2493</v>
      </c>
      <c r="I337" s="1213">
        <v>1031</v>
      </c>
      <c r="J337" s="1214">
        <v>1739113.49</v>
      </c>
      <c r="K337" s="1214">
        <v>381846.29</v>
      </c>
      <c r="L337" s="1214">
        <v>407992.44</v>
      </c>
      <c r="M337" s="1214">
        <v>2528952.2200000002</v>
      </c>
      <c r="N337" s="1214">
        <v>1083317.72</v>
      </c>
      <c r="O337" s="1214">
        <v>1266.2</v>
      </c>
      <c r="P337" s="1214">
        <v>498.8</v>
      </c>
    </row>
    <row r="338" spans="3:27" hidden="1">
      <c r="C338" s="1146"/>
      <c r="D338" s="172" t="str">
        <f>IF(Indice_index!$Z$1=1,"maio","May")</f>
        <v>maio</v>
      </c>
      <c r="E338" s="1213">
        <v>1569</v>
      </c>
      <c r="F338" s="1213">
        <v>126</v>
      </c>
      <c r="G338" s="1213">
        <v>646</v>
      </c>
      <c r="H338" s="1213">
        <v>2341</v>
      </c>
      <c r="I338" s="1213">
        <v>921</v>
      </c>
      <c r="J338" s="1214">
        <v>1984561.34</v>
      </c>
      <c r="K338" s="1214">
        <v>142609.82</v>
      </c>
      <c r="L338" s="1214">
        <v>314798.21999999997</v>
      </c>
      <c r="M338" s="1214">
        <v>2441969.38</v>
      </c>
      <c r="N338" s="1214">
        <v>990536</v>
      </c>
      <c r="O338" s="1214">
        <v>1255</v>
      </c>
      <c r="P338" s="1214">
        <v>487.3</v>
      </c>
    </row>
    <row r="339" spans="3:27" hidden="1">
      <c r="C339" s="1146"/>
      <c r="D339" s="172" t="str">
        <f>IF(Indice_index!$Z$1=1,"junho","June")</f>
        <v>junho</v>
      </c>
      <c r="E339" s="1213">
        <v>1552</v>
      </c>
      <c r="F339" s="1213">
        <v>186</v>
      </c>
      <c r="G339" s="1213">
        <v>759</v>
      </c>
      <c r="H339" s="1213">
        <v>2497</v>
      </c>
      <c r="I339" s="1213">
        <v>1019</v>
      </c>
      <c r="J339" s="1214">
        <v>1832568.78</v>
      </c>
      <c r="K339" s="1214">
        <v>213884.45</v>
      </c>
      <c r="L339" s="1214">
        <v>378716.78</v>
      </c>
      <c r="M339" s="1214">
        <v>2425170.0099999998</v>
      </c>
      <c r="N339" s="1214">
        <v>1050314.4099999999</v>
      </c>
      <c r="O339" s="1214">
        <v>1177.5</v>
      </c>
      <c r="P339" s="1214">
        <v>499</v>
      </c>
    </row>
    <row r="340" spans="3:27" hidden="1">
      <c r="C340" s="1146"/>
      <c r="D340" s="172" t="str">
        <f>IF(Indice_index!$Z$1=1,"julho","July")</f>
        <v>julho</v>
      </c>
      <c r="E340" s="1213">
        <v>1796</v>
      </c>
      <c r="F340" s="1213">
        <v>87</v>
      </c>
      <c r="G340" s="1213">
        <v>13138</v>
      </c>
      <c r="H340" s="1213">
        <v>15021</v>
      </c>
      <c r="I340" s="1213">
        <v>853</v>
      </c>
      <c r="J340" s="1214">
        <v>1927040.2400000002</v>
      </c>
      <c r="K340" s="1214">
        <v>86949.419999999984</v>
      </c>
      <c r="L340" s="1214">
        <v>2496857.39</v>
      </c>
      <c r="M340" s="1214">
        <v>4510847.0500000007</v>
      </c>
      <c r="N340" s="1214">
        <v>877658.51</v>
      </c>
      <c r="O340" s="1214">
        <v>1069.5999999999999</v>
      </c>
      <c r="P340" s="1214">
        <v>190</v>
      </c>
    </row>
    <row r="341" spans="3:27" hidden="1">
      <c r="C341" s="1146"/>
      <c r="D341" s="172" t="str">
        <f>IF(Indice_index!$Z$1=1,"agosto","August")</f>
        <v>agosto</v>
      </c>
      <c r="E341" s="1213">
        <v>2800</v>
      </c>
      <c r="F341" s="1213">
        <v>285</v>
      </c>
      <c r="G341" s="1213">
        <v>796</v>
      </c>
      <c r="H341" s="1213">
        <v>3881</v>
      </c>
      <c r="I341" s="1213">
        <v>911</v>
      </c>
      <c r="J341" s="1214">
        <v>1784574.77</v>
      </c>
      <c r="K341" s="1214">
        <v>279773.2</v>
      </c>
      <c r="L341" s="1214">
        <v>415378.73</v>
      </c>
      <c r="M341" s="1214">
        <v>2479726.7000000002</v>
      </c>
      <c r="N341" s="1214">
        <v>971128.11</v>
      </c>
      <c r="O341" s="1214">
        <v>669.2</v>
      </c>
      <c r="P341" s="1214">
        <v>521.79999999999995</v>
      </c>
    </row>
    <row r="342" spans="3:27" hidden="1">
      <c r="C342" s="1146"/>
      <c r="D342" s="172" t="str">
        <f>IF(Indice_index!$Z$1=1,"setembro","September")</f>
        <v>setembro</v>
      </c>
      <c r="E342" s="1213">
        <v>2469</v>
      </c>
      <c r="F342" s="1213">
        <v>270</v>
      </c>
      <c r="G342" s="1213">
        <v>566</v>
      </c>
      <c r="H342" s="1213">
        <v>3305</v>
      </c>
      <c r="I342" s="1213">
        <v>887</v>
      </c>
      <c r="J342" s="1214">
        <v>1750249.17</v>
      </c>
      <c r="K342" s="1214">
        <v>269596.73</v>
      </c>
      <c r="L342" s="1214">
        <v>279032.69</v>
      </c>
      <c r="M342" s="1214">
        <v>2298878.59</v>
      </c>
      <c r="N342" s="1214">
        <v>910999.21</v>
      </c>
      <c r="O342" s="1214">
        <v>737.4</v>
      </c>
      <c r="P342" s="1214">
        <v>493</v>
      </c>
    </row>
    <row r="343" spans="3:27" hidden="1">
      <c r="C343" s="1146"/>
      <c r="D343" s="172" t="str">
        <f>IF(Indice_index!$Z$1=1,"outubro","October")</f>
        <v>outubro</v>
      </c>
      <c r="E343" s="1213">
        <v>1613</v>
      </c>
      <c r="F343" s="1213">
        <v>100</v>
      </c>
      <c r="G343" s="1213">
        <v>849</v>
      </c>
      <c r="H343" s="1213">
        <v>2562</v>
      </c>
      <c r="I343" s="1213">
        <v>899</v>
      </c>
      <c r="J343" s="1214">
        <v>1797338.73</v>
      </c>
      <c r="K343" s="1214">
        <v>107549.74</v>
      </c>
      <c r="L343" s="1214">
        <v>415703.82</v>
      </c>
      <c r="M343" s="1214">
        <v>2320592.29</v>
      </c>
      <c r="N343" s="1214">
        <v>936966.85</v>
      </c>
      <c r="O343" s="1214">
        <v>1112</v>
      </c>
      <c r="P343" s="1214">
        <v>489</v>
      </c>
    </row>
    <row r="344" spans="3:27" hidden="1">
      <c r="C344" s="1146"/>
      <c r="D344" s="172" t="str">
        <f>IF(Indice_index!$Z$1=1,"novembro","November")</f>
        <v>novembro</v>
      </c>
      <c r="E344" s="1213">
        <v>1796</v>
      </c>
      <c r="F344" s="1213">
        <v>142</v>
      </c>
      <c r="G344" s="1213">
        <v>834</v>
      </c>
      <c r="H344" s="1213">
        <v>2772</v>
      </c>
      <c r="I344" s="1213">
        <v>1014</v>
      </c>
      <c r="J344" s="1214">
        <v>2281320.89</v>
      </c>
      <c r="K344" s="1214">
        <v>136727.79</v>
      </c>
      <c r="L344" s="1214">
        <v>409322.86</v>
      </c>
      <c r="M344" s="1214">
        <v>2827371.54</v>
      </c>
      <c r="N344" s="1214">
        <v>1047371.52</v>
      </c>
      <c r="O344" s="1214">
        <v>1247.7</v>
      </c>
      <c r="P344" s="1214">
        <v>490.8</v>
      </c>
    </row>
    <row r="345" spans="3:27" hidden="1">
      <c r="C345" s="1146"/>
      <c r="D345" s="172" t="str">
        <f>IF(Indice_index!$Z$1=1,"dezembro","December")</f>
        <v>dezembro</v>
      </c>
      <c r="E345" s="1213">
        <v>1523</v>
      </c>
      <c r="F345" s="1213">
        <v>115</v>
      </c>
      <c r="G345" s="1213">
        <v>677</v>
      </c>
      <c r="H345" s="1213">
        <v>2315</v>
      </c>
      <c r="I345" s="1213">
        <v>936</v>
      </c>
      <c r="J345" s="1214">
        <v>1839898.4</v>
      </c>
      <c r="K345" s="1214">
        <v>100441.60000000001</v>
      </c>
      <c r="L345" s="1214">
        <v>334836.89</v>
      </c>
      <c r="M345" s="1214">
        <v>2275176.89</v>
      </c>
      <c r="N345" s="1214">
        <v>1000387.68</v>
      </c>
      <c r="O345" s="1214">
        <v>1184.5999999999999</v>
      </c>
      <c r="P345" s="1214">
        <v>494.6</v>
      </c>
    </row>
    <row r="346" spans="3:27" hidden="1">
      <c r="C346" s="1145">
        <v>2015</v>
      </c>
      <c r="D346" s="171"/>
      <c r="E346" s="1213"/>
      <c r="F346" s="1213"/>
      <c r="G346" s="1213"/>
      <c r="H346" s="1213"/>
      <c r="I346" s="1213"/>
      <c r="J346" s="1214"/>
      <c r="K346" s="1214"/>
      <c r="L346" s="1214"/>
      <c r="M346" s="1214"/>
      <c r="N346" s="1214"/>
      <c r="O346" s="1214"/>
      <c r="P346" s="1214"/>
    </row>
    <row r="347" spans="3:27" ht="10.5" hidden="1">
      <c r="C347" s="1146"/>
      <c r="D347" s="172" t="str">
        <f>IF(Indice_index!$Z$1=1,"janeiro","January")</f>
        <v>janeiro</v>
      </c>
      <c r="E347" s="1213">
        <v>1770</v>
      </c>
      <c r="F347" s="1213">
        <v>136</v>
      </c>
      <c r="G347" s="1213">
        <v>606</v>
      </c>
      <c r="H347" s="1213">
        <v>2512</v>
      </c>
      <c r="I347" s="1213">
        <v>921</v>
      </c>
      <c r="J347" s="1214">
        <v>2407139.7599999998</v>
      </c>
      <c r="K347" s="1214">
        <v>109758.61</v>
      </c>
      <c r="L347" s="1214">
        <v>299494.09999999998</v>
      </c>
      <c r="M347" s="1214">
        <v>2816392.47</v>
      </c>
      <c r="N347" s="1214">
        <v>975542.06</v>
      </c>
      <c r="O347" s="1214">
        <v>1320.5</v>
      </c>
      <c r="P347" s="1214">
        <v>494.2</v>
      </c>
      <c r="X347" s="229"/>
      <c r="Y347" s="229"/>
      <c r="Z347" s="229"/>
      <c r="AA347" s="229"/>
    </row>
    <row r="348" spans="3:27" hidden="1">
      <c r="C348" s="1146"/>
      <c r="D348" s="172" t="str">
        <f>IF(Indice_index!$Z$1=1,"fevereiro","February")</f>
        <v>fevereiro</v>
      </c>
      <c r="E348" s="1213">
        <v>1711</v>
      </c>
      <c r="F348" s="1213">
        <v>94</v>
      </c>
      <c r="G348" s="1213">
        <v>532</v>
      </c>
      <c r="H348" s="1213">
        <v>2337</v>
      </c>
      <c r="I348" s="1213">
        <v>1226</v>
      </c>
      <c r="J348" s="1214">
        <v>2130496.8199999998</v>
      </c>
      <c r="K348" s="1214">
        <v>96635.839999999997</v>
      </c>
      <c r="L348" s="1214">
        <v>306687.09000000003</v>
      </c>
      <c r="M348" s="1214">
        <v>2533819.75</v>
      </c>
      <c r="N348" s="1214">
        <v>1273588.1499999999</v>
      </c>
      <c r="O348" s="1214">
        <v>1233.9000000000001</v>
      </c>
      <c r="P348" s="1214">
        <v>576.5</v>
      </c>
    </row>
    <row r="349" spans="3:27" hidden="1">
      <c r="C349" s="1146"/>
      <c r="D349" s="172" t="str">
        <f>IF(Indice_index!$Z$1=1,"março","March")</f>
        <v>março</v>
      </c>
      <c r="E349" s="1213">
        <v>1863</v>
      </c>
      <c r="F349" s="1213">
        <v>118</v>
      </c>
      <c r="G349" s="1213">
        <v>710</v>
      </c>
      <c r="H349" s="1213">
        <v>2691</v>
      </c>
      <c r="I349" s="1213">
        <v>1438</v>
      </c>
      <c r="J349" s="1214">
        <v>2491570.5099999998</v>
      </c>
      <c r="K349" s="1214">
        <v>123472.14</v>
      </c>
      <c r="L349" s="1214">
        <v>377539.71</v>
      </c>
      <c r="M349" s="1214">
        <v>2992582.36</v>
      </c>
      <c r="N349" s="1214">
        <v>1483538.72</v>
      </c>
      <c r="O349" s="1214">
        <v>1320.1</v>
      </c>
      <c r="P349" s="1214">
        <v>531.70000000000005</v>
      </c>
    </row>
    <row r="350" spans="3:27" hidden="1">
      <c r="C350" s="1146"/>
      <c r="D350" s="172" t="str">
        <f>IF(Indice_index!$Z$1=1,"abril","April")</f>
        <v>abril</v>
      </c>
      <c r="E350" s="1213">
        <v>1442</v>
      </c>
      <c r="F350" s="1213">
        <v>218</v>
      </c>
      <c r="G350" s="1213">
        <v>952</v>
      </c>
      <c r="H350" s="1213">
        <v>2612</v>
      </c>
      <c r="I350" s="1213">
        <v>1325</v>
      </c>
      <c r="J350" s="1214">
        <v>1870266.71</v>
      </c>
      <c r="K350" s="1214">
        <v>207453.98</v>
      </c>
      <c r="L350" s="1214">
        <v>493357.47</v>
      </c>
      <c r="M350" s="1214">
        <v>2571078.16</v>
      </c>
      <c r="N350" s="1214">
        <v>1329636.56</v>
      </c>
      <c r="O350" s="1214">
        <v>1251.5999999999999</v>
      </c>
      <c r="P350" s="1214">
        <v>518.20000000000005</v>
      </c>
    </row>
    <row r="351" spans="3:27" hidden="1">
      <c r="C351" s="1146"/>
      <c r="D351" s="172" t="str">
        <f>IF(Indice_index!$Z$1=1,"maio","May")</f>
        <v>maio</v>
      </c>
      <c r="E351" s="1213">
        <v>1389</v>
      </c>
      <c r="F351" s="1213">
        <v>135</v>
      </c>
      <c r="G351" s="1213">
        <v>2741</v>
      </c>
      <c r="H351" s="1213">
        <v>4265</v>
      </c>
      <c r="I351" s="1213">
        <v>1072</v>
      </c>
      <c r="J351" s="1214">
        <v>1490666.5</v>
      </c>
      <c r="K351" s="1214">
        <v>128359.52</v>
      </c>
      <c r="L351" s="1214">
        <v>646844.06000000006</v>
      </c>
      <c r="M351" s="1214">
        <v>2265870.08</v>
      </c>
      <c r="N351" s="1214">
        <v>1111609.3999999999</v>
      </c>
      <c r="O351" s="1214">
        <v>1062.4000000000001</v>
      </c>
      <c r="P351" s="1214">
        <v>236</v>
      </c>
    </row>
    <row r="352" spans="3:27" hidden="1">
      <c r="C352" s="1146"/>
      <c r="D352" s="172" t="str">
        <f>IF(Indice_index!$Z$1=1,"junho","June")</f>
        <v>junho</v>
      </c>
      <c r="E352" s="1213">
        <v>1220</v>
      </c>
      <c r="F352" s="1213">
        <v>183</v>
      </c>
      <c r="G352" s="1213">
        <v>728</v>
      </c>
      <c r="H352" s="1213">
        <v>2131</v>
      </c>
      <c r="I352" s="1213">
        <v>953</v>
      </c>
      <c r="J352" s="1214">
        <v>1122638.95</v>
      </c>
      <c r="K352" s="1214">
        <v>154324.73000000001</v>
      </c>
      <c r="L352" s="1214">
        <v>340523.99</v>
      </c>
      <c r="M352" s="1214">
        <v>1617487.67</v>
      </c>
      <c r="N352" s="1214">
        <v>979034.81</v>
      </c>
      <c r="O352" s="1214">
        <v>910.2</v>
      </c>
      <c r="P352" s="1214">
        <v>467.8</v>
      </c>
    </row>
    <row r="353" spans="3:16" hidden="1">
      <c r="C353" s="1146"/>
      <c r="D353" s="172" t="str">
        <f>IF(Indice_index!$Z$1=1,"julho","July")</f>
        <v>julho</v>
      </c>
      <c r="E353" s="1213">
        <v>665</v>
      </c>
      <c r="F353" s="1213">
        <v>150</v>
      </c>
      <c r="G353" s="1213">
        <v>802</v>
      </c>
      <c r="H353" s="1213">
        <v>1617</v>
      </c>
      <c r="I353" s="1213">
        <v>946</v>
      </c>
      <c r="J353" s="1214">
        <v>799815.27</v>
      </c>
      <c r="K353" s="1214">
        <v>164683.47</v>
      </c>
      <c r="L353" s="1214">
        <v>381132.69</v>
      </c>
      <c r="M353" s="1214">
        <v>1345631.43</v>
      </c>
      <c r="N353" s="1214">
        <v>982409.2</v>
      </c>
      <c r="O353" s="1214">
        <v>1183.4000000000001</v>
      </c>
      <c r="P353" s="1214">
        <v>475.2</v>
      </c>
    </row>
    <row r="354" spans="3:16" hidden="1">
      <c r="C354" s="1146"/>
      <c r="D354" s="172" t="str">
        <f>IF(Indice_index!$Z$1=1,"agosto","August")</f>
        <v>agosto</v>
      </c>
      <c r="E354" s="1213">
        <v>1267</v>
      </c>
      <c r="F354" s="1213">
        <v>180</v>
      </c>
      <c r="G354" s="1213">
        <v>763</v>
      </c>
      <c r="H354" s="1213">
        <v>2210</v>
      </c>
      <c r="I354" s="1213">
        <v>983</v>
      </c>
      <c r="J354" s="1214">
        <v>729279.21</v>
      </c>
      <c r="K354" s="1214">
        <v>227538.68</v>
      </c>
      <c r="L354" s="1214">
        <v>369190.44</v>
      </c>
      <c r="M354" s="1214">
        <v>1326008.33</v>
      </c>
      <c r="N354" s="1214">
        <v>992158.48</v>
      </c>
      <c r="O354" s="1214">
        <v>661.2</v>
      </c>
      <c r="P354" s="1214">
        <v>483.9</v>
      </c>
    </row>
    <row r="355" spans="3:16" hidden="1">
      <c r="C355" s="1146"/>
      <c r="D355" s="172" t="str">
        <f>IF(Indice_index!$Z$1=1,"setembro","September")</f>
        <v>setembro</v>
      </c>
      <c r="E355" s="1213">
        <v>967</v>
      </c>
      <c r="F355" s="1213">
        <v>184</v>
      </c>
      <c r="G355" s="1213">
        <v>748</v>
      </c>
      <c r="H355" s="1213">
        <v>1899</v>
      </c>
      <c r="I355" s="1213">
        <v>953</v>
      </c>
      <c r="J355" s="1214">
        <v>1047387.66</v>
      </c>
      <c r="K355" s="1214">
        <v>182236.75</v>
      </c>
      <c r="L355" s="1214">
        <v>397882.89</v>
      </c>
      <c r="M355" s="1214">
        <v>1627507.3000000003</v>
      </c>
      <c r="N355" s="1214">
        <v>1040644.97</v>
      </c>
      <c r="O355" s="1214">
        <v>1068.3</v>
      </c>
      <c r="P355" s="1214">
        <v>531.9</v>
      </c>
    </row>
    <row r="356" spans="3:16" hidden="1">
      <c r="C356" s="1146"/>
      <c r="D356" s="172" t="str">
        <f>IF(Indice_index!$Z$1=1,"outubro","October")</f>
        <v>outubro</v>
      </c>
      <c r="E356" s="1213">
        <v>788</v>
      </c>
      <c r="F356" s="1213">
        <v>158</v>
      </c>
      <c r="G356" s="1213">
        <v>547</v>
      </c>
      <c r="H356" s="1213">
        <v>1493</v>
      </c>
      <c r="I356" s="1213">
        <v>909</v>
      </c>
      <c r="J356" s="1214">
        <v>718601.03</v>
      </c>
      <c r="K356" s="1214">
        <v>195071.44</v>
      </c>
      <c r="L356" s="1214">
        <v>275368.63</v>
      </c>
      <c r="M356" s="1214">
        <v>1189041.1000000001</v>
      </c>
      <c r="N356" s="1214">
        <v>914422.88</v>
      </c>
      <c r="O356" s="1214">
        <v>965.8</v>
      </c>
      <c r="P356" s="1214">
        <v>503.4</v>
      </c>
    </row>
    <row r="357" spans="3:16" hidden="1">
      <c r="C357" s="1146"/>
      <c r="D357" s="172" t="str">
        <f>IF(Indice_index!$Z$1=1,"novembro","November")</f>
        <v>novembro</v>
      </c>
      <c r="E357" s="1213">
        <v>646</v>
      </c>
      <c r="F357" s="1213">
        <v>82</v>
      </c>
      <c r="G357" s="1213">
        <v>767</v>
      </c>
      <c r="H357" s="1213">
        <v>1495</v>
      </c>
      <c r="I357" s="1213">
        <v>974</v>
      </c>
      <c r="J357" s="1214">
        <v>678062.34</v>
      </c>
      <c r="K357" s="1214">
        <v>78490.509999999995</v>
      </c>
      <c r="L357" s="1214">
        <v>407768.24</v>
      </c>
      <c r="M357" s="1214">
        <v>1164321.0900000001</v>
      </c>
      <c r="N357" s="1214">
        <v>1016231.87</v>
      </c>
      <c r="O357" s="1214">
        <v>1039.2</v>
      </c>
      <c r="P357" s="1214">
        <v>531.6</v>
      </c>
    </row>
    <row r="358" spans="3:16" hidden="1">
      <c r="C358" s="1146"/>
      <c r="D358" s="172" t="str">
        <f>IF(Indice_index!$Z$1=1,"dezembro","December")</f>
        <v>dezembro</v>
      </c>
      <c r="E358" s="1213">
        <v>647</v>
      </c>
      <c r="F358" s="1213">
        <v>185</v>
      </c>
      <c r="G358" s="1213">
        <v>719</v>
      </c>
      <c r="H358" s="1213">
        <v>1551</v>
      </c>
      <c r="I358" s="1213">
        <v>935</v>
      </c>
      <c r="J358" s="1214">
        <v>645465.87</v>
      </c>
      <c r="K358" s="1214">
        <v>219634.42</v>
      </c>
      <c r="L358" s="1214">
        <v>340514.09</v>
      </c>
      <c r="M358" s="1214">
        <v>1205614.3799999999</v>
      </c>
      <c r="N358" s="1214">
        <v>983801.21</v>
      </c>
      <c r="O358" s="1214">
        <v>1039.8</v>
      </c>
      <c r="P358" s="1214">
        <v>473.6</v>
      </c>
    </row>
    <row r="359" spans="3:16" hidden="1">
      <c r="C359" s="297">
        <v>2016</v>
      </c>
      <c r="D359" s="171"/>
      <c r="E359" s="1213"/>
      <c r="F359" s="1213"/>
      <c r="G359" s="1213"/>
      <c r="H359" s="1213"/>
      <c r="I359" s="1213"/>
      <c r="J359" s="1214"/>
      <c r="K359" s="1214"/>
      <c r="L359" s="1214"/>
      <c r="M359" s="1214"/>
      <c r="N359" s="1214"/>
      <c r="O359" s="1214"/>
      <c r="P359" s="1214"/>
    </row>
    <row r="360" spans="3:16" hidden="1">
      <c r="C360" s="1146"/>
      <c r="D360" s="172" t="str">
        <f>IF(Indice_index!$Z$1=1,"janeiro","January")</f>
        <v>janeiro</v>
      </c>
      <c r="E360" s="1213">
        <v>581</v>
      </c>
      <c r="F360" s="1213">
        <v>114</v>
      </c>
      <c r="G360" s="1213">
        <v>551</v>
      </c>
      <c r="H360" s="1213">
        <v>1246</v>
      </c>
      <c r="I360" s="1213">
        <v>898</v>
      </c>
      <c r="J360" s="1214">
        <v>556067.03</v>
      </c>
      <c r="K360" s="1214">
        <v>121174.09</v>
      </c>
      <c r="L360" s="1214">
        <v>286234.01</v>
      </c>
      <c r="M360" s="1214">
        <v>963475.13</v>
      </c>
      <c r="N360" s="1214">
        <v>965165.38</v>
      </c>
      <c r="O360" s="1214">
        <v>974.4</v>
      </c>
      <c r="P360" s="1214">
        <v>519.5</v>
      </c>
    </row>
    <row r="361" spans="3:16" hidden="1">
      <c r="C361" s="1146"/>
      <c r="D361" s="172" t="str">
        <f>IF(Indice_index!$Z$1=1,"fevereiro","February")</f>
        <v>fevereiro</v>
      </c>
      <c r="E361" s="1213">
        <v>608</v>
      </c>
      <c r="F361" s="1213">
        <v>81</v>
      </c>
      <c r="G361" s="1213">
        <v>608</v>
      </c>
      <c r="H361" s="1213">
        <v>1297</v>
      </c>
      <c r="I361" s="1213">
        <v>1117</v>
      </c>
      <c r="J361" s="1214">
        <v>577088.16</v>
      </c>
      <c r="K361" s="1214">
        <v>93877.26</v>
      </c>
      <c r="L361" s="1214">
        <v>298416.71999999997</v>
      </c>
      <c r="M361" s="1214">
        <v>969381.14</v>
      </c>
      <c r="N361" s="1214">
        <v>1166900.32</v>
      </c>
      <c r="O361" s="1214">
        <v>973.8</v>
      </c>
      <c r="P361" s="1214">
        <v>490.8</v>
      </c>
    </row>
    <row r="362" spans="3:16" hidden="1">
      <c r="C362" s="1146"/>
      <c r="D362" s="172" t="str">
        <f>IF(Indice_index!$Z$1=1,"março","March")</f>
        <v>março</v>
      </c>
      <c r="E362" s="1213">
        <v>743</v>
      </c>
      <c r="F362" s="1213">
        <v>142</v>
      </c>
      <c r="G362" s="1213">
        <v>663</v>
      </c>
      <c r="H362" s="1213">
        <v>1548</v>
      </c>
      <c r="I362" s="1213">
        <v>1172</v>
      </c>
      <c r="J362" s="1214">
        <v>757732.41</v>
      </c>
      <c r="K362" s="1214">
        <v>164022.62</v>
      </c>
      <c r="L362" s="1214">
        <v>348417.45</v>
      </c>
      <c r="M362" s="1214">
        <v>1270172.48</v>
      </c>
      <c r="N362" s="1214">
        <v>1212648.3999999999</v>
      </c>
      <c r="O362" s="1214">
        <v>1041.5</v>
      </c>
      <c r="P362" s="1214">
        <v>525.5</v>
      </c>
    </row>
    <row r="363" spans="3:16" hidden="1">
      <c r="C363" s="1146"/>
      <c r="D363" s="172" t="str">
        <f>IF(Indice_index!$Z$1=1,"abril","April")</f>
        <v>abril</v>
      </c>
      <c r="E363" s="1213">
        <v>796</v>
      </c>
      <c r="F363" s="1213">
        <v>145</v>
      </c>
      <c r="G363" s="1213">
        <v>810</v>
      </c>
      <c r="H363" s="1213">
        <v>1751</v>
      </c>
      <c r="I363" s="1213">
        <v>1163</v>
      </c>
      <c r="J363" s="1214">
        <v>709955.13</v>
      </c>
      <c r="K363" s="1214">
        <v>144923.67000000001</v>
      </c>
      <c r="L363" s="1214">
        <v>423348.57</v>
      </c>
      <c r="M363" s="1214">
        <v>1278227.3700000001</v>
      </c>
      <c r="N363" s="1214">
        <v>1280346.29</v>
      </c>
      <c r="O363" s="1214">
        <v>908.4</v>
      </c>
      <c r="P363" s="1214">
        <v>522.70000000000005</v>
      </c>
    </row>
    <row r="364" spans="3:16" hidden="1">
      <c r="C364" s="1146"/>
      <c r="D364" s="172" t="str">
        <f>IF(Indice_index!$Z$1=1,"maio","May")</f>
        <v>maio</v>
      </c>
      <c r="E364" s="1213">
        <v>540</v>
      </c>
      <c r="F364" s="1213">
        <v>127</v>
      </c>
      <c r="G364" s="1213">
        <v>707</v>
      </c>
      <c r="H364" s="1213">
        <v>1374</v>
      </c>
      <c r="I364" s="1213">
        <v>1143</v>
      </c>
      <c r="J364" s="1214">
        <v>447117.33</v>
      </c>
      <c r="K364" s="1214">
        <v>130857.16</v>
      </c>
      <c r="L364" s="1214">
        <v>347806.21</v>
      </c>
      <c r="M364" s="1214">
        <v>925780.7</v>
      </c>
      <c r="N364" s="1214">
        <v>1225053.6299999999</v>
      </c>
      <c r="O364" s="1214">
        <v>866.5</v>
      </c>
      <c r="P364" s="1214">
        <v>491.9</v>
      </c>
    </row>
    <row r="365" spans="3:16" hidden="1">
      <c r="C365" s="1146"/>
      <c r="D365" s="172" t="str">
        <f>IF(Indice_index!$Z$1=1,"junho","June")</f>
        <v>junho</v>
      </c>
      <c r="E365" s="1213">
        <v>602</v>
      </c>
      <c r="F365" s="1213">
        <v>151</v>
      </c>
      <c r="G365" s="1213">
        <v>906</v>
      </c>
      <c r="H365" s="1215">
        <v>1659</v>
      </c>
      <c r="I365" s="1213">
        <v>1092</v>
      </c>
      <c r="J365" s="1214">
        <v>463727.65</v>
      </c>
      <c r="K365" s="1214">
        <v>137148.81</v>
      </c>
      <c r="L365" s="1214">
        <v>458482.88</v>
      </c>
      <c r="M365" s="1216">
        <v>1059359.3400000001</v>
      </c>
      <c r="N365" s="1214">
        <v>1125006.02</v>
      </c>
      <c r="O365" s="229">
        <v>798</v>
      </c>
      <c r="P365" s="229">
        <v>506.1</v>
      </c>
    </row>
    <row r="366" spans="3:16" hidden="1">
      <c r="C366" s="1146"/>
      <c r="D366" s="172" t="str">
        <f>IF(Indice_index!$Z$1=1,"julho","July")</f>
        <v>julho</v>
      </c>
      <c r="E366" s="1213">
        <v>489</v>
      </c>
      <c r="F366" s="1213">
        <v>172</v>
      </c>
      <c r="G366" s="1213">
        <v>633</v>
      </c>
      <c r="H366" s="1215">
        <v>1294</v>
      </c>
      <c r="I366" s="1213">
        <v>957</v>
      </c>
      <c r="J366" s="1214">
        <v>416511.64</v>
      </c>
      <c r="K366" s="1214">
        <v>160737.88</v>
      </c>
      <c r="L366" s="1214">
        <v>316744.83</v>
      </c>
      <c r="M366" s="1216">
        <v>893994.35</v>
      </c>
      <c r="N366" s="1214">
        <v>1020151.33</v>
      </c>
      <c r="O366" s="229">
        <v>873.3</v>
      </c>
      <c r="P366" s="229">
        <v>500.4</v>
      </c>
    </row>
    <row r="367" spans="3:16" hidden="1">
      <c r="C367" s="1146"/>
      <c r="D367" s="172" t="str">
        <f>IF(Indice_index!$Z$1=1,"agosto","August")</f>
        <v>agosto</v>
      </c>
      <c r="E367" s="1213">
        <v>503</v>
      </c>
      <c r="F367" s="1213">
        <v>167</v>
      </c>
      <c r="G367" s="1213">
        <v>559</v>
      </c>
      <c r="H367" s="1215">
        <v>1229</v>
      </c>
      <c r="I367" s="1213">
        <v>911</v>
      </c>
      <c r="J367" s="1214">
        <v>441955.65</v>
      </c>
      <c r="K367" s="1214">
        <v>168720.69</v>
      </c>
      <c r="L367" s="1214">
        <v>270402.07</v>
      </c>
      <c r="M367" s="1216">
        <v>881078.41000000015</v>
      </c>
      <c r="N367" s="1214">
        <v>989137.72</v>
      </c>
      <c r="O367" s="229">
        <v>911.5</v>
      </c>
      <c r="P367" s="229">
        <v>483.7</v>
      </c>
    </row>
    <row r="368" spans="3:16" hidden="1">
      <c r="C368" s="1146"/>
      <c r="D368" s="172" t="str">
        <f>IF(Indice_index!$Z$1=1,"setembro","September")</f>
        <v>setembro</v>
      </c>
      <c r="E368" s="1213">
        <v>561</v>
      </c>
      <c r="F368" s="1213">
        <v>197</v>
      </c>
      <c r="G368" s="1213">
        <v>647</v>
      </c>
      <c r="H368" s="1215">
        <v>1405</v>
      </c>
      <c r="I368" s="1213">
        <v>966</v>
      </c>
      <c r="J368" s="1214">
        <v>590543.46</v>
      </c>
      <c r="K368" s="1214">
        <v>187237.62</v>
      </c>
      <c r="L368" s="1214">
        <v>341862.92</v>
      </c>
      <c r="M368" s="1216">
        <v>1119644</v>
      </c>
      <c r="N368" s="1214">
        <v>1028801.2</v>
      </c>
      <c r="O368" s="229">
        <v>1026.0999999999999</v>
      </c>
      <c r="P368" s="229">
        <v>528.4</v>
      </c>
    </row>
    <row r="369" spans="3:29" hidden="1">
      <c r="C369" s="1146"/>
      <c r="D369" s="172" t="str">
        <f>IF(Indice_index!$Z$1=1,"outubro","October")</f>
        <v>outubro</v>
      </c>
      <c r="E369" s="1213">
        <v>523</v>
      </c>
      <c r="F369" s="1213">
        <v>146</v>
      </c>
      <c r="G369" s="1213">
        <v>491</v>
      </c>
      <c r="H369" s="1215">
        <v>1160</v>
      </c>
      <c r="I369" s="1213">
        <v>1004</v>
      </c>
      <c r="J369" s="1214">
        <v>481812.93</v>
      </c>
      <c r="K369" s="1214">
        <v>139106.82</v>
      </c>
      <c r="L369" s="1214">
        <v>246229.43</v>
      </c>
      <c r="M369" s="1216">
        <v>867149.18</v>
      </c>
      <c r="N369" s="1214">
        <v>1043795.75</v>
      </c>
      <c r="O369" s="229">
        <v>928.1</v>
      </c>
      <c r="P369" s="229">
        <v>501.5</v>
      </c>
    </row>
    <row r="370" spans="3:29" hidden="1">
      <c r="C370" s="1146"/>
      <c r="D370" s="172" t="str">
        <f>IF(Indice_index!$Z$1=1,"novembro","November")</f>
        <v>novembro</v>
      </c>
      <c r="E370" s="1213">
        <v>450</v>
      </c>
      <c r="F370" s="1213">
        <v>80</v>
      </c>
      <c r="G370" s="1213">
        <v>774</v>
      </c>
      <c r="H370" s="1215">
        <v>1304</v>
      </c>
      <c r="I370" s="1213">
        <v>946</v>
      </c>
      <c r="J370" s="1214">
        <v>408562.65</v>
      </c>
      <c r="K370" s="1214">
        <v>72794.44</v>
      </c>
      <c r="L370" s="1214">
        <v>390158.55</v>
      </c>
      <c r="M370" s="1216">
        <v>871515.61</v>
      </c>
      <c r="N370" s="1214">
        <v>977121.49</v>
      </c>
      <c r="O370" s="229">
        <v>908.2</v>
      </c>
      <c r="P370" s="229">
        <v>504.1</v>
      </c>
    </row>
    <row r="371" spans="3:29" hidden="1">
      <c r="C371" s="1146"/>
      <c r="D371" s="172" t="str">
        <f>IF(Indice_index!$Z$1=1,"dezembro","December")</f>
        <v>dezembro</v>
      </c>
      <c r="E371" s="1213">
        <v>634</v>
      </c>
      <c r="F371" s="1213">
        <v>175</v>
      </c>
      <c r="G371" s="1213">
        <v>650</v>
      </c>
      <c r="H371" s="1215">
        <v>1459</v>
      </c>
      <c r="I371" s="1213">
        <v>1013</v>
      </c>
      <c r="J371" s="1214">
        <v>637254.05000000005</v>
      </c>
      <c r="K371" s="1214">
        <v>156384.87</v>
      </c>
      <c r="L371" s="1214">
        <v>321538.2</v>
      </c>
      <c r="M371" s="1216">
        <v>1115177.1200000001</v>
      </c>
      <c r="N371" s="1214">
        <v>1087068.3899999999</v>
      </c>
      <c r="O371" s="229">
        <v>981</v>
      </c>
      <c r="P371" s="229">
        <v>494.7</v>
      </c>
    </row>
    <row r="372" spans="3:29" hidden="1">
      <c r="C372" s="297">
        <v>2017</v>
      </c>
      <c r="D372" s="171"/>
      <c r="E372" s="1213"/>
      <c r="F372" s="1213"/>
      <c r="G372" s="1213"/>
      <c r="H372" s="1213"/>
      <c r="I372" s="1213"/>
      <c r="J372" s="1214"/>
      <c r="K372" s="1214"/>
      <c r="L372" s="1214"/>
      <c r="M372" s="1214"/>
      <c r="N372" s="1214"/>
      <c r="O372" s="1214"/>
      <c r="P372" s="1214"/>
    </row>
    <row r="373" spans="3:29" s="171" customFormat="1" ht="10.5" hidden="1">
      <c r="C373" s="1217"/>
      <c r="D373" s="172" t="str">
        <f>IF(Indice_index!$Z$1=1,"janeiro","January")</f>
        <v>janeiro</v>
      </c>
      <c r="E373" s="1213">
        <v>786</v>
      </c>
      <c r="F373" s="1213">
        <v>140</v>
      </c>
      <c r="G373" s="1213">
        <v>593</v>
      </c>
      <c r="H373" s="1213">
        <v>1519</v>
      </c>
      <c r="I373" s="1213">
        <v>977</v>
      </c>
      <c r="J373" s="1214">
        <v>578370.84</v>
      </c>
      <c r="K373" s="1214">
        <v>138294.88</v>
      </c>
      <c r="L373" s="1214">
        <v>296116.46999999997</v>
      </c>
      <c r="M373" s="1214">
        <v>1012782.19</v>
      </c>
      <c r="N373" s="1214">
        <v>1011409.09</v>
      </c>
      <c r="O373" s="1214">
        <v>773.9</v>
      </c>
      <c r="P373" s="1214">
        <v>499.4</v>
      </c>
      <c r="R373" s="229"/>
      <c r="S373" s="229"/>
      <c r="T373" s="229"/>
      <c r="U373" s="229"/>
      <c r="V373" s="229"/>
      <c r="W373" s="229"/>
      <c r="X373" s="229"/>
      <c r="Y373" s="229"/>
      <c r="Z373" s="229"/>
      <c r="AA373" s="229"/>
      <c r="AB373" s="229"/>
      <c r="AC373" s="229"/>
    </row>
    <row r="374" spans="3:29" s="171" customFormat="1" ht="10.5" hidden="1">
      <c r="C374" s="1217"/>
      <c r="D374" s="172" t="str">
        <f>IF(Indice_index!$Z$1=1,"fevereiro","February")</f>
        <v>fevereiro</v>
      </c>
      <c r="E374" s="1213">
        <v>573</v>
      </c>
      <c r="F374" s="1213">
        <v>127</v>
      </c>
      <c r="G374" s="1213">
        <v>756</v>
      </c>
      <c r="H374" s="1213">
        <v>1456</v>
      </c>
      <c r="I374" s="1213">
        <v>1520</v>
      </c>
      <c r="J374" s="1214">
        <v>582431.9</v>
      </c>
      <c r="K374" s="1214">
        <v>128892.18</v>
      </c>
      <c r="L374" s="1214">
        <v>394383.93</v>
      </c>
      <c r="M374" s="1214">
        <v>1105708.01</v>
      </c>
      <c r="N374" s="1214">
        <v>1609971.21</v>
      </c>
      <c r="O374" s="1214">
        <v>1016.2</v>
      </c>
      <c r="P374" s="1214">
        <v>521.70000000000005</v>
      </c>
      <c r="R374" s="229"/>
      <c r="S374" s="229"/>
      <c r="T374" s="229"/>
      <c r="U374" s="229"/>
      <c r="V374" s="229"/>
      <c r="W374" s="229"/>
      <c r="X374" s="229"/>
      <c r="Y374" s="229"/>
      <c r="Z374" s="229"/>
      <c r="AA374" s="229"/>
      <c r="AB374" s="229"/>
      <c r="AC374" s="229"/>
    </row>
    <row r="375" spans="3:29" ht="10.5" hidden="1">
      <c r="C375" s="297"/>
      <c r="D375" s="172" t="str">
        <f>IF(Indice_index!$Z$1=1,"março","March")</f>
        <v>março</v>
      </c>
      <c r="E375" s="1213">
        <v>374</v>
      </c>
      <c r="F375" s="1213">
        <v>148</v>
      </c>
      <c r="G375" s="1213">
        <v>899</v>
      </c>
      <c r="H375" s="1213">
        <v>1421</v>
      </c>
      <c r="I375" s="1213">
        <v>1377</v>
      </c>
      <c r="J375" s="1214">
        <v>394397.49</v>
      </c>
      <c r="K375" s="1214">
        <v>160746.25</v>
      </c>
      <c r="L375" s="1214">
        <v>461100.92</v>
      </c>
      <c r="M375" s="1214">
        <v>1016244.66</v>
      </c>
      <c r="N375" s="1214">
        <v>1410294.92</v>
      </c>
      <c r="O375" s="1214">
        <v>1063.5</v>
      </c>
      <c r="P375" s="1214">
        <v>512.9</v>
      </c>
      <c r="X375" s="229"/>
      <c r="Y375" s="229"/>
      <c r="Z375" s="229"/>
      <c r="AA375" s="229"/>
    </row>
    <row r="376" spans="3:29" ht="10.5" hidden="1">
      <c r="C376" s="297"/>
      <c r="D376" s="172" t="str">
        <f>IF(Indice_index!$Z$1=1,"abril","April")</f>
        <v>abril</v>
      </c>
      <c r="E376" s="1213">
        <v>541</v>
      </c>
      <c r="F376" s="1213">
        <v>157</v>
      </c>
      <c r="G376" s="1213">
        <v>820</v>
      </c>
      <c r="H376" s="1213">
        <v>1518</v>
      </c>
      <c r="I376" s="1213">
        <v>1227</v>
      </c>
      <c r="J376" s="1214">
        <v>649425</v>
      </c>
      <c r="K376" s="1214">
        <v>142514.06</v>
      </c>
      <c r="L376" s="1214">
        <v>435970.18</v>
      </c>
      <c r="M376" s="1214">
        <v>1227909.24</v>
      </c>
      <c r="N376" s="1214">
        <v>1306714.6399999999</v>
      </c>
      <c r="O376" s="1214">
        <v>1134.5999999999999</v>
      </c>
      <c r="P376" s="1214">
        <v>531.70000000000005</v>
      </c>
      <c r="X376" s="229"/>
      <c r="Y376" s="229"/>
      <c r="Z376" s="229"/>
      <c r="AA376" s="229"/>
    </row>
    <row r="377" spans="3:29" ht="12.75" hidden="1" customHeight="1">
      <c r="C377" s="297"/>
      <c r="D377" s="172" t="str">
        <f>IF(Indice_index!$Z$1=1,"maio","May")</f>
        <v>maio</v>
      </c>
      <c r="E377" s="1213">
        <v>787</v>
      </c>
      <c r="F377" s="1213">
        <v>137</v>
      </c>
      <c r="G377" s="1213">
        <v>667</v>
      </c>
      <c r="H377" s="1213">
        <v>1591</v>
      </c>
      <c r="I377" s="1213">
        <v>965</v>
      </c>
      <c r="J377" s="1214">
        <v>1126009.55</v>
      </c>
      <c r="K377" s="1214">
        <v>142162</v>
      </c>
      <c r="L377" s="1214">
        <v>344238.68</v>
      </c>
      <c r="M377" s="1214">
        <v>1612410.23</v>
      </c>
      <c r="N377" s="1214">
        <v>1013052.58</v>
      </c>
      <c r="O377" s="1214">
        <v>1372.5</v>
      </c>
      <c r="P377" s="1214">
        <v>516.1</v>
      </c>
      <c r="X377" s="229"/>
      <c r="Y377" s="229"/>
      <c r="Z377" s="229"/>
      <c r="AA377" s="229"/>
    </row>
    <row r="378" spans="3:29" ht="12.75" hidden="1" customHeight="1">
      <c r="C378" s="297"/>
      <c r="D378" s="172" t="str">
        <f>IF(Indice_index!$Z$1=1,"junho","June")</f>
        <v>junho</v>
      </c>
      <c r="E378" s="1213">
        <v>1047</v>
      </c>
      <c r="F378" s="1213">
        <v>142</v>
      </c>
      <c r="G378" s="1213">
        <v>828</v>
      </c>
      <c r="H378" s="1213">
        <v>2017</v>
      </c>
      <c r="I378" s="1213">
        <v>1057</v>
      </c>
      <c r="J378" s="1214">
        <v>1177461.47</v>
      </c>
      <c r="K378" s="1214">
        <v>163205.15</v>
      </c>
      <c r="L378" s="1214">
        <v>427465.75</v>
      </c>
      <c r="M378" s="1214">
        <v>1768132.37</v>
      </c>
      <c r="N378" s="1214">
        <v>1121550.1299999999</v>
      </c>
      <c r="O378" s="1214">
        <v>1127.5999999999999</v>
      </c>
      <c r="P378" s="1214">
        <v>516.29999999999995</v>
      </c>
      <c r="X378" s="229"/>
      <c r="Y378" s="229"/>
      <c r="Z378" s="229"/>
      <c r="AA378" s="229"/>
    </row>
    <row r="379" spans="3:29" ht="12.75" hidden="1" customHeight="1">
      <c r="C379" s="297"/>
      <c r="D379" s="172" t="str">
        <f>IF(Indice_index!$Z$1=1,"julho","July")</f>
        <v>julho</v>
      </c>
      <c r="E379" s="1213">
        <v>1387</v>
      </c>
      <c r="F379" s="1213">
        <v>166</v>
      </c>
      <c r="G379" s="1213">
        <v>557</v>
      </c>
      <c r="H379" s="1213">
        <v>2110</v>
      </c>
      <c r="I379" s="1213">
        <v>988</v>
      </c>
      <c r="J379" s="1214">
        <v>1562695.69</v>
      </c>
      <c r="K379" s="1214">
        <v>159216.19</v>
      </c>
      <c r="L379" s="1214">
        <v>302530.78999999998</v>
      </c>
      <c r="M379" s="1214">
        <v>2024442.67</v>
      </c>
      <c r="N379" s="1214">
        <v>1023568.02</v>
      </c>
      <c r="O379" s="1214">
        <v>1108.8</v>
      </c>
      <c r="P379" s="1214">
        <v>543.1</v>
      </c>
      <c r="X379" s="229"/>
      <c r="Y379" s="229"/>
      <c r="Z379" s="229"/>
      <c r="AA379" s="229"/>
    </row>
    <row r="380" spans="3:29" ht="12.75" hidden="1" customHeight="1">
      <c r="C380" s="297"/>
      <c r="D380" s="172" t="str">
        <f>IF(Indice_index!$Z$1=1,"agosto","August")</f>
        <v>agosto</v>
      </c>
      <c r="E380" s="1213">
        <v>1277</v>
      </c>
      <c r="F380" s="1213">
        <v>113</v>
      </c>
      <c r="G380" s="1213">
        <v>567</v>
      </c>
      <c r="H380" s="1213">
        <v>1957</v>
      </c>
      <c r="I380" s="1213">
        <v>995</v>
      </c>
      <c r="J380" s="1214">
        <v>1333807.08</v>
      </c>
      <c r="K380" s="1214">
        <v>126989.99</v>
      </c>
      <c r="L380" s="1214">
        <v>297063.33</v>
      </c>
      <c r="M380" s="1214">
        <v>1757860.4</v>
      </c>
      <c r="N380" s="1214">
        <v>914810.8</v>
      </c>
      <c r="O380" s="1214">
        <v>1050.9000000000001</v>
      </c>
      <c r="P380" s="1214">
        <v>523.9</v>
      </c>
      <c r="X380" s="229"/>
      <c r="Y380" s="229"/>
      <c r="Z380" s="229"/>
      <c r="AA380" s="229"/>
    </row>
    <row r="381" spans="3:29" ht="12.75" hidden="1" customHeight="1">
      <c r="C381" s="297"/>
      <c r="D381" s="172" t="str">
        <f>IF(Indice_index!$Z$1=1,"setembro","September")</f>
        <v>setembro</v>
      </c>
      <c r="E381" s="1213">
        <v>935</v>
      </c>
      <c r="F381" s="1213">
        <v>180</v>
      </c>
      <c r="G381" s="1213">
        <v>648</v>
      </c>
      <c r="H381" s="1213">
        <v>1763</v>
      </c>
      <c r="I381" s="1213">
        <v>925</v>
      </c>
      <c r="J381" s="1214">
        <v>1395259.46</v>
      </c>
      <c r="K381" s="1214">
        <v>185588.5</v>
      </c>
      <c r="L381" s="1214">
        <v>325847.75</v>
      </c>
      <c r="M381" s="1214">
        <v>1906695.71</v>
      </c>
      <c r="N381" s="1214">
        <v>1001667.37</v>
      </c>
      <c r="O381" s="1214">
        <v>1417.8</v>
      </c>
      <c r="P381" s="1214">
        <v>502.9</v>
      </c>
      <c r="X381" s="229"/>
      <c r="Y381" s="229"/>
      <c r="Z381" s="229"/>
      <c r="AA381" s="229"/>
    </row>
    <row r="382" spans="3:29" ht="12.75" hidden="1" customHeight="1">
      <c r="C382" s="297"/>
      <c r="D382" s="172" t="str">
        <f>IF(Indice_index!$Z$1=1,"outubro","October")</f>
        <v>outubro</v>
      </c>
      <c r="E382" s="1213">
        <v>1011</v>
      </c>
      <c r="F382" s="1213">
        <v>67</v>
      </c>
      <c r="G382" s="1213">
        <v>4020</v>
      </c>
      <c r="H382" s="1213">
        <v>5098</v>
      </c>
      <c r="I382" s="1213">
        <v>941</v>
      </c>
      <c r="J382" s="1214">
        <v>1275119.77</v>
      </c>
      <c r="K382" s="1214">
        <v>80781.440000000002</v>
      </c>
      <c r="L382" s="1214">
        <v>886881.41</v>
      </c>
      <c r="M382" s="1214">
        <v>2242782.62</v>
      </c>
      <c r="N382" s="1214">
        <v>1009636.48</v>
      </c>
      <c r="O382" s="1214">
        <v>1257.8</v>
      </c>
      <c r="P382" s="1214">
        <v>220.6</v>
      </c>
      <c r="X382" s="229"/>
      <c r="Y382" s="229"/>
      <c r="Z382" s="229"/>
      <c r="AA382" s="229"/>
    </row>
    <row r="383" spans="3:29" s="171" customFormat="1" ht="12.75" hidden="1" customHeight="1">
      <c r="C383" s="1217"/>
      <c r="D383" s="172" t="str">
        <f>IF(Indice_index!$Z$1=1,"novembro","November")</f>
        <v>novembro</v>
      </c>
      <c r="E383" s="1213">
        <v>1160</v>
      </c>
      <c r="F383" s="1213">
        <v>161</v>
      </c>
      <c r="G383" s="1213">
        <v>717</v>
      </c>
      <c r="H383" s="1213">
        <v>2038</v>
      </c>
      <c r="I383" s="1213">
        <v>979</v>
      </c>
      <c r="J383" s="1214">
        <v>1888615.66</v>
      </c>
      <c r="K383" s="1214">
        <v>155626.68</v>
      </c>
      <c r="L383" s="1214">
        <v>360787.04</v>
      </c>
      <c r="M383" s="1214">
        <v>2405029.38</v>
      </c>
      <c r="N383" s="1214">
        <v>1056929.01</v>
      </c>
      <c r="O383" s="1214">
        <v>1547.5</v>
      </c>
      <c r="P383" s="1214">
        <v>503.2</v>
      </c>
      <c r="R383" s="229"/>
      <c r="S383" s="229"/>
      <c r="T383" s="229"/>
      <c r="U383" s="229"/>
      <c r="V383" s="229"/>
      <c r="W383" s="229"/>
      <c r="X383" s="229"/>
      <c r="Y383" s="229"/>
      <c r="Z383" s="229"/>
      <c r="AA383" s="229"/>
      <c r="AB383" s="229"/>
      <c r="AC383" s="229"/>
    </row>
    <row r="384" spans="3:29" ht="10.5" hidden="1">
      <c r="C384" s="1146"/>
      <c r="D384" s="172" t="str">
        <f>IF(Indice_index!$Z$1=1,"dezembro","December")</f>
        <v>dezembro</v>
      </c>
      <c r="E384" s="1213">
        <v>698</v>
      </c>
      <c r="F384" s="1213">
        <v>184</v>
      </c>
      <c r="G384" s="1213">
        <v>851</v>
      </c>
      <c r="H384" s="1213">
        <v>1733</v>
      </c>
      <c r="I384" s="1213">
        <v>1084</v>
      </c>
      <c r="J384" s="1214">
        <v>798282.51</v>
      </c>
      <c r="K384" s="1214">
        <v>152255.45000000001</v>
      </c>
      <c r="L384" s="1214">
        <v>447597.94</v>
      </c>
      <c r="M384" s="1214">
        <v>1398135.9</v>
      </c>
      <c r="N384" s="1214">
        <v>1138241.57</v>
      </c>
      <c r="O384" s="1214">
        <v>1077.7</v>
      </c>
      <c r="P384" s="1214">
        <v>526</v>
      </c>
      <c r="X384" s="229"/>
      <c r="Y384" s="229"/>
      <c r="Z384" s="229"/>
      <c r="AA384" s="229"/>
    </row>
    <row r="385" spans="3:29" ht="15" hidden="1" customHeight="1">
      <c r="C385" s="297">
        <v>2018</v>
      </c>
      <c r="D385" s="171"/>
      <c r="E385" s="1213"/>
      <c r="F385" s="1213"/>
      <c r="G385" s="1213"/>
      <c r="H385" s="1213"/>
      <c r="I385" s="1213"/>
      <c r="J385" s="1214"/>
      <c r="K385" s="1214"/>
      <c r="L385" s="1214"/>
      <c r="M385" s="1214"/>
      <c r="N385" s="1214"/>
      <c r="O385" s="1214"/>
      <c r="P385" s="1214"/>
    </row>
    <row r="386" spans="3:29" s="171" customFormat="1" ht="15" hidden="1" customHeight="1">
      <c r="C386" s="1217"/>
      <c r="D386" s="172" t="str">
        <f>IF(Indice_index!$Z$1=1,"janeiro","January")</f>
        <v>janeiro</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217"/>
      <c r="D387" s="172" t="str">
        <f>IF(Indice_index!$Z$1=1,"fevereiro","February")</f>
        <v>fevereiro</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março</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abril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maio</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junho</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julho</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agosto</v>
      </c>
      <c r="E393" s="1213">
        <v>808</v>
      </c>
      <c r="F393" s="1213">
        <v>99</v>
      </c>
      <c r="G393" s="1213">
        <v>576</v>
      </c>
      <c r="H393" s="1213">
        <v>1483</v>
      </c>
      <c r="I393" s="1213">
        <v>948</v>
      </c>
      <c r="J393" s="1214">
        <v>1121156.8400000001</v>
      </c>
      <c r="K393" s="1214">
        <v>125035.88</v>
      </c>
      <c r="L393" s="1214">
        <v>296873.08</v>
      </c>
      <c r="M393" s="1214">
        <v>1543065.8</v>
      </c>
      <c r="N393" s="1214">
        <v>997270.6</v>
      </c>
      <c r="O393" s="1214">
        <v>1374</v>
      </c>
      <c r="P393" s="1214">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setembro</v>
      </c>
      <c r="E394" s="1213">
        <v>898</v>
      </c>
      <c r="F394" s="1213">
        <v>139</v>
      </c>
      <c r="G394" s="1213">
        <v>635</v>
      </c>
      <c r="H394" s="1213">
        <v>1672</v>
      </c>
      <c r="I394" s="1213">
        <v>1000</v>
      </c>
      <c r="J394" s="1214">
        <v>1227038.67</v>
      </c>
      <c r="K394" s="1214">
        <v>134826.20000000001</v>
      </c>
      <c r="L394" s="1214">
        <v>335400.65999999997</v>
      </c>
      <c r="M394" s="1214">
        <v>1697265.53</v>
      </c>
      <c r="N394" s="1214">
        <v>1112186.8</v>
      </c>
      <c r="O394" s="1214">
        <v>1313.3</v>
      </c>
      <c r="P394" s="1214">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outubro</v>
      </c>
      <c r="E395" s="1213">
        <v>595</v>
      </c>
      <c r="F395" s="1213">
        <v>90</v>
      </c>
      <c r="G395" s="1213">
        <v>549</v>
      </c>
      <c r="H395" s="1213">
        <v>1234</v>
      </c>
      <c r="I395" s="1213">
        <v>1098</v>
      </c>
      <c r="J395" s="1214">
        <v>853401.65</v>
      </c>
      <c r="K395" s="1214">
        <v>109404.93</v>
      </c>
      <c r="L395" s="1214">
        <v>297062.19</v>
      </c>
      <c r="M395" s="1214">
        <v>1259868.77</v>
      </c>
      <c r="N395" s="1214">
        <v>1220062.75</v>
      </c>
      <c r="O395" s="1214">
        <v>1405.6</v>
      </c>
      <c r="P395" s="1214">
        <v>541.1</v>
      </c>
      <c r="R395" s="230"/>
      <c r="S395" s="230"/>
      <c r="T395" s="230"/>
      <c r="U395" s="230"/>
      <c r="V395" s="230"/>
      <c r="W395" s="230"/>
      <c r="X395" s="230"/>
      <c r="Y395" s="230"/>
      <c r="Z395" s="230"/>
      <c r="AA395" s="230"/>
      <c r="AB395" s="230"/>
      <c r="AC395" s="230"/>
    </row>
    <row r="396" spans="3:29" s="171" customFormat="1" ht="15" hidden="1" customHeight="1">
      <c r="C396" s="1217"/>
      <c r="D396" s="172" t="str">
        <f>IF(Indice_index!$Z$1=1,"novembro","November")</f>
        <v>novembro</v>
      </c>
      <c r="E396" s="1213">
        <v>721</v>
      </c>
      <c r="F396" s="1213">
        <v>134</v>
      </c>
      <c r="G396" s="1213">
        <v>920</v>
      </c>
      <c r="H396" s="1213">
        <v>1775</v>
      </c>
      <c r="I396" s="1213">
        <v>979</v>
      </c>
      <c r="J396" s="1214">
        <v>913278.22</v>
      </c>
      <c r="K396" s="1214">
        <v>154092.66</v>
      </c>
      <c r="L396" s="1214">
        <v>529161.11</v>
      </c>
      <c r="M396" s="1214">
        <v>1596531.99</v>
      </c>
      <c r="N396" s="1214">
        <v>1070531.94</v>
      </c>
      <c r="O396" s="1214">
        <v>1248.4000000000001</v>
      </c>
      <c r="P396" s="1214">
        <v>575.20000000000005</v>
      </c>
      <c r="R396" s="230"/>
      <c r="S396" s="230"/>
      <c r="T396" s="230"/>
      <c r="U396" s="230"/>
      <c r="V396" s="230"/>
      <c r="W396" s="230"/>
      <c r="X396" s="230"/>
      <c r="Y396" s="230"/>
      <c r="Z396" s="230"/>
      <c r="AA396" s="230"/>
      <c r="AB396" s="230"/>
      <c r="AC396" s="230"/>
    </row>
    <row r="397" spans="3:29" ht="15" hidden="1" customHeight="1">
      <c r="C397" s="1146"/>
      <c r="D397" s="172" t="str">
        <f>IF(Indice_index!$Z$1=1,"dezembro","December")</f>
        <v>dezembro</v>
      </c>
      <c r="E397" s="1213">
        <v>876</v>
      </c>
      <c r="F397" s="1213">
        <v>218</v>
      </c>
      <c r="G397" s="1213">
        <v>830</v>
      </c>
      <c r="H397" s="1213">
        <v>1924</v>
      </c>
      <c r="I397" s="1213">
        <v>1013</v>
      </c>
      <c r="J397" s="1214">
        <v>1300968.45</v>
      </c>
      <c r="K397" s="1214">
        <v>230659.94</v>
      </c>
      <c r="L397" s="1214">
        <v>471993.47</v>
      </c>
      <c r="M397" s="1214">
        <v>2003621.86</v>
      </c>
      <c r="N397" s="1214">
        <v>1096958.03</v>
      </c>
      <c r="O397" s="1214">
        <v>1400</v>
      </c>
      <c r="P397" s="1214">
        <v>568.70000000000005</v>
      </c>
      <c r="R397" s="230"/>
      <c r="S397" s="230"/>
      <c r="T397" s="230"/>
      <c r="U397" s="230"/>
      <c r="V397" s="230"/>
      <c r="W397" s="230"/>
      <c r="X397" s="230"/>
      <c r="Y397" s="230"/>
      <c r="Z397" s="230"/>
      <c r="AA397" s="230"/>
      <c r="AB397" s="230"/>
      <c r="AC397" s="230"/>
    </row>
    <row r="398" spans="3:29" ht="15" customHeight="1">
      <c r="C398" s="297">
        <v>2019</v>
      </c>
      <c r="D398" s="171"/>
      <c r="E398" s="1213"/>
      <c r="F398" s="1213"/>
      <c r="G398" s="1213"/>
      <c r="H398" s="1213"/>
      <c r="I398" s="1213"/>
      <c r="J398" s="1214"/>
      <c r="K398" s="1214"/>
      <c r="L398" s="1214"/>
      <c r="M398" s="1214"/>
      <c r="N398" s="1214"/>
      <c r="O398" s="1214"/>
      <c r="P398" s="1214"/>
      <c r="R398" s="230"/>
      <c r="S398" s="230"/>
      <c r="T398" s="230"/>
      <c r="U398" s="230"/>
      <c r="V398" s="230"/>
      <c r="W398" s="230"/>
      <c r="X398" s="230"/>
      <c r="Y398" s="230"/>
      <c r="Z398" s="230"/>
      <c r="AA398" s="230"/>
      <c r="AB398" s="230"/>
      <c r="AC398" s="230"/>
    </row>
    <row r="399" spans="3:29" s="171" customFormat="1" ht="15" customHeight="1">
      <c r="C399" s="1217"/>
      <c r="D399" s="172" t="str">
        <f>IF(Indice_index!$Z$1=1,"janeiro","January")</f>
        <v>janeiro</v>
      </c>
      <c r="E399" s="1218">
        <v>800</v>
      </c>
      <c r="F399" s="1218">
        <v>175</v>
      </c>
      <c r="G399" s="1218">
        <v>760</v>
      </c>
      <c r="H399" s="1218">
        <v>1735</v>
      </c>
      <c r="I399" s="1218">
        <v>1018</v>
      </c>
      <c r="J399" s="1219">
        <v>1089572.17</v>
      </c>
      <c r="K399" s="1219">
        <v>171869</v>
      </c>
      <c r="L399" s="1219">
        <v>395310.99</v>
      </c>
      <c r="M399" s="1219">
        <v>1656752.16</v>
      </c>
      <c r="N399" s="1219">
        <v>1079656.3899999999</v>
      </c>
      <c r="O399" s="1219">
        <v>1293.8</v>
      </c>
      <c r="P399" s="1219">
        <v>520.1</v>
      </c>
      <c r="R399" s="230"/>
      <c r="S399" s="230"/>
      <c r="T399" s="230"/>
      <c r="U399" s="230"/>
      <c r="V399" s="230"/>
      <c r="W399" s="230"/>
      <c r="X399" s="230"/>
      <c r="Y399" s="230"/>
      <c r="Z399" s="230"/>
      <c r="AA399" s="230"/>
      <c r="AB399" s="230"/>
      <c r="AC399" s="230"/>
    </row>
    <row r="400" spans="3:29" s="171" customFormat="1" ht="15" customHeight="1">
      <c r="C400" s="1217"/>
      <c r="D400" s="172" t="str">
        <f>IF(Indice_index!$Z$1=1,"fevereiro","February")</f>
        <v>fevereiro</v>
      </c>
      <c r="E400" s="1218">
        <v>681</v>
      </c>
      <c r="F400" s="1218">
        <v>166</v>
      </c>
      <c r="G400" s="1218">
        <v>899</v>
      </c>
      <c r="H400" s="1218">
        <v>1746</v>
      </c>
      <c r="I400" s="1218">
        <v>1239</v>
      </c>
      <c r="J400" s="1219">
        <v>811436.59</v>
      </c>
      <c r="K400" s="1219">
        <v>182202.01</v>
      </c>
      <c r="L400" s="1219">
        <v>501172.89</v>
      </c>
      <c r="M400" s="1219">
        <v>1494811.49</v>
      </c>
      <c r="N400" s="1219">
        <v>1399159.51</v>
      </c>
      <c r="O400" s="1219">
        <v>1173.0999999999999</v>
      </c>
      <c r="P400" s="1219">
        <v>557.5</v>
      </c>
      <c r="R400" s="230"/>
      <c r="S400" s="230"/>
      <c r="T400" s="230"/>
      <c r="U400" s="230"/>
      <c r="V400" s="230"/>
      <c r="W400" s="230"/>
      <c r="X400" s="230"/>
      <c r="Y400" s="230"/>
      <c r="Z400" s="230"/>
      <c r="AA400" s="230"/>
      <c r="AB400" s="230"/>
      <c r="AC400" s="230"/>
    </row>
    <row r="401" spans="3:41" ht="15" customHeight="1">
      <c r="C401" s="297"/>
      <c r="D401" s="172" t="str">
        <f>IF(Indice_index!$Z$1=1,"março","March")</f>
        <v>março</v>
      </c>
      <c r="E401" s="1218">
        <v>515</v>
      </c>
      <c r="F401" s="1218">
        <v>256</v>
      </c>
      <c r="G401" s="1218">
        <v>907</v>
      </c>
      <c r="H401" s="1218">
        <v>1678</v>
      </c>
      <c r="I401" s="1218">
        <v>1514</v>
      </c>
      <c r="J401" s="1219">
        <v>716359.79</v>
      </c>
      <c r="K401" s="1219">
        <v>275750.90000000002</v>
      </c>
      <c r="L401" s="1219">
        <v>494600.39</v>
      </c>
      <c r="M401" s="1219">
        <v>1486711.08</v>
      </c>
      <c r="N401" s="1219">
        <v>1614644.05</v>
      </c>
      <c r="O401" s="1219">
        <v>1286.8</v>
      </c>
      <c r="P401" s="1219">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abril</v>
      </c>
      <c r="E402" s="1218">
        <v>1065</v>
      </c>
      <c r="F402" s="1218">
        <v>314</v>
      </c>
      <c r="G402" s="1218">
        <v>733</v>
      </c>
      <c r="H402" s="1218">
        <v>2112</v>
      </c>
      <c r="I402" s="1218">
        <v>1232</v>
      </c>
      <c r="J402" s="1219">
        <v>1303373.69</v>
      </c>
      <c r="K402" s="1219">
        <v>353465.21</v>
      </c>
      <c r="L402" s="1219">
        <v>409577.3</v>
      </c>
      <c r="M402" s="1219">
        <v>2066416.2</v>
      </c>
      <c r="N402" s="1219">
        <v>1325659.73</v>
      </c>
      <c r="O402" s="1219">
        <v>1201.5</v>
      </c>
      <c r="P402" s="1219">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maio</v>
      </c>
      <c r="E403" s="1218">
        <v>1128</v>
      </c>
      <c r="F403" s="1218">
        <v>244</v>
      </c>
      <c r="G403" s="1218">
        <v>882</v>
      </c>
      <c r="H403" s="1218">
        <v>2254</v>
      </c>
      <c r="I403" s="1218">
        <v>1085</v>
      </c>
      <c r="J403" s="1219">
        <v>1546773.28</v>
      </c>
      <c r="K403" s="1219">
        <v>248128.21</v>
      </c>
      <c r="L403" s="1219">
        <v>454247.7</v>
      </c>
      <c r="M403" s="1219">
        <v>2249149.19</v>
      </c>
      <c r="N403" s="1219">
        <v>1794901.49</v>
      </c>
      <c r="O403" s="1219">
        <v>1308.2</v>
      </c>
      <c r="P403" s="1219">
        <v>515</v>
      </c>
      <c r="R403" s="230"/>
      <c r="S403" s="230"/>
      <c r="T403" s="230"/>
      <c r="U403" s="230"/>
      <c r="V403" s="230"/>
      <c r="W403" s="230"/>
      <c r="X403" s="230"/>
      <c r="Y403" s="230"/>
      <c r="Z403" s="230"/>
      <c r="AA403" s="230"/>
      <c r="AB403" s="230"/>
      <c r="AC403" s="230"/>
    </row>
    <row r="404" spans="3:41" ht="15" customHeight="1">
      <c r="C404" s="297"/>
      <c r="D404" s="172" t="str">
        <f>IF(Indice_index!$Z$1=1,"junho","June")</f>
        <v>junho</v>
      </c>
      <c r="E404" s="1218">
        <v>945</v>
      </c>
      <c r="F404" s="1218">
        <v>258</v>
      </c>
      <c r="G404" s="1218">
        <v>982</v>
      </c>
      <c r="H404" s="1218">
        <v>2185</v>
      </c>
      <c r="I404" s="1218">
        <v>1255</v>
      </c>
      <c r="J404" s="1219">
        <v>1136649.44</v>
      </c>
      <c r="K404" s="1219">
        <v>315491.37</v>
      </c>
      <c r="L404" s="1219">
        <v>500211.27</v>
      </c>
      <c r="M404" s="1219">
        <v>1952352.08</v>
      </c>
      <c r="N404" s="1219">
        <v>1423669.42</v>
      </c>
      <c r="O404" s="1219">
        <v>1207.0999999999999</v>
      </c>
      <c r="P404" s="1219">
        <v>509.4</v>
      </c>
      <c r="R404" s="230"/>
      <c r="S404" s="230"/>
      <c r="T404" s="230"/>
      <c r="U404" s="230"/>
      <c r="V404" s="230"/>
      <c r="W404" s="230"/>
      <c r="X404" s="230"/>
      <c r="Y404" s="230"/>
      <c r="Z404" s="230"/>
      <c r="AA404" s="230"/>
      <c r="AB404" s="230"/>
      <c r="AC404" s="230"/>
    </row>
    <row r="405" spans="3:41" ht="15" customHeight="1">
      <c r="C405" s="297"/>
      <c r="D405" s="172" t="str">
        <f>IF(Indice_index!$Z$1=1,"julho","July")</f>
        <v>julho</v>
      </c>
      <c r="E405" s="1218">
        <v>1013</v>
      </c>
      <c r="F405" s="1218">
        <v>164</v>
      </c>
      <c r="G405" s="1218">
        <v>747</v>
      </c>
      <c r="H405" s="1218">
        <v>1924</v>
      </c>
      <c r="I405" s="1218">
        <v>920</v>
      </c>
      <c r="J405" s="1219">
        <v>1350515.13</v>
      </c>
      <c r="K405" s="1219">
        <v>191515.13</v>
      </c>
      <c r="L405" s="1219">
        <v>414170.55</v>
      </c>
      <c r="M405" s="1219">
        <v>1956200.8099999998</v>
      </c>
      <c r="N405" s="1219">
        <v>966080.69</v>
      </c>
      <c r="O405" s="1219">
        <v>1310</v>
      </c>
      <c r="P405" s="1219">
        <v>554.4</v>
      </c>
      <c r="R405" s="230"/>
      <c r="S405" s="230"/>
      <c r="T405" s="230"/>
      <c r="U405" s="230"/>
      <c r="V405" s="230"/>
      <c r="W405" s="230"/>
      <c r="X405" s="230"/>
      <c r="Y405" s="230"/>
      <c r="Z405" s="230"/>
      <c r="AA405" s="230"/>
      <c r="AB405" s="230"/>
      <c r="AC405" s="230"/>
    </row>
    <row r="406" spans="3:41" ht="15" customHeight="1">
      <c r="C406" s="297"/>
      <c r="D406" s="172" t="str">
        <f>IF(Indice_index!$Z$1=1,"agosto","August")</f>
        <v>agosto</v>
      </c>
      <c r="E406" s="1218">
        <v>973</v>
      </c>
      <c r="F406" s="1218">
        <v>157</v>
      </c>
      <c r="G406" s="1218">
        <v>853</v>
      </c>
      <c r="H406" s="1218">
        <v>1983</v>
      </c>
      <c r="I406" s="1218">
        <v>1061</v>
      </c>
      <c r="J406" s="1219">
        <v>1053354.69</v>
      </c>
      <c r="K406" s="1219">
        <v>161216.37</v>
      </c>
      <c r="L406" s="1219">
        <v>418478.12</v>
      </c>
      <c r="M406" s="1219">
        <v>1633049.1800000002</v>
      </c>
      <c r="N406" s="1219">
        <v>1130360.99</v>
      </c>
      <c r="O406" s="1219">
        <v>1074.8</v>
      </c>
      <c r="P406" s="1219">
        <v>490.6</v>
      </c>
      <c r="X406" s="229"/>
      <c r="Y406" s="229"/>
      <c r="Z406" s="229"/>
      <c r="AA406" s="229"/>
    </row>
    <row r="407" spans="3:41" ht="15" customHeight="1">
      <c r="C407" s="297"/>
      <c r="D407" s="172" t="str">
        <f>IF(Indice_index!$Z$1=1,"setembro","September")</f>
        <v>setembro</v>
      </c>
      <c r="E407" s="1218">
        <v>1018</v>
      </c>
      <c r="F407" s="1218">
        <v>188</v>
      </c>
      <c r="G407" s="1218">
        <v>921</v>
      </c>
      <c r="H407" s="1218">
        <v>2127</v>
      </c>
      <c r="I407" s="1218">
        <v>957</v>
      </c>
      <c r="J407" s="1219">
        <v>1180241.8500000001</v>
      </c>
      <c r="K407" s="1219">
        <v>212205.83</v>
      </c>
      <c r="L407" s="1219">
        <v>399925.98</v>
      </c>
      <c r="M407" s="1219">
        <v>1792373.66</v>
      </c>
      <c r="N407" s="1219">
        <v>1085699.8899999999</v>
      </c>
      <c r="O407" s="1219">
        <v>1154.5999999999999</v>
      </c>
      <c r="P407" s="1219">
        <v>434.2</v>
      </c>
      <c r="X407" s="229"/>
      <c r="Y407" s="229"/>
      <c r="Z407" s="229"/>
      <c r="AA407" s="229"/>
    </row>
    <row r="408" spans="3:41" ht="15" customHeight="1">
      <c r="C408" s="297"/>
      <c r="D408" s="172" t="str">
        <f>IF(Indice_index!$Z$1=1,"outubro","October")</f>
        <v>outubro</v>
      </c>
      <c r="E408" s="1220">
        <v>830</v>
      </c>
      <c r="F408" s="1220">
        <v>87</v>
      </c>
      <c r="G408" s="1220">
        <v>735</v>
      </c>
      <c r="H408" s="1220">
        <v>1652</v>
      </c>
      <c r="I408" s="1220">
        <v>1129</v>
      </c>
      <c r="J408" s="1221">
        <v>937535.28</v>
      </c>
      <c r="K408" s="1221">
        <v>96065.17</v>
      </c>
      <c r="L408" s="1221">
        <v>327182.71999999997</v>
      </c>
      <c r="M408" s="1221">
        <v>1360783.17</v>
      </c>
      <c r="N408" s="1221">
        <v>1273577.6299999999</v>
      </c>
      <c r="O408" s="1221">
        <v>1127.2</v>
      </c>
      <c r="P408" s="1221">
        <v>445.1</v>
      </c>
      <c r="X408" s="229"/>
      <c r="Y408" s="229"/>
      <c r="Z408" s="229"/>
      <c r="AA408" s="229"/>
    </row>
    <row r="409" spans="3:41" s="171" customFormat="1" ht="15" customHeight="1">
      <c r="C409" s="1217"/>
      <c r="D409" s="172" t="str">
        <f>IF(Indice_index!$Z$1=1,"novembro","November")</f>
        <v>novembro</v>
      </c>
      <c r="E409" s="1222">
        <v>2057</v>
      </c>
      <c r="F409" s="1222">
        <v>176</v>
      </c>
      <c r="G409" s="1222">
        <v>1034</v>
      </c>
      <c r="H409" s="1222">
        <v>3267</v>
      </c>
      <c r="I409" s="1222">
        <v>1052</v>
      </c>
      <c r="J409" s="1223">
        <v>1512838.7399999998</v>
      </c>
      <c r="K409" s="1223">
        <v>194177.99999999997</v>
      </c>
      <c r="L409" s="1223">
        <v>482554.58</v>
      </c>
      <c r="M409" s="1223">
        <v>2189571.3199999998</v>
      </c>
      <c r="N409" s="1223">
        <v>1179613.68</v>
      </c>
      <c r="O409" s="1223">
        <v>764.4</v>
      </c>
      <c r="P409" s="1223">
        <v>466.7</v>
      </c>
      <c r="R409" s="229"/>
      <c r="S409" s="229"/>
      <c r="T409" s="229"/>
      <c r="U409" s="229"/>
      <c r="V409" s="229"/>
      <c r="W409" s="229"/>
      <c r="X409" s="229"/>
      <c r="Y409" s="229"/>
      <c r="Z409" s="229"/>
      <c r="AA409" s="229"/>
      <c r="AB409" s="229"/>
      <c r="AC409" s="229"/>
    </row>
    <row r="410" spans="3:41" ht="15" customHeight="1">
      <c r="C410" s="1146"/>
      <c r="D410" s="172" t="str">
        <f>IF(Indice_index!$Z$1=1,"dezembro","December")</f>
        <v>dezembro</v>
      </c>
      <c r="E410" s="1213">
        <v>2065</v>
      </c>
      <c r="F410" s="1213">
        <v>165</v>
      </c>
      <c r="G410" s="1213">
        <v>643</v>
      </c>
      <c r="H410" s="1213">
        <v>2873</v>
      </c>
      <c r="I410" s="1213">
        <v>1095</v>
      </c>
      <c r="J410" s="1214">
        <v>1764593.98</v>
      </c>
      <c r="K410" s="1214">
        <v>160955.39000000001</v>
      </c>
      <c r="L410" s="1214">
        <v>305412.8</v>
      </c>
      <c r="M410" s="1214">
        <v>2230962.17</v>
      </c>
      <c r="N410" s="1214">
        <v>1240568.53</v>
      </c>
      <c r="O410" s="1214">
        <v>863.5</v>
      </c>
      <c r="P410" s="1214">
        <v>475</v>
      </c>
    </row>
    <row r="411" spans="3:41" ht="15" customHeight="1">
      <c r="C411" s="297">
        <v>2020</v>
      </c>
      <c r="D411" s="171"/>
      <c r="E411" s="1213"/>
      <c r="F411" s="1213"/>
      <c r="G411" s="1213"/>
      <c r="H411" s="1213"/>
      <c r="I411" s="1213"/>
      <c r="J411" s="1214"/>
      <c r="K411" s="1214"/>
      <c r="L411" s="1214"/>
      <c r="M411" s="1214"/>
      <c r="N411" s="1214"/>
      <c r="O411" s="1214"/>
      <c r="P411" s="1214"/>
      <c r="R411" s="230"/>
      <c r="S411" s="230"/>
      <c r="T411" s="230"/>
      <c r="U411" s="230"/>
      <c r="V411" s="230"/>
      <c r="W411" s="230"/>
      <c r="X411" s="230"/>
      <c r="Y411" s="230"/>
      <c r="Z411" s="230"/>
      <c r="AA411" s="230"/>
      <c r="AB411" s="230"/>
      <c r="AC411" s="230"/>
    </row>
    <row r="412" spans="3:41" s="171" customFormat="1" ht="15" customHeight="1">
      <c r="C412" s="1217"/>
      <c r="D412" s="172" t="str">
        <f>IF(Indice_index!$Z$1=1,"janeiro","January")</f>
        <v>janeiro</v>
      </c>
      <c r="E412" s="1218">
        <v>1301</v>
      </c>
      <c r="F412" s="1218">
        <v>101</v>
      </c>
      <c r="G412" s="1218">
        <v>1606</v>
      </c>
      <c r="H412" s="1218">
        <v>3008</v>
      </c>
      <c r="I412" s="1218">
        <v>1254</v>
      </c>
      <c r="J412" s="1219">
        <v>1406215.8599999999</v>
      </c>
      <c r="K412" s="1219">
        <v>120721.40999999999</v>
      </c>
      <c r="L412" s="1219">
        <v>1121634.8500000001</v>
      </c>
      <c r="M412" s="1219">
        <v>2648572.12</v>
      </c>
      <c r="N412" s="1219">
        <v>1181130.18</v>
      </c>
      <c r="O412" s="1219">
        <v>1089.0999999999999</v>
      </c>
      <c r="P412" s="1219">
        <v>698.4</v>
      </c>
      <c r="R412" s="230"/>
      <c r="S412" s="230"/>
      <c r="T412" s="230"/>
      <c r="U412" s="230"/>
      <c r="V412" s="230"/>
      <c r="W412" s="230"/>
      <c r="X412" s="230"/>
      <c r="Y412" s="230"/>
      <c r="Z412" s="230"/>
      <c r="AA412" s="230"/>
      <c r="AB412" s="230"/>
      <c r="AC412" s="230"/>
      <c r="AD412" s="417"/>
      <c r="AE412" s="417"/>
      <c r="AF412" s="417"/>
      <c r="AG412" s="417"/>
      <c r="AH412" s="417"/>
      <c r="AI412" s="417"/>
      <c r="AJ412" s="417"/>
      <c r="AK412" s="417"/>
      <c r="AL412" s="417"/>
      <c r="AM412" s="417"/>
      <c r="AN412" s="417"/>
      <c r="AO412" s="417"/>
    </row>
    <row r="413" spans="3:41" s="171" customFormat="1" ht="15" customHeight="1">
      <c r="C413" s="1217"/>
      <c r="D413" s="172" t="str">
        <f>IF(Indice_index!$Z$1=1,"fevereiro","February")</f>
        <v>fevereiro</v>
      </c>
      <c r="E413" s="1218">
        <v>1156</v>
      </c>
      <c r="F413" s="1218">
        <v>86</v>
      </c>
      <c r="G413" s="1218">
        <v>784</v>
      </c>
      <c r="H413" s="1218">
        <v>2026</v>
      </c>
      <c r="I413" s="1218">
        <v>1433</v>
      </c>
      <c r="J413" s="1219">
        <v>1256302.7600000002</v>
      </c>
      <c r="K413" s="1219">
        <v>93955.06</v>
      </c>
      <c r="L413" s="1219">
        <v>340075.64</v>
      </c>
      <c r="M413" s="1219">
        <v>1690333.4600000004</v>
      </c>
      <c r="N413" s="1219">
        <v>1470168.61</v>
      </c>
      <c r="O413" s="1219">
        <v>1087.2</v>
      </c>
      <c r="P413" s="1219">
        <v>433.8</v>
      </c>
      <c r="R413" s="230"/>
      <c r="S413" s="230"/>
      <c r="T413" s="230"/>
      <c r="U413" s="230"/>
      <c r="V413" s="230"/>
      <c r="W413" s="230"/>
      <c r="X413" s="230"/>
      <c r="Y413" s="230"/>
      <c r="Z413" s="230"/>
      <c r="AA413" s="230"/>
      <c r="AB413" s="230"/>
      <c r="AC413" s="230"/>
      <c r="AD413" s="417"/>
      <c r="AE413" s="417"/>
      <c r="AF413" s="417"/>
      <c r="AG413" s="417"/>
      <c r="AH413" s="417"/>
      <c r="AI413" s="417"/>
      <c r="AJ413" s="417"/>
      <c r="AK413" s="417"/>
      <c r="AL413" s="417"/>
      <c r="AM413" s="417"/>
      <c r="AN413" s="417"/>
      <c r="AO413" s="417"/>
    </row>
    <row r="414" spans="3:41" ht="15" customHeight="1">
      <c r="C414" s="297"/>
      <c r="D414" s="172" t="str">
        <f>IF(Indice_index!$Z$1=1,"março","March")</f>
        <v>março</v>
      </c>
      <c r="E414" s="1218">
        <v>1124</v>
      </c>
      <c r="F414" s="1218">
        <v>296</v>
      </c>
      <c r="G414" s="1218">
        <v>885</v>
      </c>
      <c r="H414" s="1218">
        <v>2305</v>
      </c>
      <c r="I414" s="1218">
        <v>1405</v>
      </c>
      <c r="J414" s="1219">
        <v>1455949.83</v>
      </c>
      <c r="K414" s="1219">
        <v>284777.40000000002</v>
      </c>
      <c r="L414" s="1219">
        <v>458761.12</v>
      </c>
      <c r="M414" s="1219">
        <v>2199488.35</v>
      </c>
      <c r="N414" s="1219">
        <v>1464110.3</v>
      </c>
      <c r="O414" s="1219">
        <v>1225.9000000000001</v>
      </c>
      <c r="P414" s="1219">
        <v>518.4</v>
      </c>
      <c r="R414" s="230"/>
      <c r="S414" s="230"/>
      <c r="T414" s="230"/>
      <c r="U414" s="230"/>
      <c r="V414" s="230"/>
      <c r="W414" s="230"/>
      <c r="X414" s="230"/>
      <c r="Y414" s="230"/>
      <c r="Z414" s="230"/>
      <c r="AA414" s="230"/>
      <c r="AB414" s="230"/>
      <c r="AC414" s="230"/>
      <c r="AD414" s="417"/>
      <c r="AE414" s="417"/>
      <c r="AF414" s="417"/>
      <c r="AG414" s="417"/>
      <c r="AH414" s="417"/>
      <c r="AI414" s="417"/>
      <c r="AJ414" s="417"/>
      <c r="AK414" s="417"/>
      <c r="AL414" s="417"/>
      <c r="AM414" s="417"/>
      <c r="AN414" s="417"/>
      <c r="AO414" s="417"/>
    </row>
    <row r="415" spans="3:41" ht="15" customHeight="1">
      <c r="C415" s="297"/>
      <c r="D415" s="172" t="str">
        <f>IF(Indice_index!$Z$1=1,"abril","April")</f>
        <v>abril</v>
      </c>
      <c r="E415" s="1218">
        <v>1369</v>
      </c>
      <c r="F415" s="1218">
        <v>110</v>
      </c>
      <c r="G415" s="1218">
        <v>958</v>
      </c>
      <c r="H415" s="1218">
        <v>2437</v>
      </c>
      <c r="I415" s="1218">
        <v>1330</v>
      </c>
      <c r="J415" s="1219">
        <v>1733658.78</v>
      </c>
      <c r="K415" s="1219">
        <v>136607.13</v>
      </c>
      <c r="L415" s="1219">
        <v>469100.58</v>
      </c>
      <c r="M415" s="1219">
        <v>2339366.4900000002</v>
      </c>
      <c r="N415" s="1219">
        <v>1389223.38</v>
      </c>
      <c r="O415" s="1219">
        <v>1264.5</v>
      </c>
      <c r="P415" s="1219">
        <v>489.7</v>
      </c>
      <c r="R415" s="230"/>
      <c r="S415" s="230"/>
      <c r="T415" s="230"/>
      <c r="U415" s="230"/>
      <c r="V415" s="230"/>
      <c r="W415" s="230"/>
      <c r="X415" s="230"/>
      <c r="Y415" s="230"/>
      <c r="Z415" s="230"/>
      <c r="AA415" s="230"/>
      <c r="AB415" s="230"/>
      <c r="AC415" s="230"/>
      <c r="AD415" s="417"/>
      <c r="AE415" s="417"/>
      <c r="AF415" s="417"/>
      <c r="AG415" s="417"/>
      <c r="AH415" s="417"/>
      <c r="AI415" s="417"/>
      <c r="AJ415" s="417"/>
      <c r="AK415" s="417"/>
      <c r="AL415" s="417"/>
      <c r="AM415" s="417"/>
      <c r="AN415" s="417"/>
      <c r="AO415" s="417"/>
    </row>
    <row r="416" spans="3:41" ht="15" customHeight="1">
      <c r="C416" s="297"/>
      <c r="D416" s="172" t="str">
        <f>IF(Indice_index!$Z$1=1,"maio","May")</f>
        <v>maio</v>
      </c>
      <c r="E416" s="1218">
        <v>1531</v>
      </c>
      <c r="F416" s="1218">
        <v>78</v>
      </c>
      <c r="G416" s="1218">
        <v>981</v>
      </c>
      <c r="H416" s="1218">
        <v>2590</v>
      </c>
      <c r="I416" s="1218">
        <v>1371</v>
      </c>
      <c r="J416" s="1219">
        <v>1984223.61</v>
      </c>
      <c r="K416" s="1219">
        <v>92547.049999999988</v>
      </c>
      <c r="L416" s="1219">
        <v>505983.3</v>
      </c>
      <c r="M416" s="1219">
        <v>2582753.96</v>
      </c>
      <c r="N416" s="1219">
        <v>1531210.28</v>
      </c>
      <c r="O416" s="1219">
        <v>1290.7</v>
      </c>
      <c r="P416" s="1219">
        <v>515.79999999999995</v>
      </c>
      <c r="R416" s="230"/>
      <c r="S416" s="230"/>
      <c r="T416" s="230"/>
      <c r="U416" s="230"/>
      <c r="V416" s="230"/>
      <c r="W416" s="230"/>
      <c r="X416" s="230"/>
      <c r="Y416" s="230"/>
      <c r="Z416" s="230"/>
      <c r="AA416" s="230"/>
      <c r="AB416" s="230"/>
      <c r="AC416" s="230"/>
      <c r="AD416" s="417"/>
      <c r="AE416" s="417"/>
      <c r="AF416" s="417"/>
      <c r="AG416" s="417"/>
      <c r="AH416" s="417"/>
      <c r="AI416" s="417"/>
      <c r="AJ416" s="417"/>
      <c r="AK416" s="417"/>
      <c r="AL416" s="417"/>
      <c r="AM416" s="417"/>
      <c r="AN416" s="417"/>
      <c r="AO416" s="417"/>
    </row>
    <row r="417" spans="3:41" ht="15" customHeight="1">
      <c r="C417" s="297"/>
      <c r="D417" s="172" t="str">
        <f>IF(Indice_index!$Z$1=1,"junho","June")</f>
        <v>junho</v>
      </c>
      <c r="E417" s="1218">
        <v>1499</v>
      </c>
      <c r="F417" s="1218">
        <v>89</v>
      </c>
      <c r="G417" s="1218">
        <v>865</v>
      </c>
      <c r="H417" s="1218">
        <v>2453</v>
      </c>
      <c r="I417" s="1218">
        <v>1349</v>
      </c>
      <c r="J417" s="1219">
        <v>1855493.75</v>
      </c>
      <c r="K417" s="1219">
        <v>106652.79</v>
      </c>
      <c r="L417" s="1219">
        <v>464286.68</v>
      </c>
      <c r="M417" s="1219">
        <v>2426433.2200000002</v>
      </c>
      <c r="N417" s="1219">
        <v>1540020.1</v>
      </c>
      <c r="O417" s="1219">
        <v>1235.5999999999999</v>
      </c>
      <c r="P417" s="1219">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julho</v>
      </c>
      <c r="E418" s="1218">
        <v>1452</v>
      </c>
      <c r="F418" s="1218">
        <v>58</v>
      </c>
      <c r="G418" s="1218">
        <v>929</v>
      </c>
      <c r="H418" s="1218">
        <v>2439</v>
      </c>
      <c r="I418" s="1218">
        <v>1105</v>
      </c>
      <c r="J418" s="1219">
        <v>1944599.44</v>
      </c>
      <c r="K418" s="1219">
        <v>67974.77</v>
      </c>
      <c r="L418" s="1219">
        <v>541800.02</v>
      </c>
      <c r="M418" s="1219">
        <v>2554374.23</v>
      </c>
      <c r="N418" s="1219">
        <v>1241641.8799999999</v>
      </c>
      <c r="O418" s="1219">
        <v>1332.8</v>
      </c>
      <c r="P418" s="1219">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agosto</v>
      </c>
      <c r="E419" s="1218">
        <v>1470</v>
      </c>
      <c r="F419" s="1218">
        <v>36</v>
      </c>
      <c r="G419" s="1218">
        <v>1000</v>
      </c>
      <c r="H419" s="1218">
        <v>2506</v>
      </c>
      <c r="I419" s="1218">
        <v>1168</v>
      </c>
      <c r="J419" s="1219">
        <v>1875739.22</v>
      </c>
      <c r="K419" s="1219">
        <v>36978.129999999997</v>
      </c>
      <c r="L419" s="1219">
        <v>554835.69000000006</v>
      </c>
      <c r="M419" s="1219">
        <v>2467553.04</v>
      </c>
      <c r="N419" s="1219">
        <v>1282507.42</v>
      </c>
      <c r="O419" s="1219">
        <v>1270.0999999999999</v>
      </c>
      <c r="P419" s="1219">
        <v>554.79999999999995</v>
      </c>
      <c r="X419" s="229"/>
      <c r="Y419" s="229"/>
      <c r="Z419" s="229"/>
      <c r="AA419" s="229"/>
    </row>
    <row r="420" spans="3:41" ht="15" customHeight="1">
      <c r="C420" s="297"/>
      <c r="D420" s="172" t="str">
        <f>IF(Indice_index!$Z$1=1,"setembro","September")</f>
        <v>setembro</v>
      </c>
      <c r="E420" s="1218">
        <v>1318</v>
      </c>
      <c r="F420" s="1218">
        <v>29</v>
      </c>
      <c r="G420" s="1218">
        <v>773</v>
      </c>
      <c r="H420" s="1218">
        <v>2120</v>
      </c>
      <c r="I420" s="1218">
        <v>1265</v>
      </c>
      <c r="J420" s="1219">
        <v>2047092.5899999999</v>
      </c>
      <c r="K420" s="1219">
        <v>39101.64</v>
      </c>
      <c r="L420" s="1219">
        <v>431175.01</v>
      </c>
      <c r="M420" s="1219">
        <v>2517369.2399999998</v>
      </c>
      <c r="N420" s="1219">
        <v>1390071.15</v>
      </c>
      <c r="O420" s="1219">
        <v>1548.8</v>
      </c>
      <c r="P420" s="1219">
        <v>557.79999999999995</v>
      </c>
      <c r="X420" s="229"/>
      <c r="Y420" s="229"/>
      <c r="Z420" s="229"/>
      <c r="AA420" s="229"/>
    </row>
    <row r="421" spans="3:41" ht="15" customHeight="1">
      <c r="C421" s="297"/>
      <c r="D421" s="172" t="str">
        <f>IF(Indice_index!$Z$1=1,"outubro","October")</f>
        <v>outubro</v>
      </c>
      <c r="E421" s="1224">
        <v>1206</v>
      </c>
      <c r="F421" s="1224">
        <v>27</v>
      </c>
      <c r="G421" s="1224">
        <v>773</v>
      </c>
      <c r="H421" s="1224">
        <v>2006</v>
      </c>
      <c r="I421" s="1224">
        <v>1151</v>
      </c>
      <c r="J421" s="1225">
        <v>1774555.76</v>
      </c>
      <c r="K421" s="1225">
        <v>41696.28</v>
      </c>
      <c r="L421" s="1225">
        <v>424627.48</v>
      </c>
      <c r="M421" s="1225">
        <v>2240879.52</v>
      </c>
      <c r="N421" s="1225">
        <v>1317894.17</v>
      </c>
      <c r="O421" s="1225">
        <v>1473</v>
      </c>
      <c r="P421" s="1225">
        <v>549.29999999999995</v>
      </c>
      <c r="X421" s="229"/>
      <c r="Y421" s="229"/>
      <c r="Z421" s="229"/>
      <c r="AA421" s="229"/>
    </row>
    <row r="422" spans="3:41" s="171" customFormat="1" ht="15" customHeight="1">
      <c r="C422" s="1217"/>
      <c r="D422" s="172" t="str">
        <f>IF(Indice_index!$Z$1=1,"novembro","November")</f>
        <v>novembro</v>
      </c>
      <c r="E422" s="1226">
        <v>1111</v>
      </c>
      <c r="F422" s="1226">
        <v>86</v>
      </c>
      <c r="G422" s="1226">
        <v>871</v>
      </c>
      <c r="H422" s="1226">
        <v>2068</v>
      </c>
      <c r="I422" s="1226">
        <v>1162</v>
      </c>
      <c r="J422" s="1227">
        <v>1770166.95</v>
      </c>
      <c r="K422" s="1227">
        <v>101722.77</v>
      </c>
      <c r="L422" s="1227">
        <v>447410.54</v>
      </c>
      <c r="M422" s="1227">
        <v>2319300.2599999998</v>
      </c>
      <c r="N422" s="1227">
        <v>1306216.53</v>
      </c>
      <c r="O422" s="1227">
        <v>1563.8</v>
      </c>
      <c r="P422" s="1227">
        <v>513.70000000000005</v>
      </c>
      <c r="R422" s="229"/>
      <c r="S422" s="229"/>
      <c r="T422" s="229"/>
      <c r="U422" s="229"/>
      <c r="V422" s="229"/>
      <c r="W422" s="229"/>
      <c r="X422" s="229"/>
      <c r="Y422" s="229"/>
      <c r="Z422" s="229"/>
      <c r="AA422" s="229"/>
      <c r="AB422" s="229"/>
      <c r="AC422" s="229"/>
    </row>
    <row r="423" spans="3:41" ht="15" customHeight="1">
      <c r="C423" s="1146"/>
      <c r="D423" s="172" t="str">
        <f>IF(Indice_index!$Z$1=1,"dezembro","December")</f>
        <v>dezembro</v>
      </c>
      <c r="E423" s="1228">
        <v>1057</v>
      </c>
      <c r="F423" s="1228">
        <v>106</v>
      </c>
      <c r="G423" s="1228">
        <v>889</v>
      </c>
      <c r="H423" s="1228">
        <v>2052</v>
      </c>
      <c r="I423" s="1228">
        <v>1288</v>
      </c>
      <c r="J423" s="1229">
        <v>1823991.91</v>
      </c>
      <c r="K423" s="1229">
        <v>121644.84</v>
      </c>
      <c r="L423" s="1229">
        <v>467474.39</v>
      </c>
      <c r="M423" s="1229">
        <v>2413111.14</v>
      </c>
      <c r="N423" s="1229">
        <v>1486433.23</v>
      </c>
      <c r="O423" s="1229">
        <v>1672.9</v>
      </c>
      <c r="P423" s="1229">
        <v>525.79999999999995</v>
      </c>
    </row>
    <row r="424" spans="3:41" ht="15" customHeight="1">
      <c r="C424" s="1230" t="s">
        <v>67</v>
      </c>
      <c r="D424" s="171"/>
      <c r="E424" s="1213"/>
      <c r="F424" s="1213"/>
      <c r="G424" s="1213"/>
      <c r="H424" s="1213"/>
      <c r="I424" s="1213"/>
      <c r="J424" s="1214"/>
      <c r="K424" s="1214"/>
      <c r="L424" s="1214"/>
      <c r="M424" s="1214"/>
      <c r="N424" s="1214"/>
      <c r="O424" s="1214"/>
      <c r="P424" s="1214"/>
      <c r="R424" s="230"/>
      <c r="S424" s="230"/>
      <c r="T424" s="230"/>
      <c r="U424" s="230"/>
      <c r="V424" s="230"/>
      <c r="W424" s="230"/>
      <c r="X424" s="230"/>
      <c r="Y424" s="230"/>
      <c r="Z424" s="230"/>
      <c r="AA424" s="230"/>
      <c r="AB424" s="230"/>
      <c r="AC424" s="230"/>
    </row>
    <row r="425" spans="3:41" s="171" customFormat="1" ht="15" customHeight="1">
      <c r="C425" s="1217"/>
      <c r="D425" s="172" t="str">
        <f>IF(Indice_index!$Z$1=1,"janeiro","January")</f>
        <v>janeiro</v>
      </c>
      <c r="E425" s="1218">
        <v>1024</v>
      </c>
      <c r="F425" s="1218">
        <v>87</v>
      </c>
      <c r="G425" s="1218">
        <v>678</v>
      </c>
      <c r="H425" s="1218">
        <v>1789</v>
      </c>
      <c r="I425" s="1218">
        <v>1319</v>
      </c>
      <c r="J425" s="1219">
        <v>1639431.98</v>
      </c>
      <c r="K425" s="1219">
        <v>104309.67</v>
      </c>
      <c r="L425" s="1219">
        <v>372691.26</v>
      </c>
      <c r="M425" s="1219">
        <v>2116432.91</v>
      </c>
      <c r="N425" s="1219">
        <v>1451929.72</v>
      </c>
      <c r="O425" s="1219">
        <v>1569.5</v>
      </c>
      <c r="P425" s="1219">
        <v>549.70000000000005</v>
      </c>
      <c r="R425" s="230"/>
      <c r="S425" s="230"/>
      <c r="T425" s="230"/>
      <c r="U425" s="230"/>
      <c r="V425" s="230"/>
      <c r="W425" s="230"/>
      <c r="X425" s="230"/>
      <c r="Y425" s="230"/>
      <c r="Z425" s="230"/>
      <c r="AA425" s="230"/>
      <c r="AB425" s="230"/>
      <c r="AC425" s="230"/>
      <c r="AD425" s="417"/>
      <c r="AE425" s="417"/>
      <c r="AF425" s="417"/>
      <c r="AG425" s="417"/>
      <c r="AH425" s="417"/>
      <c r="AI425" s="417"/>
      <c r="AJ425" s="417"/>
      <c r="AK425" s="417"/>
      <c r="AL425" s="417"/>
      <c r="AM425" s="417"/>
      <c r="AN425" s="417"/>
      <c r="AO425" s="417"/>
    </row>
    <row r="426" spans="3:41" s="171" customFormat="1" ht="15" customHeight="1">
      <c r="C426" s="1217"/>
      <c r="D426" s="172" t="str">
        <f>IF(Indice_index!$Z$1=1,"fevereiro","February")</f>
        <v>fevereiro</v>
      </c>
      <c r="E426" s="1218">
        <v>883</v>
      </c>
      <c r="F426" s="1218">
        <v>101</v>
      </c>
      <c r="G426" s="1218">
        <v>836</v>
      </c>
      <c r="H426" s="1218">
        <v>1820</v>
      </c>
      <c r="I426" s="1218">
        <v>1678</v>
      </c>
      <c r="J426" s="1219">
        <v>1306138.5900000001</v>
      </c>
      <c r="K426" s="1219">
        <v>100339.62</v>
      </c>
      <c r="L426" s="1219">
        <v>458772.69</v>
      </c>
      <c r="M426" s="1219">
        <v>1865250.9</v>
      </c>
      <c r="N426" s="1219">
        <v>1928449.74</v>
      </c>
      <c r="O426" s="1219">
        <v>1429.3</v>
      </c>
      <c r="P426" s="1219">
        <v>548.79999999999995</v>
      </c>
      <c r="R426" s="230"/>
      <c r="S426" s="230"/>
      <c r="T426" s="230"/>
      <c r="U426" s="230"/>
      <c r="V426" s="230"/>
      <c r="W426" s="230"/>
      <c r="X426" s="230"/>
      <c r="Y426" s="230"/>
      <c r="Z426" s="230"/>
      <c r="AA426" s="230"/>
      <c r="AB426" s="230"/>
      <c r="AC426" s="230"/>
      <c r="AD426" s="417"/>
      <c r="AE426" s="417"/>
      <c r="AF426" s="417"/>
      <c r="AG426" s="417"/>
      <c r="AH426" s="417"/>
      <c r="AI426" s="417"/>
      <c r="AJ426" s="417"/>
      <c r="AK426" s="417"/>
      <c r="AL426" s="417"/>
      <c r="AM426" s="417"/>
      <c r="AN426" s="417"/>
      <c r="AO426" s="417"/>
    </row>
    <row r="427" spans="3:41" ht="15" customHeight="1">
      <c r="C427" s="297"/>
      <c r="D427" s="172" t="str">
        <f>IF(Indice_index!$Z$1=1,"março","March")</f>
        <v>março</v>
      </c>
      <c r="E427" s="1231">
        <v>1036</v>
      </c>
      <c r="F427" s="1231">
        <v>222</v>
      </c>
      <c r="G427" s="1231">
        <v>1078</v>
      </c>
      <c r="H427" s="1231">
        <v>2336</v>
      </c>
      <c r="I427" s="1231">
        <v>2405</v>
      </c>
      <c r="J427" s="1232">
        <v>1613764.1900000002</v>
      </c>
      <c r="K427" s="1232">
        <v>133205.26999999999</v>
      </c>
      <c r="L427" s="1232">
        <v>613383.06000000006</v>
      </c>
      <c r="M427" s="1232">
        <v>2360352.5200000005</v>
      </c>
      <c r="N427" s="1232">
        <v>2673440.56</v>
      </c>
      <c r="O427" s="1232">
        <v>1388.7</v>
      </c>
      <c r="P427" s="1232">
        <v>569</v>
      </c>
      <c r="R427" s="230"/>
      <c r="S427" s="230"/>
      <c r="T427" s="230"/>
      <c r="U427" s="230"/>
      <c r="V427" s="230"/>
      <c r="W427" s="230"/>
      <c r="X427" s="230"/>
      <c r="Y427" s="230"/>
      <c r="Z427" s="230"/>
      <c r="AA427" s="230"/>
      <c r="AB427" s="230"/>
      <c r="AC427" s="230"/>
      <c r="AD427" s="417"/>
      <c r="AE427" s="417"/>
      <c r="AF427" s="417"/>
      <c r="AG427" s="417"/>
      <c r="AH427" s="417"/>
      <c r="AI427" s="417"/>
      <c r="AJ427" s="417"/>
      <c r="AK427" s="417"/>
      <c r="AL427" s="417"/>
      <c r="AM427" s="417"/>
      <c r="AN427" s="417"/>
      <c r="AO427" s="417"/>
    </row>
    <row r="428" spans="3:41" ht="15" customHeight="1">
      <c r="C428" s="297"/>
      <c r="D428" s="172" t="str">
        <f>IF(Indice_index!$Z$1=1,"abril","April")</f>
        <v>abril</v>
      </c>
      <c r="E428" s="1218">
        <v>1283</v>
      </c>
      <c r="F428" s="1218">
        <v>72</v>
      </c>
      <c r="G428" s="1218">
        <v>1236</v>
      </c>
      <c r="H428" s="1218">
        <v>2591</v>
      </c>
      <c r="I428" s="1218">
        <v>1968</v>
      </c>
      <c r="J428" s="1219">
        <v>1804177.68</v>
      </c>
      <c r="K428" s="1219">
        <v>70996.08</v>
      </c>
      <c r="L428" s="1219">
        <v>710753.37</v>
      </c>
      <c r="M428" s="1219">
        <v>2585927.13</v>
      </c>
      <c r="N428" s="1219">
        <v>2223482.38</v>
      </c>
      <c r="O428" s="1219">
        <v>1383.9</v>
      </c>
      <c r="P428" s="1219">
        <v>575</v>
      </c>
      <c r="R428" s="230"/>
      <c r="S428" s="230"/>
      <c r="T428" s="230"/>
      <c r="U428" s="230"/>
      <c r="V428" s="230"/>
      <c r="W428" s="230"/>
      <c r="X428" s="230"/>
      <c r="Y428" s="230"/>
      <c r="Z428" s="230"/>
      <c r="AA428" s="230"/>
      <c r="AB428" s="230"/>
      <c r="AC428" s="230"/>
      <c r="AD428" s="417"/>
      <c r="AE428" s="417"/>
      <c r="AF428" s="417"/>
      <c r="AG428" s="417"/>
      <c r="AH428" s="417"/>
      <c r="AI428" s="417"/>
      <c r="AJ428" s="417"/>
      <c r="AK428" s="417"/>
      <c r="AL428" s="417"/>
      <c r="AM428" s="417"/>
      <c r="AN428" s="417"/>
      <c r="AO428" s="417"/>
    </row>
    <row r="429" spans="3:41" ht="15" customHeight="1">
      <c r="C429" s="297"/>
      <c r="D429" s="172" t="str">
        <f>IF(Indice_index!$Z$1=1,"maio","May")</f>
        <v>maio</v>
      </c>
      <c r="E429" s="1233">
        <v>1308</v>
      </c>
      <c r="F429" s="1233">
        <v>110</v>
      </c>
      <c r="G429" s="1233">
        <v>1023</v>
      </c>
      <c r="H429" s="1233">
        <v>2441</v>
      </c>
      <c r="I429" s="1233">
        <v>1258</v>
      </c>
      <c r="J429" s="1234">
        <v>1815930.3900000001</v>
      </c>
      <c r="K429" s="1234">
        <v>133305.41</v>
      </c>
      <c r="L429" s="1234">
        <v>555171.43000000005</v>
      </c>
      <c r="M429" s="1234">
        <v>2504407.23</v>
      </c>
      <c r="N429" s="1234">
        <v>1405971.93</v>
      </c>
      <c r="O429" s="1234">
        <v>1374.6</v>
      </c>
      <c r="P429" s="1234">
        <v>542.70000000000005</v>
      </c>
      <c r="R429" s="230"/>
      <c r="S429" s="230"/>
      <c r="T429" s="230"/>
      <c r="U429" s="230"/>
      <c r="V429" s="230"/>
      <c r="W429" s="230"/>
      <c r="X429" s="230"/>
      <c r="Y429" s="230"/>
      <c r="Z429" s="230"/>
      <c r="AA429" s="230"/>
      <c r="AB429" s="230"/>
      <c r="AC429" s="230"/>
      <c r="AD429" s="417"/>
      <c r="AE429" s="417"/>
      <c r="AF429" s="417"/>
      <c r="AG429" s="417"/>
      <c r="AH429" s="417"/>
      <c r="AI429" s="417"/>
      <c r="AJ429" s="417"/>
      <c r="AK429" s="417"/>
      <c r="AL429" s="417"/>
      <c r="AM429" s="417"/>
      <c r="AN429" s="417"/>
      <c r="AO429" s="417"/>
    </row>
    <row r="430" spans="3:41" ht="15" customHeight="1">
      <c r="C430" s="297"/>
      <c r="D430" s="172" t="str">
        <f>IF(Indice_index!$Z$1=1,"junho","June")</f>
        <v>junho</v>
      </c>
      <c r="E430" s="1235">
        <v>1295</v>
      </c>
      <c r="F430" s="1235">
        <v>111</v>
      </c>
      <c r="G430" s="1235">
        <v>934</v>
      </c>
      <c r="H430" s="1235">
        <v>2340</v>
      </c>
      <c r="I430" s="1235">
        <v>1117</v>
      </c>
      <c r="J430" s="1236">
        <v>1705979.83</v>
      </c>
      <c r="K430" s="1236">
        <v>133788.29999999999</v>
      </c>
      <c r="L430" s="1236">
        <v>509751.18</v>
      </c>
      <c r="M430" s="1236">
        <v>2349519.31</v>
      </c>
      <c r="N430" s="1236">
        <v>1237118.06</v>
      </c>
      <c r="O430" s="1236">
        <v>1308.5</v>
      </c>
      <c r="P430" s="1236">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julho</v>
      </c>
      <c r="E431" s="1237">
        <v>1548</v>
      </c>
      <c r="F431" s="1237">
        <v>107</v>
      </c>
      <c r="G431" s="1237">
        <v>769</v>
      </c>
      <c r="H431" s="1237">
        <v>2424</v>
      </c>
      <c r="I431" s="1237">
        <v>1105</v>
      </c>
      <c r="J431" s="1238">
        <v>2041996.1</v>
      </c>
      <c r="K431" s="1238">
        <v>127232.38</v>
      </c>
      <c r="L431" s="1238">
        <v>390379.21</v>
      </c>
      <c r="M431" s="1238">
        <v>2559607.69</v>
      </c>
      <c r="N431" s="1238">
        <v>1305963.02</v>
      </c>
      <c r="O431" s="1238">
        <v>1310.7</v>
      </c>
      <c r="P431" s="1238">
        <v>507.6</v>
      </c>
      <c r="R431" s="230"/>
      <c r="S431" s="230"/>
      <c r="T431" s="230"/>
      <c r="U431" s="230"/>
      <c r="V431" s="230"/>
      <c r="W431" s="230"/>
      <c r="X431" s="230"/>
      <c r="Y431" s="230"/>
      <c r="Z431" s="230"/>
      <c r="AA431" s="230"/>
      <c r="AB431" s="230"/>
      <c r="AC431" s="230"/>
    </row>
    <row r="432" spans="3:41" ht="15" customHeight="1">
      <c r="C432" s="297"/>
      <c r="D432" s="172" t="str">
        <f>IF(Indice_index!$Z$1=1,"agosto","August")</f>
        <v>agosto</v>
      </c>
      <c r="E432" s="1239">
        <v>1486</v>
      </c>
      <c r="F432" s="1239">
        <v>126</v>
      </c>
      <c r="G432" s="1239">
        <v>863</v>
      </c>
      <c r="H432" s="1239">
        <v>2475</v>
      </c>
      <c r="I432" s="1239">
        <v>1058</v>
      </c>
      <c r="J432" s="1240">
        <v>1897364.2</v>
      </c>
      <c r="K432" s="1240">
        <v>142210.25</v>
      </c>
      <c r="L432" s="1240">
        <v>468601</v>
      </c>
      <c r="M432" s="1240">
        <v>2508175.4500000002</v>
      </c>
      <c r="N432" s="1240">
        <v>1161705</v>
      </c>
      <c r="O432" s="1241">
        <v>1265.2</v>
      </c>
      <c r="P432" s="1241">
        <v>543</v>
      </c>
      <c r="X432" s="229"/>
      <c r="Y432" s="229"/>
      <c r="Z432" s="229"/>
      <c r="AA432" s="229"/>
    </row>
    <row r="433" spans="3:41" ht="15" customHeight="1">
      <c r="C433" s="297"/>
      <c r="D433" s="172" t="str">
        <f>IF(Indice_index!$Z$1=1,"setembro","September")</f>
        <v>setembro</v>
      </c>
      <c r="E433" s="1242">
        <v>1195</v>
      </c>
      <c r="F433" s="1242">
        <v>88</v>
      </c>
      <c r="G433" s="1242">
        <v>728</v>
      </c>
      <c r="H433" s="1242">
        <v>2011</v>
      </c>
      <c r="I433" s="1242">
        <v>1125</v>
      </c>
      <c r="J433" s="1243">
        <v>1784873.2</v>
      </c>
      <c r="K433" s="1243">
        <v>94208.49</v>
      </c>
      <c r="L433" s="1243">
        <v>389174.55</v>
      </c>
      <c r="M433" s="1243">
        <v>2268256.2399999998</v>
      </c>
      <c r="N433" s="1243">
        <v>1343124.69</v>
      </c>
      <c r="O433" s="1244">
        <v>1464.6</v>
      </c>
      <c r="P433" s="1244">
        <v>534.6</v>
      </c>
      <c r="X433" s="229"/>
      <c r="Y433" s="229"/>
      <c r="Z433" s="229"/>
      <c r="AA433" s="229"/>
    </row>
    <row r="434" spans="3:41" ht="15" customHeight="1">
      <c r="C434" s="297"/>
      <c r="D434" s="172" t="str">
        <f>IF(Indice_index!$Z$1=1,"outubro","October")</f>
        <v>outubro</v>
      </c>
      <c r="E434" s="1224">
        <v>1266</v>
      </c>
      <c r="F434" s="1224">
        <v>100</v>
      </c>
      <c r="G434" s="1224">
        <v>617</v>
      </c>
      <c r="H434" s="1224">
        <v>1983</v>
      </c>
      <c r="I434" s="1224">
        <v>1209</v>
      </c>
      <c r="J434" s="1225">
        <v>1666727.6800000002</v>
      </c>
      <c r="K434" s="1225">
        <v>122592.57999999999</v>
      </c>
      <c r="L434" s="1225">
        <v>317206.96000000002</v>
      </c>
      <c r="M434" s="1225">
        <v>2106527.2200000002</v>
      </c>
      <c r="N434" s="1225">
        <v>1330476.01</v>
      </c>
      <c r="O434" s="1225">
        <v>1309.9000000000001</v>
      </c>
      <c r="P434" s="1225">
        <v>514.1</v>
      </c>
      <c r="X434" s="229"/>
      <c r="Y434" s="229"/>
      <c r="Z434" s="229"/>
      <c r="AA434" s="229"/>
    </row>
    <row r="435" spans="3:41" s="171" customFormat="1" ht="15" customHeight="1">
      <c r="C435" s="1217"/>
      <c r="D435" s="172" t="str">
        <f>IF(Indice_index!$Z$1=1,"novembro","November")</f>
        <v>novembro</v>
      </c>
      <c r="E435" s="1226">
        <v>1183</v>
      </c>
      <c r="F435" s="1226">
        <v>103</v>
      </c>
      <c r="G435" s="1226">
        <v>799</v>
      </c>
      <c r="H435" s="1226">
        <v>2085</v>
      </c>
      <c r="I435" s="1226">
        <v>1166</v>
      </c>
      <c r="J435" s="1227">
        <v>1598623.57</v>
      </c>
      <c r="K435" s="1227">
        <v>130135.86000000002</v>
      </c>
      <c r="L435" s="1227">
        <v>460655.36000000004</v>
      </c>
      <c r="M435" s="1227">
        <v>2189414.79</v>
      </c>
      <c r="N435" s="1227">
        <v>1319273.3500000001</v>
      </c>
      <c r="O435" s="1227">
        <v>1344.3</v>
      </c>
      <c r="P435" s="1227">
        <v>576.5</v>
      </c>
      <c r="R435" s="229"/>
      <c r="S435" s="229"/>
      <c r="T435" s="229"/>
      <c r="U435" s="229"/>
      <c r="V435" s="229"/>
      <c r="W435" s="229"/>
      <c r="X435" s="229"/>
      <c r="Y435" s="229"/>
      <c r="Z435" s="229"/>
      <c r="AA435" s="229"/>
      <c r="AB435" s="229"/>
      <c r="AC435" s="229"/>
    </row>
    <row r="436" spans="3:41" ht="15" customHeight="1">
      <c r="C436" s="1146"/>
      <c r="D436" s="172" t="str">
        <f>IF(Indice_index!$Z$1=1,"dezembro","December")</f>
        <v>dezembro</v>
      </c>
      <c r="E436" s="1245">
        <v>1258</v>
      </c>
      <c r="F436" s="1245">
        <v>86</v>
      </c>
      <c r="G436" s="1245">
        <v>799</v>
      </c>
      <c r="H436" s="1245">
        <v>2143</v>
      </c>
      <c r="I436" s="1245">
        <v>1157</v>
      </c>
      <c r="J436" s="1246">
        <v>1695800.9499999997</v>
      </c>
      <c r="K436" s="1246">
        <v>99472.79</v>
      </c>
      <c r="L436" s="1246">
        <v>423524.91</v>
      </c>
      <c r="M436" s="1246">
        <v>2218798.65</v>
      </c>
      <c r="N436" s="1246">
        <v>1390334.04</v>
      </c>
      <c r="O436" s="1247">
        <v>1335.8</v>
      </c>
      <c r="P436" s="1247">
        <v>530.1</v>
      </c>
    </row>
    <row r="437" spans="3:41" ht="15" customHeight="1">
      <c r="C437" s="1230" t="s">
        <v>74</v>
      </c>
      <c r="D437" s="171"/>
      <c r="E437" s="1213"/>
      <c r="F437" s="1213"/>
      <c r="G437" s="1213"/>
      <c r="H437" s="1213"/>
      <c r="I437" s="1213"/>
      <c r="J437" s="1214"/>
      <c r="K437" s="1214"/>
      <c r="L437" s="1214"/>
      <c r="M437" s="1214"/>
      <c r="N437" s="1214"/>
      <c r="O437" s="1214"/>
      <c r="P437" s="1214"/>
      <c r="R437" s="230"/>
      <c r="S437" s="230"/>
      <c r="T437" s="230"/>
      <c r="U437" s="230"/>
      <c r="V437" s="230"/>
      <c r="W437" s="230"/>
      <c r="X437" s="230"/>
      <c r="Y437" s="230"/>
      <c r="Z437" s="230"/>
      <c r="AA437" s="230"/>
      <c r="AB437" s="230"/>
      <c r="AC437" s="230"/>
    </row>
    <row r="438" spans="3:41" s="171" customFormat="1" ht="15" customHeight="1">
      <c r="C438" s="1217"/>
      <c r="D438" s="172" t="str">
        <f>IF(Indice_index!$Z$1=1,"janeiro","January")</f>
        <v>janeiro</v>
      </c>
      <c r="E438" s="1248">
        <v>1437</v>
      </c>
      <c r="F438" s="1248">
        <v>96</v>
      </c>
      <c r="G438" s="1248">
        <v>623</v>
      </c>
      <c r="H438" s="1248">
        <v>2156</v>
      </c>
      <c r="I438" s="1248">
        <v>1325</v>
      </c>
      <c r="J438" s="1249">
        <v>2005121.44</v>
      </c>
      <c r="K438" s="1249">
        <v>106031.63</v>
      </c>
      <c r="L438" s="1249">
        <v>320876.56999999989</v>
      </c>
      <c r="M438" s="1249">
        <v>2432029.6399999997</v>
      </c>
      <c r="N438" s="1249">
        <v>1521835.02</v>
      </c>
      <c r="O438" s="1250">
        <v>1377.1</v>
      </c>
      <c r="P438" s="1250">
        <v>515.1</v>
      </c>
      <c r="R438" s="230"/>
      <c r="S438" s="230"/>
      <c r="T438" s="230"/>
      <c r="U438" s="230"/>
      <c r="V438" s="230"/>
      <c r="W438" s="230"/>
      <c r="X438" s="230"/>
      <c r="Y438" s="230"/>
      <c r="Z438" s="230"/>
      <c r="AA438" s="230"/>
      <c r="AB438" s="230"/>
      <c r="AC438" s="230"/>
      <c r="AD438" s="417"/>
      <c r="AE438" s="417"/>
      <c r="AF438" s="417"/>
      <c r="AG438" s="417"/>
      <c r="AH438" s="417"/>
      <c r="AI438" s="417"/>
      <c r="AJ438" s="417"/>
      <c r="AK438" s="417"/>
      <c r="AL438" s="417"/>
      <c r="AM438" s="417"/>
      <c r="AN438" s="417"/>
      <c r="AO438" s="417"/>
    </row>
    <row r="439" spans="3:41" s="171" customFormat="1" ht="15" customHeight="1">
      <c r="C439" s="1217"/>
      <c r="D439" s="172" t="str">
        <f>IF(Indice_index!$Z$1=1,"fevereiro","February")</f>
        <v>fevereiro</v>
      </c>
      <c r="E439" s="1251">
        <v>1337</v>
      </c>
      <c r="F439" s="1251">
        <v>52</v>
      </c>
      <c r="G439" s="1251">
        <v>696</v>
      </c>
      <c r="H439" s="1251">
        <v>2085</v>
      </c>
      <c r="I439" s="1251">
        <v>1497</v>
      </c>
      <c r="J439" s="1252">
        <v>1901082.0899999999</v>
      </c>
      <c r="K439" s="1252">
        <v>66170.700000000012</v>
      </c>
      <c r="L439" s="1252">
        <v>405249.56</v>
      </c>
      <c r="M439" s="1252">
        <v>2372502.3499999996</v>
      </c>
      <c r="N439" s="1252">
        <v>1719682.26</v>
      </c>
      <c r="O439" s="1253">
        <v>1416.3</v>
      </c>
      <c r="P439" s="1254">
        <v>582.29999999999995</v>
      </c>
      <c r="R439" s="230"/>
      <c r="S439" s="230"/>
      <c r="T439" s="230"/>
      <c r="U439" s="230"/>
      <c r="V439" s="230"/>
      <c r="W439" s="230"/>
      <c r="X439" s="230"/>
      <c r="Y439" s="230"/>
      <c r="Z439" s="230"/>
      <c r="AA439" s="230"/>
      <c r="AB439" s="230"/>
      <c r="AC439" s="230"/>
      <c r="AD439" s="417"/>
      <c r="AE439" s="417"/>
      <c r="AF439" s="417"/>
      <c r="AG439" s="417"/>
      <c r="AH439" s="417"/>
      <c r="AI439" s="417"/>
      <c r="AJ439" s="417"/>
      <c r="AK439" s="417"/>
      <c r="AL439" s="417"/>
      <c r="AM439" s="417"/>
      <c r="AN439" s="417"/>
      <c r="AO439" s="417"/>
    </row>
    <row r="440" spans="3:41" ht="15" customHeight="1">
      <c r="C440" s="297"/>
      <c r="D440" s="172" t="str">
        <f>IF(Indice_index!$Z$1=1,"março","March")</f>
        <v>março</v>
      </c>
      <c r="E440" s="1255">
        <v>1127</v>
      </c>
      <c r="F440" s="1255">
        <v>81</v>
      </c>
      <c r="G440" s="1255">
        <v>752</v>
      </c>
      <c r="H440" s="1255">
        <v>1960</v>
      </c>
      <c r="I440" s="1255">
        <v>1408</v>
      </c>
      <c r="J440" s="1256">
        <v>1752452.3</v>
      </c>
      <c r="K440" s="1256">
        <v>92017.790000000008</v>
      </c>
      <c r="L440" s="1256">
        <v>360523.12999999995</v>
      </c>
      <c r="M440" s="1256">
        <v>2204993.2200000002</v>
      </c>
      <c r="N440" s="1256">
        <v>1619825.08</v>
      </c>
      <c r="O440" s="1257">
        <v>1526.9</v>
      </c>
      <c r="P440" s="1258">
        <v>479.4</v>
      </c>
      <c r="R440" s="230"/>
      <c r="S440" s="230"/>
      <c r="T440" s="230"/>
      <c r="U440" s="230"/>
      <c r="V440" s="230"/>
      <c r="W440" s="230"/>
      <c r="X440" s="230"/>
      <c r="Y440" s="230"/>
      <c r="Z440" s="230"/>
      <c r="AA440" s="230"/>
      <c r="AB440" s="230"/>
      <c r="AC440" s="230"/>
      <c r="AD440" s="417"/>
      <c r="AE440" s="417"/>
      <c r="AF440" s="417"/>
      <c r="AG440" s="417"/>
      <c r="AH440" s="417"/>
      <c r="AI440" s="417"/>
      <c r="AJ440" s="417"/>
      <c r="AK440" s="417"/>
      <c r="AL440" s="417"/>
      <c r="AM440" s="417"/>
      <c r="AN440" s="417"/>
      <c r="AO440" s="417"/>
    </row>
    <row r="441" spans="3:41" ht="15" customHeight="1">
      <c r="C441" s="297"/>
      <c r="D441" s="172" t="str">
        <f>IF(Indice_index!$Z$1=1,"abril","April")</f>
        <v>abril</v>
      </c>
      <c r="E441" s="1218">
        <v>1334</v>
      </c>
      <c r="F441" s="1218">
        <v>67</v>
      </c>
      <c r="G441" s="1218">
        <v>932</v>
      </c>
      <c r="H441" s="1218">
        <v>2333</v>
      </c>
      <c r="I441" s="1218">
        <v>1429</v>
      </c>
      <c r="J441" s="1219">
        <v>1988858.03</v>
      </c>
      <c r="K441" s="1219">
        <v>70479.95</v>
      </c>
      <c r="L441" s="1219">
        <v>490821.11999999988</v>
      </c>
      <c r="M441" s="1219">
        <v>2550159.0999999996</v>
      </c>
      <c r="N441" s="1219">
        <v>1619993.07</v>
      </c>
      <c r="O441" s="1219">
        <v>1469.9</v>
      </c>
      <c r="P441" s="1219">
        <v>526.6</v>
      </c>
      <c r="R441" s="230"/>
      <c r="S441" s="230"/>
      <c r="T441" s="230"/>
      <c r="U441" s="230"/>
      <c r="V441" s="230"/>
      <c r="W441" s="230"/>
      <c r="X441" s="230"/>
      <c r="Y441" s="230"/>
      <c r="Z441" s="230"/>
      <c r="AA441" s="230"/>
      <c r="AB441" s="230"/>
      <c r="AC441" s="230"/>
      <c r="AD441" s="417"/>
      <c r="AE441" s="417"/>
      <c r="AF441" s="417"/>
      <c r="AG441" s="417"/>
      <c r="AH441" s="417"/>
      <c r="AI441" s="417"/>
      <c r="AJ441" s="417"/>
      <c r="AK441" s="417"/>
      <c r="AL441" s="417"/>
      <c r="AM441" s="417"/>
      <c r="AN441" s="417"/>
      <c r="AO441" s="417"/>
    </row>
    <row r="442" spans="3:41" ht="15" customHeight="1">
      <c r="C442" s="297"/>
      <c r="D442" s="172" t="str">
        <f>IF(Indice_index!$Z$1=1,"maio","May")</f>
        <v>maio</v>
      </c>
      <c r="E442" s="1233">
        <v>1554</v>
      </c>
      <c r="F442" s="1233">
        <v>77</v>
      </c>
      <c r="G442" s="1233">
        <v>810</v>
      </c>
      <c r="H442" s="1233">
        <v>2441</v>
      </c>
      <c r="I442" s="1233">
        <v>1358</v>
      </c>
      <c r="J442" s="1234">
        <v>2514972.58</v>
      </c>
      <c r="K442" s="1234">
        <v>86613.47</v>
      </c>
      <c r="L442" s="1234">
        <v>459321.77999999997</v>
      </c>
      <c r="M442" s="1234">
        <v>3060907.83</v>
      </c>
      <c r="N442" s="1234">
        <v>1554368.07</v>
      </c>
      <c r="O442" s="1234">
        <v>1595.1</v>
      </c>
      <c r="P442" s="1234">
        <v>567.1</v>
      </c>
      <c r="R442" s="230"/>
      <c r="S442" s="230"/>
      <c r="T442" s="230"/>
      <c r="U442" s="230"/>
      <c r="V442" s="230"/>
      <c r="W442" s="230"/>
      <c r="X442" s="230"/>
      <c r="Y442" s="230"/>
      <c r="Z442" s="230"/>
      <c r="AA442" s="230"/>
      <c r="AB442" s="230"/>
      <c r="AC442" s="230"/>
      <c r="AD442" s="417"/>
      <c r="AE442" s="417"/>
      <c r="AF442" s="417"/>
      <c r="AG442" s="417"/>
      <c r="AH442" s="417"/>
      <c r="AI442" s="417"/>
      <c r="AJ442" s="417"/>
      <c r="AK442" s="417"/>
      <c r="AL442" s="417"/>
      <c r="AM442" s="417"/>
      <c r="AN442" s="417"/>
      <c r="AO442" s="417"/>
    </row>
    <row r="443" spans="3:41" ht="15" customHeight="1">
      <c r="C443" s="297"/>
      <c r="D443" s="172" t="str">
        <f>IF(Indice_index!$Z$1=1,"junho","June")</f>
        <v>junho</v>
      </c>
      <c r="E443" s="1235">
        <v>1596</v>
      </c>
      <c r="F443" s="1235">
        <v>97</v>
      </c>
      <c r="G443" s="1235">
        <v>836</v>
      </c>
      <c r="H443" s="1235">
        <v>2529</v>
      </c>
      <c r="I443" s="1235">
        <v>1321</v>
      </c>
      <c r="J443" s="1236">
        <v>2633457.0499999998</v>
      </c>
      <c r="K443" s="1236">
        <v>108886.82999999999</v>
      </c>
      <c r="L443" s="1236">
        <v>454842.29999999993</v>
      </c>
      <c r="M443" s="1236">
        <v>3197186.1799999997</v>
      </c>
      <c r="N443" s="1236">
        <v>1532259.16</v>
      </c>
      <c r="O443" s="1236">
        <v>1619.8</v>
      </c>
      <c r="P443" s="1236">
        <v>544.1</v>
      </c>
      <c r="R443" s="230"/>
      <c r="S443" s="230"/>
      <c r="T443" s="230"/>
      <c r="U443" s="230"/>
      <c r="V443" s="230"/>
      <c r="W443" s="230"/>
      <c r="X443" s="230"/>
      <c r="Y443" s="230"/>
      <c r="Z443" s="230"/>
      <c r="AA443" s="230"/>
      <c r="AB443" s="230"/>
      <c r="AC443" s="230"/>
    </row>
    <row r="444" spans="3:41" ht="15" customHeight="1">
      <c r="C444" s="297"/>
      <c r="D444" s="172" t="str">
        <f>IF(Indice_index!$Z$1=1,"julho","July")</f>
        <v>julho</v>
      </c>
      <c r="E444" s="1237">
        <v>1070</v>
      </c>
      <c r="F444" s="1237">
        <v>80</v>
      </c>
      <c r="G444" s="1237">
        <v>690</v>
      </c>
      <c r="H444" s="1237">
        <v>1840</v>
      </c>
      <c r="I444" s="1237">
        <v>1259</v>
      </c>
      <c r="J444" s="1238">
        <v>1703883.1</v>
      </c>
      <c r="K444" s="1238">
        <v>93666.53</v>
      </c>
      <c r="L444" s="1238">
        <v>373400.72000000003</v>
      </c>
      <c r="M444" s="1238">
        <v>2170950.35</v>
      </c>
      <c r="N444" s="1238">
        <v>1450557.63</v>
      </c>
      <c r="O444" s="1238">
        <v>1563.1</v>
      </c>
      <c r="P444" s="1238">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agosto</v>
      </c>
      <c r="E445" s="1239">
        <v>1166</v>
      </c>
      <c r="F445" s="1239">
        <v>80</v>
      </c>
      <c r="G445" s="1239">
        <v>775</v>
      </c>
      <c r="H445" s="1239">
        <v>2021</v>
      </c>
      <c r="I445" s="1239">
        <v>1365</v>
      </c>
      <c r="J445" s="1240">
        <v>1887668.71</v>
      </c>
      <c r="K445" s="1240">
        <v>86358.26</v>
      </c>
      <c r="L445" s="1240">
        <v>456072.92</v>
      </c>
      <c r="M445" s="1240">
        <v>2430099.89</v>
      </c>
      <c r="N445" s="1240">
        <v>1584615.03</v>
      </c>
      <c r="O445" s="1241">
        <v>1584.3</v>
      </c>
      <c r="P445" s="1241">
        <v>588.5</v>
      </c>
      <c r="X445" s="229"/>
      <c r="Y445" s="229"/>
      <c r="Z445" s="229"/>
      <c r="AA445" s="229"/>
    </row>
    <row r="446" spans="3:41" ht="18" customHeight="1">
      <c r="C446" s="297"/>
      <c r="D446" s="172" t="str">
        <f>IF(Indice_index!$Z$1=1,"setembro","September")</f>
        <v>setembro</v>
      </c>
      <c r="E446" s="1290">
        <v>1334</v>
      </c>
      <c r="F446" s="1290">
        <v>88</v>
      </c>
      <c r="G446" s="1290">
        <v>840</v>
      </c>
      <c r="H446" s="1290">
        <v>2262</v>
      </c>
      <c r="I446" s="1290">
        <v>1298</v>
      </c>
      <c r="J446" s="1291">
        <v>2203343.7999999998</v>
      </c>
      <c r="K446" s="1291">
        <v>112425.97</v>
      </c>
      <c r="L446" s="1291">
        <v>424194.71999999991</v>
      </c>
      <c r="M446" s="1291">
        <v>2739964.4899999998</v>
      </c>
      <c r="N446" s="1291">
        <v>1478157.47</v>
      </c>
      <c r="O446" s="1289">
        <v>1628.5</v>
      </c>
      <c r="P446" s="1288">
        <v>505</v>
      </c>
      <c r="X446" s="229"/>
      <c r="Y446" s="229"/>
      <c r="Z446" s="229"/>
      <c r="AA446" s="229"/>
    </row>
    <row r="447" spans="3:41" ht="15.75" hidden="1" customHeight="1">
      <c r="C447" s="297"/>
      <c r="D447" s="172" t="str">
        <f>IF(Indice_index!$Z$1=1,"outubro","October")</f>
        <v>outubro</v>
      </c>
      <c r="E447" s="1224"/>
      <c r="F447" s="1224"/>
      <c r="G447" s="1224"/>
      <c r="H447" s="1224"/>
      <c r="I447" s="1224"/>
      <c r="J447" s="1225"/>
      <c r="K447" s="1225"/>
      <c r="L447" s="1225"/>
      <c r="M447" s="1225"/>
      <c r="N447" s="1225"/>
      <c r="O447" s="1225"/>
      <c r="P447" s="1225"/>
      <c r="X447" s="229"/>
      <c r="Y447" s="229"/>
      <c r="Z447" s="229"/>
      <c r="AA447" s="229"/>
    </row>
    <row r="448" spans="3:41" s="171" customFormat="1" ht="12" hidden="1" customHeight="1">
      <c r="C448" s="1217"/>
      <c r="D448" s="172" t="str">
        <f>IF(Indice_index!$Z$1=1,"novembro","November")</f>
        <v>novembro</v>
      </c>
      <c r="E448" s="1226"/>
      <c r="F448" s="1226"/>
      <c r="G448" s="1226"/>
      <c r="H448" s="1226"/>
      <c r="I448" s="1226"/>
      <c r="J448" s="1227"/>
      <c r="K448" s="1227"/>
      <c r="L448" s="1227"/>
      <c r="M448" s="1227"/>
      <c r="N448" s="1227"/>
      <c r="O448" s="1227"/>
      <c r="P448" s="1227"/>
      <c r="R448" s="229"/>
      <c r="S448" s="229"/>
      <c r="T448" s="229"/>
      <c r="U448" s="229"/>
      <c r="V448" s="229"/>
      <c r="W448" s="229"/>
      <c r="X448" s="229"/>
      <c r="Y448" s="229"/>
      <c r="Z448" s="229"/>
      <c r="AA448" s="229"/>
      <c r="AB448" s="229"/>
      <c r="AC448" s="229"/>
    </row>
    <row r="449" spans="3:26" ht="20.25" hidden="1" customHeight="1">
      <c r="C449" s="1146"/>
      <c r="D449" s="172" t="str">
        <f>IF(Indice_index!$Z$1=1,"dezembro","December")</f>
        <v>dezembro</v>
      </c>
      <c r="E449" s="1245"/>
      <c r="F449" s="1245"/>
      <c r="G449" s="1245"/>
      <c r="H449" s="1245"/>
      <c r="I449" s="1245"/>
      <c r="J449" s="1246"/>
      <c r="K449" s="1246"/>
      <c r="L449" s="1246"/>
      <c r="M449" s="1246"/>
      <c r="N449" s="1246"/>
      <c r="O449" s="1247"/>
      <c r="P449" s="1247"/>
    </row>
    <row r="450" spans="3:26" ht="9.75" customHeight="1">
      <c r="C450" s="1139"/>
      <c r="D450" s="1140"/>
      <c r="E450" s="1140"/>
      <c r="F450" s="1140"/>
      <c r="G450" s="1140"/>
      <c r="H450" s="1140"/>
      <c r="I450" s="1140"/>
      <c r="J450" s="1140"/>
      <c r="K450" s="1140"/>
      <c r="L450" s="1140"/>
      <c r="M450" s="1140"/>
      <c r="N450" s="1140"/>
      <c r="O450" s="1140"/>
      <c r="P450" s="1140"/>
      <c r="X450" s="229"/>
      <c r="Y450" s="229"/>
      <c r="Z450" s="229"/>
    </row>
    <row r="451" spans="3:26" ht="15" customHeight="1">
      <c r="C451" s="1259"/>
      <c r="F451" s="170"/>
      <c r="G451" s="170"/>
      <c r="H451" s="170"/>
      <c r="I451" s="170"/>
      <c r="J451" s="170"/>
      <c r="K451" s="170"/>
      <c r="L451" s="172"/>
      <c r="M451" s="172"/>
      <c r="N451" s="172"/>
      <c r="O451" s="229"/>
      <c r="P451" s="229"/>
      <c r="R451" s="171"/>
    </row>
    <row r="452" spans="3:26" ht="15" customHeight="1">
      <c r="C452" s="1259"/>
      <c r="F452" s="170"/>
      <c r="G452" s="170"/>
      <c r="H452" s="170"/>
      <c r="I452" s="170"/>
      <c r="J452" s="170"/>
      <c r="K452" s="170"/>
      <c r="L452" s="172"/>
      <c r="M452" s="172"/>
      <c r="N452" s="172"/>
      <c r="O452" s="229"/>
      <c r="P452" s="229"/>
      <c r="R452" s="171"/>
    </row>
    <row r="453" spans="3:26" ht="15" customHeight="1">
      <c r="C453" s="1209"/>
      <c r="D453" s="1184"/>
      <c r="E453" s="171"/>
      <c r="F453" s="1184"/>
      <c r="G453" s="1184"/>
      <c r="H453" s="171"/>
      <c r="I453" s="171"/>
      <c r="J453" s="171"/>
      <c r="K453" s="171"/>
      <c r="O453" s="85"/>
      <c r="P453" s="229"/>
    </row>
    <row r="454" spans="3:26" ht="12" customHeight="1">
      <c r="C454" s="1137"/>
      <c r="D454" s="1210"/>
      <c r="E454" s="1766" t="str">
        <f>IF(Indice_index!$Z$1=1,"VH do número de pensionistas (%)","YOY Change Rate of the number of subscribers (%)")</f>
        <v>VH do número de pensionistas (%)</v>
      </c>
      <c r="F454" s="1766"/>
      <c r="G454" s="1766"/>
      <c r="H454" s="1766"/>
      <c r="I454" s="1766"/>
      <c r="J454" s="1726" t="str">
        <f>IF(Indice_index!$Z$1=1,"VHA da Despesa com pensões (€)","YOY Change Rate of the Expense with Pensions")</f>
        <v>VHA da Despesa com pensões (€)</v>
      </c>
      <c r="K454" s="1726"/>
      <c r="L454" s="1726"/>
      <c r="M454" s="1726"/>
      <c r="N454" s="1726"/>
      <c r="O454" s="1773" t="str">
        <f>IF(Indice_index!$Z$1=1,"VHA Pensão média nova Aposentação/Reforma (€)","YOY Change Rate of the Average Value paid per new Retirment Pensioner")</f>
        <v>VHA Pensão média nova Aposentação/Reforma (€)</v>
      </c>
      <c r="P454" s="1767" t="str">
        <f>IF(Indice_index!$Z$1=1,"VHA Pensão média nova Sobrevivência e Outras (€)","YOY Change Rate of the Average Value paid per new Survival and Others Pensioner")</f>
        <v>VHA Pensão média nova Sobrevivência e Outras (€)</v>
      </c>
    </row>
    <row r="455" spans="3:26" ht="12" customHeight="1">
      <c r="C455" s="1209"/>
      <c r="D455" s="1211"/>
      <c r="E455" s="1766" t="str">
        <f>IF(Indice_index!$Z$1=1,"Novos","New")</f>
        <v>Novos</v>
      </c>
      <c r="F455" s="1766"/>
      <c r="G455" s="1766"/>
      <c r="H455" s="1766"/>
      <c r="I455" s="1773" t="str">
        <f>IF(Indice_index!$Z$1=1,"Abonos abatidos de Aposentação /Reforma","Allowances deducted from Retirement / Pension")</f>
        <v>Abonos abatidos de Aposentação /Reforma</v>
      </c>
      <c r="J455" s="1726" t="str">
        <f>IF(Indice_index!$Z$1=1,"Novos","New")</f>
        <v>Novos</v>
      </c>
      <c r="K455" s="1726"/>
      <c r="L455" s="1726"/>
      <c r="M455" s="1726"/>
      <c r="N455" s="1773" t="str">
        <f>IF(Indice_index!$Z$1=1,"Abonos abatidos de Aposentação /Reforma","Allowances deducted from Retirement / Pension")</f>
        <v>Abonos abatidos de Aposentação /Reforma</v>
      </c>
      <c r="O455" s="1773"/>
      <c r="P455" s="1767"/>
    </row>
    <row r="456" spans="3:26" ht="42" customHeight="1">
      <c r="C456" s="1139"/>
      <c r="D456" s="1212"/>
      <c r="E456" s="1141" t="str">
        <f>IF(Indice_index!$Z$1=1,"Velhice e Outros Motivos","Old age and other Reasons")</f>
        <v>Velhice e Outros Motivos</v>
      </c>
      <c r="F456" s="1142" t="str">
        <f>IF(Indice_index!$Z$1=1,"Invalidez","Disability")</f>
        <v>Invalidez</v>
      </c>
      <c r="G456" s="1141" t="str">
        <f>IF(Indice_index!$Z$1=1,"Sobrevivência e Outros","Survival and Others")</f>
        <v>Sobrevivência e Outros</v>
      </c>
      <c r="H456" s="1141" t="str">
        <f>IF(Indice_index!$Z$1=1,"Total de Pensionistas","Total of Pensioners")</f>
        <v>Total de Pensionistas</v>
      </c>
      <c r="I456" s="1773"/>
      <c r="J456" s="1141" t="str">
        <f>IF(Indice_index!$Z$1=1,"Velhice e Outros Motivos","Old age and other Reasons")</f>
        <v>Velhice e Outros Motivos</v>
      </c>
      <c r="K456" s="1142" t="str">
        <f>IF(Indice_index!$Z$1=1,"Invalidez","Disability")</f>
        <v>Invalidez</v>
      </c>
      <c r="L456" s="1141" t="str">
        <f>IF(Indice_index!$Z$1=1,"Sobrevivência e Outros","Survival and Others")</f>
        <v>Sobrevivência e Outros</v>
      </c>
      <c r="M456" s="1141" t="str">
        <f>IF(Indice_index!$Z$1=1,"Total","Total")</f>
        <v>Total</v>
      </c>
      <c r="N456" s="1773"/>
      <c r="O456" s="1773"/>
      <c r="P456" s="1767"/>
    </row>
    <row r="457" spans="3:26" hidden="1">
      <c r="C457" s="1143" t="s">
        <v>11</v>
      </c>
      <c r="D457" s="646"/>
      <c r="E457" s="1213"/>
      <c r="F457" s="1213"/>
      <c r="G457" s="1213"/>
      <c r="H457" s="1213"/>
      <c r="I457" s="1213"/>
      <c r="J457" s="1214"/>
      <c r="K457" s="1214"/>
      <c r="L457" s="1214"/>
      <c r="N457" s="1213"/>
      <c r="O457" s="1214"/>
      <c r="P457" s="229"/>
    </row>
    <row r="458" spans="3:26" hidden="1">
      <c r="C458" s="1143"/>
      <c r="D458" s="172" t="str">
        <f>IF(Indice_index!$Z$1=1,"janeiro","January")</f>
        <v>janeiro</v>
      </c>
      <c r="E458" s="1214">
        <v>9.6999999999999993</v>
      </c>
      <c r="F458" s="1214">
        <v>5.3</v>
      </c>
      <c r="G458" s="1214">
        <v>21.4</v>
      </c>
      <c r="H458" s="1214">
        <v>12.1</v>
      </c>
      <c r="I458" s="1214">
        <v>-7.8</v>
      </c>
      <c r="J458" s="1214">
        <v>6.5</v>
      </c>
      <c r="K458" s="1214">
        <v>26.4</v>
      </c>
      <c r="L458" s="1214">
        <v>20.6</v>
      </c>
      <c r="M458" s="171">
        <v>9.1999999999999993</v>
      </c>
      <c r="N458" s="1214">
        <v>-5.5</v>
      </c>
      <c r="O458" s="1214">
        <v>-1.1000000000000001</v>
      </c>
      <c r="P458" s="229">
        <v>-0.7</v>
      </c>
    </row>
    <row r="459" spans="3:26" hidden="1">
      <c r="C459" s="1144"/>
      <c r="D459" s="172" t="str">
        <f>IF(Indice_index!$Z$1=1,"fevereiro","February")</f>
        <v>fevereiro</v>
      </c>
      <c r="E459" s="1214">
        <v>-22.3</v>
      </c>
      <c r="F459" s="1214">
        <v>4.3</v>
      </c>
      <c r="G459" s="1214">
        <v>-6.4</v>
      </c>
      <c r="H459" s="1214">
        <v>-16.2</v>
      </c>
      <c r="I459" s="1214">
        <v>1.5</v>
      </c>
      <c r="J459" s="1214">
        <v>-36.799999999999997</v>
      </c>
      <c r="K459" s="1214">
        <v>6.5</v>
      </c>
      <c r="L459" s="1214">
        <v>-4.5999999999999996</v>
      </c>
      <c r="M459" s="171">
        <v>-30.7</v>
      </c>
      <c r="N459" s="1214">
        <v>-1.2</v>
      </c>
      <c r="O459" s="1214">
        <v>-17.3</v>
      </c>
      <c r="P459" s="1214">
        <v>1.9</v>
      </c>
    </row>
    <row r="460" spans="3:26" hidden="1">
      <c r="C460" s="1144"/>
      <c r="D460" s="172" t="str">
        <f>IF(Indice_index!$Z$1=1,"março","March")</f>
        <v>março</v>
      </c>
      <c r="E460" s="1214">
        <v>25.9</v>
      </c>
      <c r="F460" s="1214">
        <v>-41.8</v>
      </c>
      <c r="G460" s="1214">
        <v>-28</v>
      </c>
      <c r="H460" s="1214">
        <v>-0.5</v>
      </c>
      <c r="I460" s="1214">
        <v>2.1</v>
      </c>
      <c r="J460" s="1214">
        <v>8.5</v>
      </c>
      <c r="K460" s="1214">
        <v>-38.9</v>
      </c>
      <c r="L460" s="1214">
        <v>-30.1</v>
      </c>
      <c r="M460" s="171">
        <v>-3.6</v>
      </c>
      <c r="N460" s="1214">
        <v>3.8</v>
      </c>
      <c r="O460" s="1214">
        <v>-11.4</v>
      </c>
      <c r="P460" s="1214">
        <v>-2.8</v>
      </c>
    </row>
    <row r="461" spans="3:26" hidden="1">
      <c r="C461" s="1144"/>
      <c r="D461" s="172" t="str">
        <f>IF(Indice_index!$Z$1=1,"abril","April")</f>
        <v>abril</v>
      </c>
      <c r="E461" s="1214">
        <v>25.4</v>
      </c>
      <c r="F461" s="1214">
        <v>-34.700000000000003</v>
      </c>
      <c r="G461" s="1214">
        <v>-26.5</v>
      </c>
      <c r="H461" s="1214">
        <v>1.8</v>
      </c>
      <c r="I461" s="1214">
        <v>-18</v>
      </c>
      <c r="J461" s="1214">
        <v>15.4</v>
      </c>
      <c r="K461" s="1214">
        <v>-38</v>
      </c>
      <c r="L461" s="1214">
        <v>-13.2</v>
      </c>
      <c r="M461" s="171">
        <v>3.9</v>
      </c>
      <c r="N461" s="1214">
        <v>-16.8</v>
      </c>
      <c r="O461" s="1214">
        <v>-7.7</v>
      </c>
      <c r="P461" s="1214">
        <v>18.100000000000001</v>
      </c>
    </row>
    <row r="462" spans="3:26" hidden="1">
      <c r="C462" s="1144"/>
      <c r="D462" s="172" t="str">
        <f>IF(Indice_index!$Z$1=1,"maio","May")</f>
        <v>maio</v>
      </c>
      <c r="E462" s="1214">
        <v>7.9</v>
      </c>
      <c r="F462" s="1214">
        <v>37.6</v>
      </c>
      <c r="G462" s="1214">
        <v>-6.6</v>
      </c>
      <c r="H462" s="1214">
        <v>5.4</v>
      </c>
      <c r="I462" s="1214">
        <v>-4.4000000000000004</v>
      </c>
      <c r="J462" s="1214">
        <v>8</v>
      </c>
      <c r="K462" s="1214">
        <v>46.1</v>
      </c>
      <c r="L462" s="1214">
        <v>-5.7</v>
      </c>
      <c r="M462" s="171">
        <v>8.6</v>
      </c>
      <c r="N462" s="1214">
        <v>-1.3</v>
      </c>
      <c r="O462" s="1214">
        <v>0.8</v>
      </c>
      <c r="P462" s="1214">
        <v>0.9</v>
      </c>
    </row>
    <row r="463" spans="3:26" hidden="1">
      <c r="C463" s="1144"/>
      <c r="D463" s="172" t="str">
        <f>IF(Indice_index!$Z$1=1,"junho","June")</f>
        <v>junho</v>
      </c>
      <c r="E463" s="1214">
        <v>-21.2</v>
      </c>
      <c r="F463" s="1214">
        <v>73</v>
      </c>
      <c r="G463" s="1214">
        <v>-15</v>
      </c>
      <c r="H463" s="1214">
        <v>-11.9</v>
      </c>
      <c r="I463" s="1214">
        <v>8.4</v>
      </c>
      <c r="J463" s="1214">
        <v>-4.0999999999999996</v>
      </c>
      <c r="K463" s="1214">
        <v>57.3</v>
      </c>
      <c r="L463" s="1214">
        <v>-15.1</v>
      </c>
      <c r="M463" s="171">
        <v>0.8</v>
      </c>
      <c r="N463" s="1214">
        <v>13.2</v>
      </c>
      <c r="O463" s="1214">
        <v>16.3</v>
      </c>
      <c r="P463" s="1214">
        <v>-0.1</v>
      </c>
    </row>
    <row r="464" spans="3:26" hidden="1">
      <c r="C464" s="1144"/>
      <c r="D464" s="172" t="str">
        <f>IF(Indice_index!$Z$1=1,"julho","July")</f>
        <v>julho</v>
      </c>
      <c r="E464" s="1214">
        <v>-23.3</v>
      </c>
      <c r="F464" s="1214">
        <v>-9.9</v>
      </c>
      <c r="G464" s="1214">
        <v>-16.2</v>
      </c>
      <c r="H464" s="1214">
        <v>-20.399999999999999</v>
      </c>
      <c r="I464" s="1214">
        <v>2.5</v>
      </c>
      <c r="J464" s="1214">
        <v>-25.5</v>
      </c>
      <c r="K464" s="1214">
        <v>2.2000000000000002</v>
      </c>
      <c r="L464" s="1214">
        <v>-7.8</v>
      </c>
      <c r="M464" s="171">
        <v>-21.1</v>
      </c>
      <c r="N464" s="1214">
        <v>5</v>
      </c>
      <c r="O464" s="1214">
        <v>-1.3</v>
      </c>
      <c r="P464" s="1214">
        <v>10.1</v>
      </c>
    </row>
    <row r="465" spans="3:16" hidden="1">
      <c r="C465" s="1144"/>
      <c r="D465" s="172" t="str">
        <f>IF(Indice_index!$Z$1=1,"agosto","August")</f>
        <v>agosto</v>
      </c>
      <c r="E465" s="1214">
        <v>-41.2</v>
      </c>
      <c r="F465" s="1214">
        <v>-19.600000000000001</v>
      </c>
      <c r="G465" s="1214">
        <v>4.0999999999999996</v>
      </c>
      <c r="H465" s="1214">
        <v>-26.4</v>
      </c>
      <c r="I465" s="1214">
        <v>19.8</v>
      </c>
      <c r="J465" s="1214">
        <v>-31.5</v>
      </c>
      <c r="K465" s="1214">
        <v>-13.5</v>
      </c>
      <c r="L465" s="1214">
        <v>14.3</v>
      </c>
      <c r="M465" s="171">
        <v>-22.9</v>
      </c>
      <c r="N465" s="1214">
        <v>15.2</v>
      </c>
      <c r="O465" s="1214">
        <v>15.7</v>
      </c>
      <c r="P465" s="1214">
        <v>9.6999999999999993</v>
      </c>
    </row>
    <row r="466" spans="3:16" hidden="1">
      <c r="C466" s="1144"/>
      <c r="D466" s="172" t="str">
        <f>IF(Indice_index!$Z$1=1,"setembro","September")</f>
        <v>setembro</v>
      </c>
      <c r="E466" s="1214">
        <v>-50.9</v>
      </c>
      <c r="F466" s="1214">
        <v>-35.9</v>
      </c>
      <c r="G466" s="1214">
        <v>-7.9</v>
      </c>
      <c r="H466" s="1214">
        <v>-39.6</v>
      </c>
      <c r="I466" s="1214">
        <v>16.3</v>
      </c>
      <c r="J466" s="1214">
        <v>-50</v>
      </c>
      <c r="K466" s="1214">
        <v>-20.5</v>
      </c>
      <c r="L466" s="1214">
        <v>1.7</v>
      </c>
      <c r="M466" s="171">
        <v>-42.5</v>
      </c>
      <c r="N466" s="1214">
        <v>27.2</v>
      </c>
      <c r="O466" s="1214">
        <v>3.4</v>
      </c>
      <c r="P466" s="1214">
        <v>10.4</v>
      </c>
    </row>
    <row r="467" spans="3:16" hidden="1">
      <c r="C467" s="1144"/>
      <c r="D467" s="172" t="str">
        <f>IF(Indice_index!$Z$1=1,"outubro","October")</f>
        <v>outubro</v>
      </c>
      <c r="E467" s="1214">
        <v>-34.1</v>
      </c>
      <c r="F467" s="1214">
        <v>-47.3</v>
      </c>
      <c r="G467" s="1214">
        <v>16.7</v>
      </c>
      <c r="H467" s="1214">
        <v>-22.5</v>
      </c>
      <c r="I467" s="1214">
        <v>1.1000000000000001</v>
      </c>
      <c r="J467" s="1214">
        <v>-27.2</v>
      </c>
      <c r="K467" s="1214">
        <v>-46.5</v>
      </c>
      <c r="L467" s="1214">
        <v>3.3</v>
      </c>
      <c r="M467" s="171">
        <v>-25.6</v>
      </c>
      <c r="N467" s="1214">
        <v>10</v>
      </c>
      <c r="O467" s="1214">
        <v>10</v>
      </c>
      <c r="P467" s="1214">
        <v>-11.5</v>
      </c>
    </row>
    <row r="468" spans="3:16" hidden="1">
      <c r="C468" s="1144"/>
      <c r="D468" s="172" t="str">
        <f>IF(Indice_index!$Z$1=1,"novembro","November")</f>
        <v>novembro</v>
      </c>
      <c r="E468" s="1214">
        <v>64</v>
      </c>
      <c r="F468" s="1214">
        <v>485.2</v>
      </c>
      <c r="G468" s="1214">
        <v>38.200000000000003</v>
      </c>
      <c r="H468" s="1214">
        <v>68.3</v>
      </c>
      <c r="I468" s="1214">
        <v>10.7</v>
      </c>
      <c r="J468" s="1214">
        <v>69.400000000000006</v>
      </c>
      <c r="K468" s="1214">
        <v>521.20000000000005</v>
      </c>
      <c r="L468" s="1214">
        <v>55.5</v>
      </c>
      <c r="M468" s="171">
        <v>81.900000000000006</v>
      </c>
      <c r="N468" s="1214">
        <v>14.7</v>
      </c>
      <c r="O468" s="1214">
        <v>1.1000000000000001</v>
      </c>
      <c r="P468" s="1214">
        <v>12.6</v>
      </c>
    </row>
    <row r="469" spans="3:16" hidden="1">
      <c r="C469" s="1144"/>
      <c r="D469" s="172" t="str">
        <f>IF(Indice_index!$Z$1=1,"dezembro","December")</f>
        <v>dezembro</v>
      </c>
      <c r="E469" s="1214">
        <v>96.8</v>
      </c>
      <c r="F469" s="1214">
        <v>43.5</v>
      </c>
      <c r="G469" s="1214">
        <v>22.7</v>
      </c>
      <c r="H469" s="1214">
        <v>64.400000000000006</v>
      </c>
      <c r="I469" s="1214">
        <v>2.8</v>
      </c>
      <c r="J469" s="1214">
        <v>160.6</v>
      </c>
      <c r="K469" s="1214">
        <v>59.4</v>
      </c>
      <c r="L469" s="1214">
        <v>29.5</v>
      </c>
      <c r="M469" s="171">
        <v>129.19999999999999</v>
      </c>
      <c r="N469" s="1214">
        <v>-1.3</v>
      </c>
      <c r="O469" s="1214">
        <v>31.9</v>
      </c>
      <c r="P469" s="1214">
        <v>5.6</v>
      </c>
    </row>
    <row r="470" spans="3:16" hidden="1">
      <c r="C470" s="1143" t="s">
        <v>12</v>
      </c>
      <c r="D470" s="171"/>
      <c r="E470" s="1214"/>
      <c r="F470" s="1214"/>
      <c r="G470" s="1214"/>
      <c r="H470" s="1214"/>
      <c r="I470" s="1214"/>
      <c r="J470" s="1214"/>
      <c r="K470" s="1214"/>
      <c r="L470" s="1214"/>
      <c r="N470" s="1214"/>
      <c r="O470" s="1214"/>
      <c r="P470" s="1214"/>
    </row>
    <row r="471" spans="3:16" hidden="1">
      <c r="C471" s="1144"/>
      <c r="D471" s="172" t="str">
        <f>IF(Indice_index!$Z$1=1,"janeiro","January")</f>
        <v>janeiro</v>
      </c>
      <c r="E471" s="1214">
        <v>-3.2</v>
      </c>
      <c r="F471" s="1214">
        <v>66.5</v>
      </c>
      <c r="G471" s="1214">
        <v>-6.9</v>
      </c>
      <c r="H471" s="1214">
        <v>1</v>
      </c>
      <c r="I471" s="1214">
        <v>5.5</v>
      </c>
      <c r="J471" s="1214">
        <v>-10.7</v>
      </c>
      <c r="K471" s="1214">
        <v>50.7</v>
      </c>
      <c r="L471" s="1214">
        <v>-12.1</v>
      </c>
      <c r="M471" s="171">
        <v>-6.1</v>
      </c>
      <c r="N471" s="1214">
        <v>8.3000000000000007</v>
      </c>
      <c r="O471" s="1214">
        <v>-8.8000000000000007</v>
      </c>
      <c r="P471" s="1214">
        <v>-5.6</v>
      </c>
    </row>
    <row r="472" spans="3:16" hidden="1">
      <c r="C472" s="1144"/>
      <c r="D472" s="172" t="str">
        <f>IF(Indice_index!$Z$1=1,"fevereiro","February")</f>
        <v>fevereiro</v>
      </c>
      <c r="E472" s="1214">
        <v>1.5</v>
      </c>
      <c r="F472" s="1214">
        <v>-25.7</v>
      </c>
      <c r="G472" s="1214">
        <v>2.6</v>
      </c>
      <c r="H472" s="1214">
        <v>-0.6</v>
      </c>
      <c r="I472" s="1214">
        <v>18.7</v>
      </c>
      <c r="J472" s="1214">
        <v>-5.7</v>
      </c>
      <c r="K472" s="1214">
        <v>-11.9</v>
      </c>
      <c r="L472" s="1214">
        <v>9.1999999999999993</v>
      </c>
      <c r="M472" s="171">
        <v>-4.2</v>
      </c>
      <c r="N472" s="1214">
        <v>16.3</v>
      </c>
      <c r="O472" s="1214">
        <v>-4.5</v>
      </c>
      <c r="P472" s="1214">
        <v>6.5</v>
      </c>
    </row>
    <row r="473" spans="3:16" hidden="1">
      <c r="C473" s="1144"/>
      <c r="D473" s="172" t="str">
        <f>IF(Indice_index!$Z$1=1,"março","March")</f>
        <v>março</v>
      </c>
      <c r="E473" s="1214">
        <v>-6.7</v>
      </c>
      <c r="F473" s="1214">
        <v>-45.8</v>
      </c>
      <c r="G473" s="1214">
        <v>23.2</v>
      </c>
      <c r="H473" s="1214">
        <v>-1</v>
      </c>
      <c r="I473" s="1214">
        <v>0.7</v>
      </c>
      <c r="J473" s="1214">
        <v>1.8</v>
      </c>
      <c r="K473" s="1214">
        <v>-42.3</v>
      </c>
      <c r="L473" s="1214">
        <v>32.4</v>
      </c>
      <c r="M473" s="171">
        <v>2.9</v>
      </c>
      <c r="N473" s="1214">
        <v>7.7</v>
      </c>
      <c r="O473" s="1214">
        <v>9</v>
      </c>
      <c r="P473" s="1214">
        <v>7.5</v>
      </c>
    </row>
    <row r="474" spans="3:16" hidden="1">
      <c r="C474" s="1144"/>
      <c r="D474" s="172" t="str">
        <f>IF(Indice_index!$Z$1=1,"abril","April")</f>
        <v>abril</v>
      </c>
      <c r="E474" s="1214">
        <v>-29.8</v>
      </c>
      <c r="F474" s="1214">
        <v>92.7</v>
      </c>
      <c r="G474" s="1214">
        <v>21.9</v>
      </c>
      <c r="H474" s="1214">
        <v>-9.3000000000000007</v>
      </c>
      <c r="I474" s="1214">
        <v>-1.8</v>
      </c>
      <c r="J474" s="1214">
        <v>-15.5</v>
      </c>
      <c r="K474" s="1214">
        <v>92.4</v>
      </c>
      <c r="L474" s="1214">
        <v>14.5</v>
      </c>
      <c r="M474" s="171">
        <v>-3.2</v>
      </c>
      <c r="N474" s="1214">
        <v>5.7</v>
      </c>
      <c r="O474" s="1214">
        <v>16.5</v>
      </c>
      <c r="P474" s="1214">
        <v>-6</v>
      </c>
    </row>
    <row r="475" spans="3:16" hidden="1">
      <c r="C475" s="1144"/>
      <c r="D475" s="172" t="str">
        <f>IF(Indice_index!$Z$1=1,"maio","May")</f>
        <v>maio</v>
      </c>
      <c r="E475" s="1214">
        <v>-15.7</v>
      </c>
      <c r="F475" s="1214">
        <v>-41.7</v>
      </c>
      <c r="G475" s="1214">
        <v>-12.1</v>
      </c>
      <c r="H475" s="1214">
        <v>-16.7</v>
      </c>
      <c r="I475" s="1214">
        <v>-10</v>
      </c>
      <c r="J475" s="1214">
        <v>0.8</v>
      </c>
      <c r="K475" s="1214">
        <v>-42.1</v>
      </c>
      <c r="L475" s="1214">
        <v>-11.4</v>
      </c>
      <c r="M475" s="171">
        <v>-5</v>
      </c>
      <c r="N475" s="1214">
        <v>-3.9</v>
      </c>
      <c r="O475" s="1214">
        <v>17.600000000000001</v>
      </c>
      <c r="P475" s="1214">
        <v>0.8</v>
      </c>
    </row>
    <row r="476" spans="3:16" hidden="1">
      <c r="C476" s="1144"/>
      <c r="D476" s="172" t="str">
        <f>IF(Indice_index!$Z$1=1,"junho","June")</f>
        <v>junho</v>
      </c>
      <c r="E476" s="1214">
        <v>13.7</v>
      </c>
      <c r="F476" s="1214">
        <v>-51.6</v>
      </c>
      <c r="G476" s="1214">
        <v>2.4</v>
      </c>
      <c r="H476" s="1214">
        <v>0.3</v>
      </c>
      <c r="I476" s="1214">
        <v>-3.8</v>
      </c>
      <c r="J476" s="1214">
        <v>10.199999999999999</v>
      </c>
      <c r="K476" s="1214">
        <v>-49</v>
      </c>
      <c r="L476" s="1214">
        <v>6.5</v>
      </c>
      <c r="M476" s="171">
        <v>-0.5</v>
      </c>
      <c r="N476" s="1214">
        <v>-1.6</v>
      </c>
      <c r="O476" s="1214">
        <v>-1.1000000000000001</v>
      </c>
      <c r="P476" s="1214">
        <v>4</v>
      </c>
    </row>
    <row r="477" spans="3:16" hidden="1">
      <c r="C477" s="1144"/>
      <c r="D477" s="172" t="str">
        <f>IF(Indice_index!$Z$1=1,"julho","July")</f>
        <v>julho</v>
      </c>
      <c r="E477" s="1214">
        <v>48.062654575432809</v>
      </c>
      <c r="F477" s="1214">
        <v>-46.951219512195117</v>
      </c>
      <c r="G477" s="1214">
        <v>2441.199226305609</v>
      </c>
      <c r="H477" s="1214">
        <v>693.08342133051747</v>
      </c>
      <c r="I477" s="1214">
        <v>-1.9540229885057472</v>
      </c>
      <c r="J477" s="1214">
        <v>43.702225973332972</v>
      </c>
      <c r="K477" s="1214">
        <v>-53.782405155228375</v>
      </c>
      <c r="L477" s="1214">
        <v>887.03572526265975</v>
      </c>
      <c r="M477" s="171">
        <v>153.12099766206697</v>
      </c>
      <c r="N477" s="1214">
        <v>-2.6524096708472138</v>
      </c>
      <c r="O477" s="1214">
        <v>-3.6830256641152714</v>
      </c>
      <c r="P477" s="1214">
        <v>-61.169016963008382</v>
      </c>
    </row>
    <row r="478" spans="3:16" hidden="1">
      <c r="C478" s="1144"/>
      <c r="D478" s="172" t="str">
        <f>IF(Indice_index!$Z$1=1,"agosto","August")</f>
        <v>agosto</v>
      </c>
      <c r="E478" s="1214">
        <v>185.1</v>
      </c>
      <c r="F478" s="1214">
        <v>124.4</v>
      </c>
      <c r="G478" s="1214">
        <v>-1</v>
      </c>
      <c r="H478" s="1214">
        <v>102.9</v>
      </c>
      <c r="I478" s="1214">
        <v>2.6</v>
      </c>
      <c r="J478" s="1214">
        <v>50.8</v>
      </c>
      <c r="K478" s="1214">
        <v>74.8</v>
      </c>
      <c r="L478" s="1214">
        <v>3</v>
      </c>
      <c r="M478" s="171">
        <v>42</v>
      </c>
      <c r="N478" s="1214">
        <v>8.3000000000000007</v>
      </c>
      <c r="O478" s="1214">
        <v>-44.8</v>
      </c>
      <c r="P478" s="1214">
        <v>4.0999999999999996</v>
      </c>
    </row>
    <row r="479" spans="3:16" hidden="1">
      <c r="C479" s="1144"/>
      <c r="D479" s="172" t="str">
        <f>IF(Indice_index!$Z$1=1,"setembro","September")</f>
        <v>setembro</v>
      </c>
      <c r="E479" s="1214">
        <v>169.2</v>
      </c>
      <c r="F479" s="1214">
        <v>147.69999999999999</v>
      </c>
      <c r="G479" s="1214">
        <v>-4.5999999999999996</v>
      </c>
      <c r="H479" s="1214">
        <v>104.1</v>
      </c>
      <c r="I479" s="1214">
        <v>-17.100000000000001</v>
      </c>
      <c r="J479" s="1214">
        <v>54.2</v>
      </c>
      <c r="K479" s="1214">
        <v>93.8</v>
      </c>
      <c r="L479" s="1214">
        <v>-9.4</v>
      </c>
      <c r="M479" s="171">
        <v>45.3</v>
      </c>
      <c r="N479" s="1214">
        <v>-19.399999999999999</v>
      </c>
      <c r="O479" s="1214">
        <v>-40.6</v>
      </c>
      <c r="P479" s="1214">
        <v>-5.0999999999999996</v>
      </c>
    </row>
    <row r="480" spans="3:16" hidden="1">
      <c r="C480" s="1144"/>
      <c r="D480" s="172" t="str">
        <f>IF(Indice_index!$Z$1=1,"outubro","October")</f>
        <v>outubro</v>
      </c>
      <c r="E480" s="1214">
        <v>56.8</v>
      </c>
      <c r="F480" s="1214">
        <v>1</v>
      </c>
      <c r="G480" s="1214">
        <v>25.4</v>
      </c>
      <c r="H480" s="1214">
        <v>41.9</v>
      </c>
      <c r="I480" s="1214">
        <v>6.9</v>
      </c>
      <c r="J480" s="1214">
        <v>13.3</v>
      </c>
      <c r="K480" s="1214">
        <v>-14.1</v>
      </c>
      <c r="L480" s="1214">
        <v>39.299999999999997</v>
      </c>
      <c r="M480" s="171">
        <v>15.5</v>
      </c>
      <c r="N480" s="1214">
        <v>5.2</v>
      </c>
      <c r="O480" s="1214">
        <v>-26.7</v>
      </c>
      <c r="P480" s="1214">
        <v>11.1</v>
      </c>
    </row>
    <row r="481" spans="3:27" hidden="1">
      <c r="C481" s="1144"/>
      <c r="D481" s="172" t="str">
        <f>IF(Indice_index!$Z$1=1,"novembro","November")</f>
        <v>novembro</v>
      </c>
      <c r="E481" s="1214">
        <v>-11.3</v>
      </c>
      <c r="F481" s="1214">
        <v>-60.2</v>
      </c>
      <c r="G481" s="1214">
        <v>-10</v>
      </c>
      <c r="H481" s="1214">
        <v>-16.2</v>
      </c>
      <c r="I481" s="1214">
        <v>12.8</v>
      </c>
      <c r="J481" s="1214">
        <v>-29.5</v>
      </c>
      <c r="K481" s="1214">
        <v>-69.7</v>
      </c>
      <c r="L481" s="1214">
        <v>-13.7</v>
      </c>
      <c r="M481" s="171">
        <v>-32</v>
      </c>
      <c r="N481" s="1214">
        <v>7.6</v>
      </c>
      <c r="O481" s="1214">
        <v>-19.399999999999999</v>
      </c>
      <c r="P481" s="1214">
        <v>-4.0999999999999996</v>
      </c>
    </row>
    <row r="482" spans="3:27" hidden="1">
      <c r="C482" s="1144"/>
      <c r="D482" s="172" t="str">
        <f>IF(Indice_index!$Z$1=1,"dezembro","December")</f>
        <v>dezembro</v>
      </c>
      <c r="E482" s="1214">
        <v>-21.3</v>
      </c>
      <c r="F482" s="1214">
        <v>-12.9</v>
      </c>
      <c r="G482" s="1214">
        <v>-23.2</v>
      </c>
      <c r="H482" s="1214">
        <v>-21.5</v>
      </c>
      <c r="I482" s="1214">
        <v>2.7</v>
      </c>
      <c r="J482" s="1214">
        <v>-45.2</v>
      </c>
      <c r="K482" s="1214">
        <v>-34.1</v>
      </c>
      <c r="L482" s="1214">
        <v>-23.6</v>
      </c>
      <c r="M482" s="171">
        <v>-42.3</v>
      </c>
      <c r="N482" s="1214">
        <v>8.8000000000000007</v>
      </c>
      <c r="O482" s="1214">
        <v>-30.2</v>
      </c>
      <c r="P482" s="1214">
        <v>-0.6</v>
      </c>
    </row>
    <row r="483" spans="3:27" hidden="1">
      <c r="C483" s="1145">
        <v>2015</v>
      </c>
      <c r="D483" s="171"/>
      <c r="E483" s="1214"/>
      <c r="F483" s="1214"/>
      <c r="G483" s="1214"/>
      <c r="H483" s="1214"/>
      <c r="I483" s="1214"/>
      <c r="J483" s="1214"/>
      <c r="K483" s="1214"/>
      <c r="L483" s="1214"/>
      <c r="N483" s="1214"/>
      <c r="O483" s="1214"/>
      <c r="P483" s="1214"/>
    </row>
    <row r="484" spans="3:27" ht="10.5" hidden="1">
      <c r="C484" s="1144"/>
      <c r="D484" s="172" t="str">
        <f>IF(Indice_index!$Z$1=1,"janeiro","January")</f>
        <v>janeiro</v>
      </c>
      <c r="E484" s="1214">
        <v>13.3</v>
      </c>
      <c r="F484" s="1214">
        <v>-54.4</v>
      </c>
      <c r="G484" s="1214">
        <v>4.5</v>
      </c>
      <c r="H484" s="1214">
        <v>3</v>
      </c>
      <c r="I484" s="1214">
        <v>3.8</v>
      </c>
      <c r="J484" s="1214">
        <v>12.3</v>
      </c>
      <c r="K484" s="1214">
        <v>-68</v>
      </c>
      <c r="L484" s="1214">
        <v>13.2</v>
      </c>
      <c r="M484" s="171">
        <v>2.4</v>
      </c>
      <c r="N484" s="1214">
        <v>4</v>
      </c>
      <c r="O484" s="1214">
        <v>-1.2</v>
      </c>
      <c r="P484" s="1214">
        <v>8.4</v>
      </c>
      <c r="X484" s="229"/>
      <c r="Y484" s="229"/>
      <c r="Z484" s="229"/>
      <c r="AA484" s="229"/>
    </row>
    <row r="485" spans="3:27" ht="10.5" hidden="1">
      <c r="C485" s="1144"/>
      <c r="D485" s="172" t="str">
        <f>IF(Indice_index!$Z$1=1,"fevereiro","February")</f>
        <v>fevereiro</v>
      </c>
      <c r="E485" s="1214">
        <v>12</v>
      </c>
      <c r="F485" s="1214">
        <v>-42</v>
      </c>
      <c r="G485" s="1214">
        <v>-29.1</v>
      </c>
      <c r="H485" s="1214">
        <v>-4.2</v>
      </c>
      <c r="I485" s="1214">
        <v>-4.4000000000000004</v>
      </c>
      <c r="J485" s="1214">
        <v>21.2</v>
      </c>
      <c r="K485" s="1214">
        <v>-55.1</v>
      </c>
      <c r="L485" s="1214">
        <v>-18.7</v>
      </c>
      <c r="M485" s="171">
        <v>7.8</v>
      </c>
      <c r="N485" s="1214">
        <v>-1.7</v>
      </c>
      <c r="O485" s="1214">
        <v>5.7</v>
      </c>
      <c r="P485" s="1214">
        <v>14.6</v>
      </c>
      <c r="X485" s="229"/>
      <c r="Y485" s="229"/>
      <c r="Z485" s="229"/>
      <c r="AA485" s="229"/>
    </row>
    <row r="486" spans="3:27" ht="10.5" hidden="1">
      <c r="C486" s="1144"/>
      <c r="D486" s="172" t="str">
        <f>IF(Indice_index!$Z$1=1,"março","March")</f>
        <v>março</v>
      </c>
      <c r="E486" s="1214">
        <v>18.7</v>
      </c>
      <c r="F486" s="1214">
        <v>53.2</v>
      </c>
      <c r="G486" s="1214">
        <v>-12.7</v>
      </c>
      <c r="H486" s="1214">
        <v>9.4</v>
      </c>
      <c r="I486" s="1214">
        <v>30.5</v>
      </c>
      <c r="J486" s="1214">
        <v>25.3</v>
      </c>
      <c r="K486" s="1214">
        <v>29.2</v>
      </c>
      <c r="L486" s="1214">
        <v>-11.1</v>
      </c>
      <c r="M486" s="171">
        <v>19.3</v>
      </c>
      <c r="N486" s="1214">
        <v>32.799999999999997</v>
      </c>
      <c r="O486" s="1214">
        <v>4.2</v>
      </c>
      <c r="P486" s="1214">
        <v>1.8</v>
      </c>
      <c r="X486" s="229"/>
      <c r="Y486" s="229"/>
      <c r="Z486" s="229"/>
      <c r="AA486" s="229"/>
    </row>
    <row r="487" spans="3:27" ht="10.5" hidden="1">
      <c r="C487" s="1144"/>
      <c r="D487" s="172" t="str">
        <f>IF(Indice_index!$Z$1=1,"abril","April")</f>
        <v>abril</v>
      </c>
      <c r="E487" s="1214">
        <v>8.1</v>
      </c>
      <c r="F487" s="1214">
        <v>-36.1</v>
      </c>
      <c r="G487" s="1214">
        <v>16.399999999999999</v>
      </c>
      <c r="H487" s="1214">
        <v>4.8</v>
      </c>
      <c r="I487" s="1214">
        <v>28.5</v>
      </c>
      <c r="J487" s="1214">
        <v>7.5</v>
      </c>
      <c r="K487" s="1214">
        <v>-45.7</v>
      </c>
      <c r="L487" s="1214">
        <v>20.9</v>
      </c>
      <c r="M487" s="171">
        <v>1.7</v>
      </c>
      <c r="N487" s="1214">
        <v>22.7</v>
      </c>
      <c r="O487" s="1214">
        <v>-1.2</v>
      </c>
      <c r="P487" s="1214">
        <v>3.9</v>
      </c>
      <c r="X487" s="229"/>
      <c r="Y487" s="229"/>
      <c r="Z487" s="229"/>
      <c r="AA487" s="229"/>
    </row>
    <row r="488" spans="3:27" ht="10.5" hidden="1">
      <c r="C488" s="1144"/>
      <c r="D488" s="172" t="str">
        <f>IF(Indice_index!$Z$1=1,"maio","May")</f>
        <v>maio</v>
      </c>
      <c r="E488" s="1214">
        <v>-11.5</v>
      </c>
      <c r="F488" s="1214">
        <v>7.1</v>
      </c>
      <c r="G488" s="1214">
        <v>324.3</v>
      </c>
      <c r="H488" s="1214">
        <v>82.2</v>
      </c>
      <c r="I488" s="1214">
        <v>16.399999999999999</v>
      </c>
      <c r="J488" s="1214">
        <v>-24.9</v>
      </c>
      <c r="K488" s="1214">
        <v>-10</v>
      </c>
      <c r="L488" s="1214">
        <v>105.5</v>
      </c>
      <c r="M488" s="171">
        <v>-7.2</v>
      </c>
      <c r="N488" s="1214">
        <v>12.2</v>
      </c>
      <c r="O488" s="1214">
        <v>-15.3</v>
      </c>
      <c r="P488" s="1214">
        <v>-51.6</v>
      </c>
      <c r="X488" s="229"/>
      <c r="Y488" s="229"/>
      <c r="Z488" s="229"/>
      <c r="AA488" s="229"/>
    </row>
    <row r="489" spans="3:27" ht="10.5" hidden="1">
      <c r="C489" s="1144"/>
      <c r="D489" s="172" t="str">
        <f>IF(Indice_index!$Z$1=1,"junho","June")</f>
        <v>junho</v>
      </c>
      <c r="E489" s="1214">
        <v>-21.4</v>
      </c>
      <c r="F489" s="1214">
        <v>-1.6</v>
      </c>
      <c r="G489" s="1214">
        <v>-4.0999999999999996</v>
      </c>
      <c r="H489" s="1214">
        <v>-14.7</v>
      </c>
      <c r="I489" s="1214">
        <v>-6.5</v>
      </c>
      <c r="J489" s="1214">
        <v>-38.700000000000003</v>
      </c>
      <c r="K489" s="1214">
        <v>-27.8</v>
      </c>
      <c r="L489" s="1214">
        <v>-10.1</v>
      </c>
      <c r="M489" s="171">
        <v>-33.299999999999997</v>
      </c>
      <c r="N489" s="1214">
        <v>-6.8</v>
      </c>
      <c r="O489" s="1214">
        <v>-22.7</v>
      </c>
      <c r="P489" s="1214">
        <v>-6.3</v>
      </c>
      <c r="X489" s="229"/>
      <c r="Y489" s="229"/>
      <c r="Z489" s="229"/>
      <c r="AA489" s="229"/>
    </row>
    <row r="490" spans="3:27" ht="10.5" hidden="1">
      <c r="C490" s="1144"/>
      <c r="D490" s="172" t="str">
        <f>IF(Indice_index!$Z$1=1,"julho","July")</f>
        <v>julho</v>
      </c>
      <c r="E490" s="1214">
        <v>-63</v>
      </c>
      <c r="F490" s="1214">
        <v>72.400000000000006</v>
      </c>
      <c r="G490" s="1214">
        <v>-93.9</v>
      </c>
      <c r="H490" s="1214">
        <v>-89.2</v>
      </c>
      <c r="I490" s="1214">
        <v>10.9</v>
      </c>
      <c r="J490" s="1214">
        <v>-58.5</v>
      </c>
      <c r="K490" s="1214">
        <v>89.4</v>
      </c>
      <c r="L490" s="1214">
        <v>-84.7</v>
      </c>
      <c r="M490" s="171">
        <v>-70.2</v>
      </c>
      <c r="N490" s="1214">
        <v>11.9</v>
      </c>
      <c r="O490" s="1214">
        <v>10.6</v>
      </c>
      <c r="P490" s="1214">
        <v>150.1</v>
      </c>
      <c r="X490" s="229"/>
      <c r="Y490" s="229"/>
      <c r="Z490" s="229"/>
      <c r="AA490" s="229"/>
    </row>
    <row r="491" spans="3:27" ht="10.5" hidden="1">
      <c r="C491" s="1144"/>
      <c r="D491" s="172" t="str">
        <f>IF(Indice_index!$Z$1=1,"agosto","August")</f>
        <v>agosto</v>
      </c>
      <c r="E491" s="1214">
        <v>-54.8</v>
      </c>
      <c r="F491" s="1214">
        <v>-36.799999999999997</v>
      </c>
      <c r="G491" s="1214">
        <v>-4.0999999999999996</v>
      </c>
      <c r="H491" s="1214">
        <v>-43.1</v>
      </c>
      <c r="I491" s="1214">
        <v>7.9</v>
      </c>
      <c r="J491" s="1214">
        <v>-59.1</v>
      </c>
      <c r="K491" s="1214">
        <v>-18.7</v>
      </c>
      <c r="L491" s="1214">
        <v>-11.1</v>
      </c>
      <c r="M491" s="171">
        <v>-46.5</v>
      </c>
      <c r="N491" s="1214">
        <v>2.2000000000000002</v>
      </c>
      <c r="O491" s="1214">
        <v>-1.2</v>
      </c>
      <c r="P491" s="1214">
        <v>-7.3</v>
      </c>
      <c r="X491" s="229"/>
      <c r="Y491" s="229"/>
      <c r="Z491" s="229"/>
      <c r="AA491" s="229"/>
    </row>
    <row r="492" spans="3:27" ht="10.5" hidden="1">
      <c r="C492" s="1144"/>
      <c r="D492" s="172" t="str">
        <f>IF(Indice_index!$Z$1=1,"setembro","September")</f>
        <v>setembro</v>
      </c>
      <c r="E492" s="1214">
        <v>-60.8</v>
      </c>
      <c r="F492" s="1214">
        <v>-31.9</v>
      </c>
      <c r="G492" s="1214">
        <v>32.200000000000003</v>
      </c>
      <c r="H492" s="1214">
        <v>-42.5</v>
      </c>
      <c r="I492" s="1214">
        <v>7.4</v>
      </c>
      <c r="J492" s="1214">
        <v>-40.200000000000003</v>
      </c>
      <c r="K492" s="1214">
        <v>-32.4</v>
      </c>
      <c r="L492" s="1214">
        <v>42.6</v>
      </c>
      <c r="M492" s="171">
        <v>-29.2</v>
      </c>
      <c r="N492" s="1214">
        <v>14.2</v>
      </c>
      <c r="O492" s="1214">
        <v>44.9</v>
      </c>
      <c r="P492" s="1214">
        <v>7.9</v>
      </c>
      <c r="X492" s="229"/>
      <c r="Y492" s="229"/>
      <c r="Z492" s="229"/>
      <c r="AA492" s="229"/>
    </row>
    <row r="493" spans="3:27" ht="10.5" hidden="1">
      <c r="C493" s="1144"/>
      <c r="D493" s="172" t="str">
        <f>IF(Indice_index!$Z$1=1,"outubro","October")</f>
        <v>outubro</v>
      </c>
      <c r="E493" s="1214">
        <v>-51.1</v>
      </c>
      <c r="F493" s="1214">
        <v>58</v>
      </c>
      <c r="G493" s="1214">
        <v>-35.6</v>
      </c>
      <c r="H493" s="1214">
        <v>-41.7</v>
      </c>
      <c r="I493" s="1214">
        <v>1.1000000000000001</v>
      </c>
      <c r="J493" s="1214">
        <v>-60</v>
      </c>
      <c r="K493" s="1214">
        <v>81.400000000000006</v>
      </c>
      <c r="L493" s="1214">
        <v>-33.799999999999997</v>
      </c>
      <c r="M493" s="171">
        <v>-48.8</v>
      </c>
      <c r="N493" s="1214">
        <v>-2.4</v>
      </c>
      <c r="O493" s="1214">
        <v>-13.1</v>
      </c>
      <c r="P493" s="1214">
        <v>2.8</v>
      </c>
      <c r="X493" s="229"/>
      <c r="Y493" s="229"/>
      <c r="Z493" s="229"/>
      <c r="AA493" s="229"/>
    </row>
    <row r="494" spans="3:27" ht="10.5" hidden="1">
      <c r="C494" s="1144"/>
      <c r="D494" s="172" t="str">
        <f>IF(Indice_index!$Z$1=1,"novembro","November")</f>
        <v>novembro</v>
      </c>
      <c r="E494" s="1214">
        <v>-64</v>
      </c>
      <c r="F494" s="1214">
        <v>-42.3</v>
      </c>
      <c r="G494" s="1214">
        <v>-8</v>
      </c>
      <c r="H494" s="1214">
        <v>-46.1</v>
      </c>
      <c r="I494" s="1214">
        <v>-3.9</v>
      </c>
      <c r="J494" s="1214">
        <v>-70.3</v>
      </c>
      <c r="K494" s="1214">
        <v>-42.6</v>
      </c>
      <c r="L494" s="1214">
        <v>-0.4</v>
      </c>
      <c r="M494" s="171">
        <v>-58.8</v>
      </c>
      <c r="N494" s="1214">
        <v>-3</v>
      </c>
      <c r="O494" s="1214">
        <v>-16.7</v>
      </c>
      <c r="P494" s="1214">
        <v>8.3000000000000007</v>
      </c>
      <c r="X494" s="229"/>
      <c r="Y494" s="229"/>
      <c r="Z494" s="229"/>
      <c r="AA494" s="229"/>
    </row>
    <row r="495" spans="3:27" ht="10.5" hidden="1">
      <c r="C495" s="1144"/>
      <c r="D495" s="172" t="str">
        <f>IF(Indice_index!$Z$1=1,"dezembro","December")</f>
        <v>dezembro</v>
      </c>
      <c r="E495" s="1214">
        <v>-57.5</v>
      </c>
      <c r="F495" s="1214">
        <v>60.9</v>
      </c>
      <c r="G495" s="1214">
        <v>6.2</v>
      </c>
      <c r="H495" s="1214">
        <v>-33</v>
      </c>
      <c r="I495" s="1214">
        <v>-0.1</v>
      </c>
      <c r="J495" s="1214">
        <v>-64.900000000000006</v>
      </c>
      <c r="K495" s="1214">
        <v>118.7</v>
      </c>
      <c r="L495" s="1214">
        <v>1.7</v>
      </c>
      <c r="M495" s="171">
        <v>-47</v>
      </c>
      <c r="N495" s="1214">
        <v>-1.7</v>
      </c>
      <c r="O495" s="1214">
        <v>-12.2</v>
      </c>
      <c r="P495" s="1214">
        <v>-4.2</v>
      </c>
      <c r="X495" s="229"/>
      <c r="Y495" s="229"/>
      <c r="Z495" s="229"/>
      <c r="AA495" s="229"/>
    </row>
    <row r="496" spans="3:27" hidden="1">
      <c r="C496" s="1217">
        <v>2016</v>
      </c>
      <c r="D496" s="171"/>
      <c r="E496" s="1214"/>
      <c r="F496" s="1214"/>
      <c r="G496" s="1214"/>
      <c r="H496" s="1214"/>
      <c r="I496" s="1214"/>
      <c r="J496" s="1214"/>
      <c r="K496" s="1214"/>
      <c r="L496" s="1214"/>
      <c r="N496" s="1214"/>
      <c r="O496" s="1214"/>
      <c r="P496" s="1214"/>
    </row>
    <row r="497" spans="3:29" hidden="1">
      <c r="C497" s="1144"/>
      <c r="D497" s="172" t="str">
        <f>IF(Indice_index!$Z$1=1,"janeiro","January")</f>
        <v>janeiro</v>
      </c>
      <c r="E497" s="1214">
        <v>-67.2</v>
      </c>
      <c r="F497" s="1214">
        <v>-16.2</v>
      </c>
      <c r="G497" s="1214">
        <v>-9.1</v>
      </c>
      <c r="H497" s="1214">
        <v>-50.4</v>
      </c>
      <c r="I497" s="1214">
        <v>-2.5</v>
      </c>
      <c r="J497" s="1214">
        <v>-76.900000000000006</v>
      </c>
      <c r="K497" s="1214">
        <v>10.4</v>
      </c>
      <c r="L497" s="1214">
        <v>-4.4000000000000004</v>
      </c>
      <c r="M497" s="171">
        <v>-65.8</v>
      </c>
      <c r="N497" s="1214">
        <v>-1.1000000000000001</v>
      </c>
      <c r="O497" s="1214">
        <v>-26.2</v>
      </c>
      <c r="P497" s="1214">
        <v>5.0999999999999996</v>
      </c>
    </row>
    <row r="498" spans="3:29" hidden="1">
      <c r="C498" s="1144"/>
      <c r="D498" s="172" t="str">
        <f>IF(Indice_index!$Z$1=1,"fevereiro","February")</f>
        <v>fevereiro</v>
      </c>
      <c r="E498" s="1214">
        <v>-64.5</v>
      </c>
      <c r="F498" s="1214">
        <v>-13.8</v>
      </c>
      <c r="G498" s="1214">
        <v>14.3</v>
      </c>
      <c r="H498" s="1214">
        <v>-44.5</v>
      </c>
      <c r="I498" s="1214">
        <v>-8.9</v>
      </c>
      <c r="J498" s="1214">
        <v>-72.900000000000006</v>
      </c>
      <c r="K498" s="1214">
        <v>-2.9</v>
      </c>
      <c r="L498" s="1214">
        <v>-2.7</v>
      </c>
      <c r="M498" s="171">
        <v>-61.7</v>
      </c>
      <c r="N498" s="1214">
        <v>-8.4</v>
      </c>
      <c r="O498" s="1214">
        <v>-21.1</v>
      </c>
      <c r="P498" s="1214">
        <v>-14.9</v>
      </c>
    </row>
    <row r="499" spans="3:29" hidden="1">
      <c r="C499" s="1144"/>
      <c r="D499" s="172" t="str">
        <f>IF(Indice_index!$Z$1=1,"março","March")</f>
        <v>março</v>
      </c>
      <c r="E499" s="1214">
        <v>-60.1</v>
      </c>
      <c r="F499" s="1214">
        <v>20.3</v>
      </c>
      <c r="G499" s="1214">
        <v>-6.6</v>
      </c>
      <c r="H499" s="1214">
        <v>-42.5</v>
      </c>
      <c r="I499" s="1214">
        <v>-18.5</v>
      </c>
      <c r="J499" s="1214">
        <v>-69.599999999999994</v>
      </c>
      <c r="K499" s="1214">
        <v>32.799999999999997</v>
      </c>
      <c r="L499" s="1214">
        <v>-7.7</v>
      </c>
      <c r="M499" s="171">
        <v>-57.6</v>
      </c>
      <c r="N499" s="1214">
        <v>-18.3</v>
      </c>
      <c r="O499" s="1214">
        <v>-21.1</v>
      </c>
      <c r="P499" s="1214">
        <v>-1.2</v>
      </c>
    </row>
    <row r="500" spans="3:29" hidden="1">
      <c r="C500" s="1144"/>
      <c r="D500" s="172" t="str">
        <f>IF(Indice_index!$Z$1=1,"abril","April")</f>
        <v>abril</v>
      </c>
      <c r="E500" s="1214">
        <v>-44.8</v>
      </c>
      <c r="F500" s="1214">
        <v>-33.5</v>
      </c>
      <c r="G500" s="1214">
        <v>-14.9</v>
      </c>
      <c r="H500" s="1214">
        <v>-33</v>
      </c>
      <c r="I500" s="1214">
        <v>-12.2</v>
      </c>
      <c r="J500" s="1214">
        <v>-62</v>
      </c>
      <c r="K500" s="1214">
        <v>-30.1</v>
      </c>
      <c r="L500" s="1214">
        <v>-14.2</v>
      </c>
      <c r="M500" s="171">
        <v>-50.3</v>
      </c>
      <c r="N500" s="1214">
        <v>-3.7</v>
      </c>
      <c r="O500" s="1214">
        <v>-27.4</v>
      </c>
      <c r="P500" s="1214">
        <v>0.9</v>
      </c>
    </row>
    <row r="501" spans="3:29" hidden="1">
      <c r="C501" s="1144"/>
      <c r="D501" s="172" t="str">
        <f>IF(Indice_index!$Z$1=1,"maio","May")</f>
        <v>maio</v>
      </c>
      <c r="E501" s="1214">
        <v>-61.1</v>
      </c>
      <c r="F501" s="1214">
        <v>-5.9</v>
      </c>
      <c r="G501" s="1214">
        <v>-74.2</v>
      </c>
      <c r="H501" s="1214">
        <v>-67.8</v>
      </c>
      <c r="I501" s="1214">
        <v>6.6</v>
      </c>
      <c r="J501" s="1214">
        <v>-70</v>
      </c>
      <c r="K501" s="1214">
        <v>1.9</v>
      </c>
      <c r="L501" s="1214">
        <v>-46.2</v>
      </c>
      <c r="M501" s="171">
        <v>-59.1</v>
      </c>
      <c r="N501" s="1214">
        <v>10.199999999999999</v>
      </c>
      <c r="O501" s="1214">
        <v>-18.399999999999999</v>
      </c>
      <c r="P501" s="1214">
        <v>108.4</v>
      </c>
    </row>
    <row r="502" spans="3:29" hidden="1">
      <c r="C502" s="1144"/>
      <c r="D502" s="172" t="str">
        <f>IF(Indice_index!$Z$1=1,"junho","June")</f>
        <v>junho</v>
      </c>
      <c r="E502" s="1214">
        <v>-50.7</v>
      </c>
      <c r="F502" s="1214">
        <v>-17.5</v>
      </c>
      <c r="G502" s="1214">
        <v>24.5</v>
      </c>
      <c r="H502" s="1214">
        <v>-22.1</v>
      </c>
      <c r="I502" s="1214">
        <v>14.6</v>
      </c>
      <c r="J502" s="1214">
        <v>-58.7</v>
      </c>
      <c r="K502" s="1214">
        <v>-11.1</v>
      </c>
      <c r="L502" s="1214">
        <v>34.6</v>
      </c>
      <c r="M502" s="1214">
        <v>-34.5</v>
      </c>
      <c r="N502" s="1214">
        <v>14.9</v>
      </c>
      <c r="O502" s="1214">
        <v>-12.3</v>
      </c>
      <c r="P502" s="1214">
        <v>8.1999999999999993</v>
      </c>
    </row>
    <row r="503" spans="3:29" hidden="1">
      <c r="C503" s="1144"/>
      <c r="D503" s="172" t="str">
        <f>IF(Indice_index!$Z$1=1,"julho","July")</f>
        <v>julho</v>
      </c>
      <c r="E503" s="1214">
        <v>-26.5</v>
      </c>
      <c r="F503" s="1214">
        <v>14.7</v>
      </c>
      <c r="G503" s="1214">
        <v>-21.1</v>
      </c>
      <c r="H503" s="1214">
        <v>-20</v>
      </c>
      <c r="I503" s="1214">
        <v>1.2</v>
      </c>
      <c r="J503" s="1214">
        <v>-47.9</v>
      </c>
      <c r="K503" s="1214">
        <v>-2.4</v>
      </c>
      <c r="L503" s="1214">
        <v>-16.899999999999999</v>
      </c>
      <c r="M503" s="1214">
        <v>-33.6</v>
      </c>
      <c r="N503" s="1214">
        <v>3.8</v>
      </c>
      <c r="O503" s="1214">
        <v>-26.2</v>
      </c>
      <c r="P503" s="1214">
        <v>5.3</v>
      </c>
    </row>
    <row r="504" spans="3:29" hidden="1">
      <c r="C504" s="1144"/>
      <c r="D504" s="172" t="str">
        <f>IF(Indice_index!$Z$1=1,"agosto","August")</f>
        <v>agosto</v>
      </c>
      <c r="E504" s="1214">
        <v>-60.3</v>
      </c>
      <c r="F504" s="1214">
        <v>-7.2</v>
      </c>
      <c r="G504" s="1214">
        <v>-26.7</v>
      </c>
      <c r="H504" s="1214">
        <v>-44.4</v>
      </c>
      <c r="I504" s="1214">
        <v>-7.3</v>
      </c>
      <c r="J504" s="1214">
        <v>-39.4</v>
      </c>
      <c r="K504" s="1214">
        <v>-25.8</v>
      </c>
      <c r="L504" s="1214">
        <v>-26.8</v>
      </c>
      <c r="M504" s="1214">
        <v>-33.6</v>
      </c>
      <c r="N504" s="1214">
        <v>-0.3</v>
      </c>
      <c r="O504" s="1214">
        <v>37.9</v>
      </c>
      <c r="P504" s="1214">
        <v>0</v>
      </c>
    </row>
    <row r="505" spans="3:29" hidden="1">
      <c r="C505" s="1144"/>
      <c r="D505" s="172" t="str">
        <f>IF(Indice_index!$Z$1=1,"setembro","September")</f>
        <v>setembro</v>
      </c>
      <c r="E505" s="1214">
        <v>-42</v>
      </c>
      <c r="F505" s="1214">
        <v>7.1</v>
      </c>
      <c r="G505" s="1214">
        <v>-13.5</v>
      </c>
      <c r="H505" s="1214">
        <v>-26</v>
      </c>
      <c r="I505" s="1214">
        <v>1.4</v>
      </c>
      <c r="J505" s="1214">
        <v>-43.6</v>
      </c>
      <c r="K505" s="1214">
        <v>2.7</v>
      </c>
      <c r="L505" s="1214">
        <v>-14.1</v>
      </c>
      <c r="M505" s="1214">
        <v>-31.2</v>
      </c>
      <c r="N505" s="1214">
        <v>-1.1000000000000001</v>
      </c>
      <c r="O505" s="1214">
        <v>-4</v>
      </c>
      <c r="P505" s="1214">
        <v>-0.7</v>
      </c>
    </row>
    <row r="506" spans="3:29" hidden="1">
      <c r="C506" s="1144"/>
      <c r="D506" s="172" t="str">
        <f>IF(Indice_index!$Z$1=1,"outubro","October")</f>
        <v>outubro</v>
      </c>
      <c r="E506" s="1214">
        <v>-33.6</v>
      </c>
      <c r="F506" s="1214">
        <v>-7.6</v>
      </c>
      <c r="G506" s="1214">
        <v>-10.199999999999999</v>
      </c>
      <c r="H506" s="1214">
        <v>-22.3</v>
      </c>
      <c r="I506" s="1214">
        <v>10.5</v>
      </c>
      <c r="J506" s="1214">
        <v>-33</v>
      </c>
      <c r="K506" s="1214">
        <v>-28.7</v>
      </c>
      <c r="L506" s="1214">
        <v>-10.6</v>
      </c>
      <c r="M506" s="1214">
        <v>-27.1</v>
      </c>
      <c r="N506" s="1214">
        <v>14.1</v>
      </c>
      <c r="O506" s="1214">
        <v>-3.9</v>
      </c>
      <c r="P506" s="1214">
        <v>-0.4</v>
      </c>
    </row>
    <row r="507" spans="3:29" s="171" customFormat="1" hidden="1">
      <c r="C507" s="1144"/>
      <c r="D507" s="172" t="str">
        <f>IF(Indice_index!$Z$1=1,"novembro","November")</f>
        <v>novembro</v>
      </c>
      <c r="E507" s="1214">
        <v>-30.3</v>
      </c>
      <c r="F507" s="1214">
        <v>-2.4</v>
      </c>
      <c r="G507" s="1214">
        <v>0.9</v>
      </c>
      <c r="H507" s="1214">
        <v>-12.8</v>
      </c>
      <c r="I507" s="1214">
        <v>-2.9</v>
      </c>
      <c r="J507" s="1214">
        <v>-39.700000000000003</v>
      </c>
      <c r="K507" s="1214">
        <v>-7.3</v>
      </c>
      <c r="L507" s="1214">
        <v>-4.3</v>
      </c>
      <c r="M507" s="1214">
        <v>-25.1</v>
      </c>
      <c r="N507" s="1214">
        <v>-3.8</v>
      </c>
      <c r="O507" s="1214">
        <v>-12.6</v>
      </c>
      <c r="P507" s="1214">
        <v>-5.2</v>
      </c>
      <c r="X507" s="161"/>
      <c r="Y507" s="161"/>
      <c r="Z507" s="161"/>
      <c r="AA507" s="172"/>
    </row>
    <row r="508" spans="3:29" s="171" customFormat="1" hidden="1">
      <c r="C508" s="1144"/>
      <c r="D508" s="172" t="str">
        <f>IF(Indice_index!$Z$1=1,"dezembro","December")</f>
        <v>dezembro</v>
      </c>
      <c r="E508" s="1214">
        <v>-2</v>
      </c>
      <c r="F508" s="1214">
        <v>-5.4</v>
      </c>
      <c r="G508" s="1214">
        <v>-9.6</v>
      </c>
      <c r="H508" s="1214">
        <v>-5.9</v>
      </c>
      <c r="I508" s="1214">
        <v>8.3000000000000007</v>
      </c>
      <c r="J508" s="1214">
        <v>-1.3</v>
      </c>
      <c r="K508" s="1214">
        <v>-28.8</v>
      </c>
      <c r="L508" s="1214">
        <v>-5.6</v>
      </c>
      <c r="M508" s="1214">
        <v>-7.5</v>
      </c>
      <c r="N508" s="1214">
        <v>10.5</v>
      </c>
      <c r="O508" s="1214">
        <v>-5.7</v>
      </c>
      <c r="P508" s="1214">
        <v>4.5</v>
      </c>
      <c r="X508" s="161"/>
      <c r="Y508" s="161"/>
      <c r="Z508" s="161"/>
      <c r="AA508" s="172"/>
    </row>
    <row r="509" spans="3:29" hidden="1">
      <c r="C509" s="1217">
        <v>2017</v>
      </c>
      <c r="D509" s="171"/>
      <c r="E509" s="1214"/>
      <c r="F509" s="1214"/>
      <c r="G509" s="1214"/>
      <c r="H509" s="1214"/>
      <c r="I509" s="1214"/>
      <c r="J509" s="1214"/>
      <c r="K509" s="1214"/>
      <c r="L509" s="1214"/>
      <c r="N509" s="1214"/>
      <c r="O509" s="1214"/>
      <c r="P509" s="1214"/>
    </row>
    <row r="510" spans="3:29" s="171" customFormat="1" ht="10.5" hidden="1">
      <c r="C510" s="1144"/>
      <c r="D510" s="172" t="str">
        <f>IF(Indice_index!$Z$1=1,"janeiro","January")</f>
        <v>janeiro</v>
      </c>
      <c r="E510" s="1214">
        <v>35.299999999999997</v>
      </c>
      <c r="F510" s="1214">
        <v>22.8</v>
      </c>
      <c r="G510" s="1214">
        <v>7.6</v>
      </c>
      <c r="H510" s="1214">
        <v>21.9</v>
      </c>
      <c r="I510" s="1214">
        <v>8.8000000000000007</v>
      </c>
      <c r="J510" s="1214">
        <v>4</v>
      </c>
      <c r="K510" s="1214">
        <v>14.1</v>
      </c>
      <c r="L510" s="1214">
        <v>3.5</v>
      </c>
      <c r="M510" s="1214">
        <v>5.0999999999999996</v>
      </c>
      <c r="N510" s="1214">
        <v>4.8</v>
      </c>
      <c r="O510" s="1214">
        <v>-20.6</v>
      </c>
      <c r="P510" s="1214">
        <v>-3.9</v>
      </c>
      <c r="R510" s="229"/>
      <c r="S510" s="229"/>
      <c r="T510" s="229"/>
      <c r="U510" s="229"/>
      <c r="V510" s="229"/>
      <c r="W510" s="229"/>
      <c r="X510" s="229"/>
      <c r="Y510" s="229"/>
      <c r="Z510" s="229"/>
      <c r="AA510" s="229"/>
      <c r="AB510" s="229"/>
      <c r="AC510" s="229"/>
    </row>
    <row r="511" spans="3:29" s="171" customFormat="1" ht="10.5" hidden="1">
      <c r="C511" s="1144"/>
      <c r="D511" s="172" t="str">
        <f>IF(Indice_index!$Z$1=1,"fevereiro","February")</f>
        <v>fevereiro</v>
      </c>
      <c r="E511" s="1214">
        <v>-5.8</v>
      </c>
      <c r="F511" s="1214">
        <v>56.8</v>
      </c>
      <c r="G511" s="1214">
        <v>24.3</v>
      </c>
      <c r="H511" s="1214">
        <v>12.3</v>
      </c>
      <c r="I511" s="1214">
        <v>36.1</v>
      </c>
      <c r="J511" s="1214">
        <v>0.9</v>
      </c>
      <c r="K511" s="1214">
        <v>37.299999999999997</v>
      </c>
      <c r="L511" s="1214">
        <v>32.200000000000003</v>
      </c>
      <c r="M511" s="1214">
        <v>14.1</v>
      </c>
      <c r="N511" s="1214">
        <v>38</v>
      </c>
      <c r="O511" s="1214">
        <v>4.4000000000000004</v>
      </c>
      <c r="P511" s="1214">
        <v>6.3</v>
      </c>
      <c r="R511" s="229"/>
      <c r="S511" s="229"/>
      <c r="T511" s="229"/>
      <c r="U511" s="229"/>
      <c r="V511" s="229"/>
      <c r="W511" s="229"/>
      <c r="X511" s="229"/>
      <c r="Y511" s="229"/>
      <c r="Z511" s="229"/>
      <c r="AA511" s="229"/>
      <c r="AB511" s="229"/>
      <c r="AC511" s="229"/>
    </row>
    <row r="512" spans="3:29" s="171" customFormat="1" ht="10.5" hidden="1">
      <c r="C512" s="1144"/>
      <c r="D512" s="172" t="str">
        <f>IF(Indice_index!$Z$1=1,"março","March")</f>
        <v>março</v>
      </c>
      <c r="E512" s="1214">
        <v>-49.7</v>
      </c>
      <c r="F512" s="1214">
        <v>4.2</v>
      </c>
      <c r="G512" s="1214">
        <v>35.6</v>
      </c>
      <c r="H512" s="1214">
        <v>-8.1999999999999993</v>
      </c>
      <c r="I512" s="1214">
        <v>17.5</v>
      </c>
      <c r="J512" s="1214">
        <v>-48</v>
      </c>
      <c r="K512" s="1214">
        <v>-2</v>
      </c>
      <c r="L512" s="1214">
        <v>32.299999999999997</v>
      </c>
      <c r="M512" s="1214">
        <v>-20</v>
      </c>
      <c r="N512" s="1214">
        <v>16.3</v>
      </c>
      <c r="O512" s="1214">
        <v>2.1</v>
      </c>
      <c r="P512" s="1214">
        <v>-2.4</v>
      </c>
      <c r="R512" s="229"/>
      <c r="S512" s="229"/>
      <c r="T512" s="229"/>
      <c r="U512" s="229"/>
      <c r="V512" s="229"/>
      <c r="W512" s="229"/>
      <c r="X512" s="229"/>
      <c r="Y512" s="229"/>
      <c r="Z512" s="229"/>
      <c r="AA512" s="229"/>
      <c r="AB512" s="229"/>
      <c r="AC512" s="229"/>
    </row>
    <row r="513" spans="3:29" ht="10.5" hidden="1">
      <c r="C513" s="1144"/>
      <c r="D513" s="172" t="str">
        <f>IF(Indice_index!$Z$1=1,"abril","April")</f>
        <v>abril</v>
      </c>
      <c r="E513" s="1214">
        <v>-32</v>
      </c>
      <c r="F513" s="1214">
        <v>8.3000000000000007</v>
      </c>
      <c r="G513" s="1214">
        <v>1.2</v>
      </c>
      <c r="H513" s="1214">
        <v>-13.3</v>
      </c>
      <c r="I513" s="1214">
        <v>5.5</v>
      </c>
      <c r="J513" s="1214">
        <v>-8.5</v>
      </c>
      <c r="K513" s="1214">
        <v>-1.7</v>
      </c>
      <c r="L513" s="1214">
        <v>3</v>
      </c>
      <c r="M513" s="1214">
        <v>-3.9</v>
      </c>
      <c r="N513" s="1214">
        <v>2.1</v>
      </c>
      <c r="O513" s="1214">
        <v>24.9</v>
      </c>
      <c r="P513" s="1214">
        <v>1.7</v>
      </c>
      <c r="X513" s="229"/>
      <c r="Y513" s="229"/>
      <c r="Z513" s="229"/>
      <c r="AA513" s="229"/>
    </row>
    <row r="514" spans="3:29" ht="10.5" hidden="1">
      <c r="C514" s="1144"/>
      <c r="D514" s="172" t="str">
        <f>IF(Indice_index!$Z$1=1,"maio","May")</f>
        <v>maio</v>
      </c>
      <c r="E514" s="1214">
        <v>45.7</v>
      </c>
      <c r="F514" s="1214">
        <v>7.9</v>
      </c>
      <c r="G514" s="1214">
        <v>-5.7</v>
      </c>
      <c r="H514" s="1214">
        <v>15.8</v>
      </c>
      <c r="I514" s="1214">
        <v>-15.6</v>
      </c>
      <c r="J514" s="1214">
        <v>151.80000000000001</v>
      </c>
      <c r="K514" s="1214">
        <v>8.6</v>
      </c>
      <c r="L514" s="1214">
        <v>-1</v>
      </c>
      <c r="M514" s="1214">
        <v>74.2</v>
      </c>
      <c r="N514" s="1214">
        <v>-17.3</v>
      </c>
      <c r="O514" s="1214">
        <v>58.4</v>
      </c>
      <c r="P514" s="1214">
        <v>4.9000000000000004</v>
      </c>
      <c r="X514" s="229"/>
      <c r="Y514" s="229"/>
      <c r="Z514" s="229"/>
      <c r="AA514" s="229"/>
    </row>
    <row r="515" spans="3:29" ht="10.5" hidden="1">
      <c r="C515" s="1144"/>
      <c r="D515" s="172" t="str">
        <f>IF(Indice_index!$Z$1=1,"junho","June")</f>
        <v>junho</v>
      </c>
      <c r="E515" s="1214">
        <v>73.900000000000006</v>
      </c>
      <c r="F515" s="1214">
        <v>-6</v>
      </c>
      <c r="G515" s="1214">
        <v>-8.6</v>
      </c>
      <c r="H515" s="1214">
        <v>21.6</v>
      </c>
      <c r="I515" s="1214">
        <v>-3.2</v>
      </c>
      <c r="J515" s="1214">
        <v>153.9</v>
      </c>
      <c r="K515" s="1214">
        <v>19</v>
      </c>
      <c r="L515" s="1214">
        <v>-6.8</v>
      </c>
      <c r="M515" s="1214">
        <v>66.900000000000006</v>
      </c>
      <c r="N515" s="1214">
        <v>-0.3</v>
      </c>
      <c r="O515" s="1214">
        <v>41.3</v>
      </c>
      <c r="P515" s="1214">
        <v>2</v>
      </c>
      <c r="X515" s="229"/>
      <c r="Y515" s="229"/>
      <c r="Z515" s="229"/>
      <c r="AA515" s="229"/>
    </row>
    <row r="516" spans="3:29" ht="10.5" hidden="1">
      <c r="C516" s="1144"/>
      <c r="D516" s="172" t="str">
        <f>IF(Indice_index!$Z$1=1,"julho","July")</f>
        <v>julho</v>
      </c>
      <c r="E516" s="1214">
        <v>183.6</v>
      </c>
      <c r="F516" s="1214">
        <v>-3.5</v>
      </c>
      <c r="G516" s="1214">
        <v>-12</v>
      </c>
      <c r="H516" s="1214">
        <v>63.1</v>
      </c>
      <c r="I516" s="1214">
        <v>3.2</v>
      </c>
      <c r="J516" s="1214">
        <v>275.2</v>
      </c>
      <c r="K516" s="1214">
        <v>-0.9</v>
      </c>
      <c r="L516" s="1214">
        <v>-4.5</v>
      </c>
      <c r="M516" s="1214">
        <v>126.4</v>
      </c>
      <c r="N516" s="1214">
        <v>0.3</v>
      </c>
      <c r="O516" s="1214">
        <v>27</v>
      </c>
      <c r="P516" s="1214">
        <v>8.5</v>
      </c>
      <c r="X516" s="229"/>
      <c r="Y516" s="229"/>
      <c r="Z516" s="229"/>
      <c r="AA516" s="229"/>
    </row>
    <row r="517" spans="3:29" ht="10.5" hidden="1">
      <c r="C517" s="1144"/>
      <c r="D517" s="172" t="str">
        <f>IF(Indice_index!$Z$1=1,"agosto","August")</f>
        <v>agosto</v>
      </c>
      <c r="E517" s="1214">
        <v>153.9</v>
      </c>
      <c r="F517" s="1214">
        <v>-32.299999999999997</v>
      </c>
      <c r="G517" s="1214">
        <v>1.4</v>
      </c>
      <c r="H517" s="1214">
        <v>59.2</v>
      </c>
      <c r="I517" s="1214">
        <v>9.1999999999999993</v>
      </c>
      <c r="J517" s="1214">
        <v>201.8</v>
      </c>
      <c r="K517" s="1214">
        <v>-24.7</v>
      </c>
      <c r="L517" s="1214">
        <v>9.9</v>
      </c>
      <c r="M517" s="1214">
        <v>99.5</v>
      </c>
      <c r="N517" s="1214">
        <v>-7.5</v>
      </c>
      <c r="O517" s="1214">
        <v>15.3</v>
      </c>
      <c r="P517" s="1214">
        <v>8.3000000000000007</v>
      </c>
      <c r="X517" s="229"/>
      <c r="Y517" s="229"/>
      <c r="Z517" s="229"/>
      <c r="AA517" s="229"/>
    </row>
    <row r="518" spans="3:29" s="171" customFormat="1" ht="10.5" hidden="1">
      <c r="C518" s="1144"/>
      <c r="D518" s="172" t="str">
        <f>IF(Indice_index!$Z$1=1,"setembro","September")</f>
        <v>setembro</v>
      </c>
      <c r="E518" s="1214">
        <v>66.7</v>
      </c>
      <c r="F518" s="1214">
        <v>-8.6</v>
      </c>
      <c r="G518" s="1214">
        <v>0.2</v>
      </c>
      <c r="H518" s="1214">
        <v>25.5</v>
      </c>
      <c r="I518" s="1214">
        <v>-4.2</v>
      </c>
      <c r="J518" s="1214">
        <v>136.30000000000001</v>
      </c>
      <c r="K518" s="1214">
        <v>-0.9</v>
      </c>
      <c r="L518" s="1214">
        <v>-4.7</v>
      </c>
      <c r="M518" s="1214">
        <v>70.3</v>
      </c>
      <c r="N518" s="1214">
        <v>-2.6</v>
      </c>
      <c r="O518" s="1214">
        <v>38.200000000000003</v>
      </c>
      <c r="P518" s="1214">
        <v>-4.8</v>
      </c>
      <c r="R518" s="229"/>
      <c r="S518" s="229"/>
      <c r="T518" s="229"/>
      <c r="U518" s="229"/>
      <c r="V518" s="229"/>
      <c r="W518" s="229"/>
      <c r="X518" s="229"/>
      <c r="Y518" s="229"/>
      <c r="Z518" s="229"/>
      <c r="AA518" s="229"/>
      <c r="AB518" s="229"/>
      <c r="AC518" s="229"/>
    </row>
    <row r="519" spans="3:29" s="171" customFormat="1" ht="10.5" hidden="1">
      <c r="C519" s="1144"/>
      <c r="D519" s="172" t="str">
        <f>IF(Indice_index!$Z$1=1,"outubro","October")</f>
        <v>outubro</v>
      </c>
      <c r="E519" s="1214">
        <v>93.3</v>
      </c>
      <c r="F519" s="1214">
        <v>-54.1</v>
      </c>
      <c r="G519" s="1214">
        <v>718.7</v>
      </c>
      <c r="H519" s="1214">
        <v>339.5</v>
      </c>
      <c r="I519" s="1214">
        <v>-6.3</v>
      </c>
      <c r="J519" s="1214">
        <v>164.7</v>
      </c>
      <c r="K519" s="1214">
        <v>-41.9</v>
      </c>
      <c r="L519" s="1214">
        <v>260.2</v>
      </c>
      <c r="M519" s="1214">
        <v>158.6</v>
      </c>
      <c r="N519" s="1214">
        <v>-3.3</v>
      </c>
      <c r="O519" s="1214">
        <v>35.5</v>
      </c>
      <c r="P519" s="1214">
        <v>-56</v>
      </c>
      <c r="R519" s="229"/>
      <c r="S519" s="229"/>
      <c r="T519" s="229"/>
      <c r="U519" s="229"/>
      <c r="V519" s="229"/>
      <c r="W519" s="229"/>
      <c r="X519" s="229"/>
      <c r="Y519" s="229"/>
      <c r="Z519" s="229"/>
      <c r="AA519" s="229"/>
      <c r="AB519" s="229"/>
      <c r="AC519" s="229"/>
    </row>
    <row r="520" spans="3:29" s="171" customFormat="1" ht="10.5" hidden="1">
      <c r="C520" s="1144"/>
      <c r="D520" s="172" t="str">
        <f>IF(Indice_index!$Z$1=1,"novembro","November")</f>
        <v>novembro</v>
      </c>
      <c r="E520" s="1214">
        <v>157.80000000000001</v>
      </c>
      <c r="F520" s="1214">
        <v>101.3</v>
      </c>
      <c r="G520" s="1214">
        <v>-7.4</v>
      </c>
      <c r="H520" s="1214">
        <v>56.3</v>
      </c>
      <c r="I520" s="1214">
        <v>3.5</v>
      </c>
      <c r="J520" s="1214">
        <v>362.3</v>
      </c>
      <c r="K520" s="1214">
        <v>113.8</v>
      </c>
      <c r="L520" s="1214">
        <v>-7.5</v>
      </c>
      <c r="M520" s="1214">
        <v>176</v>
      </c>
      <c r="N520" s="1214">
        <v>16.5</v>
      </c>
      <c r="O520" s="1214">
        <v>70.400000000000006</v>
      </c>
      <c r="P520" s="1214">
        <v>-0.2</v>
      </c>
      <c r="R520" s="229"/>
      <c r="S520" s="229"/>
      <c r="T520" s="229"/>
      <c r="U520" s="229"/>
      <c r="V520" s="229"/>
      <c r="W520" s="229"/>
      <c r="X520" s="229"/>
      <c r="Y520" s="229"/>
      <c r="Z520" s="229"/>
      <c r="AA520" s="229"/>
      <c r="AB520" s="229"/>
      <c r="AC520" s="229"/>
    </row>
    <row r="521" spans="3:29" s="171" customFormat="1" ht="10.5" hidden="1">
      <c r="C521" s="1144"/>
      <c r="D521" s="172" t="str">
        <f>IF(Indice_index!$Z$1=1,"dezembro","December")</f>
        <v>dezembro</v>
      </c>
      <c r="E521" s="1214">
        <v>10.1</v>
      </c>
      <c r="F521" s="1214">
        <v>5.0999999999999996</v>
      </c>
      <c r="G521" s="1214">
        <v>30.9</v>
      </c>
      <c r="H521" s="1214">
        <v>18.8</v>
      </c>
      <c r="I521" s="1214">
        <v>7</v>
      </c>
      <c r="J521" s="1214">
        <v>25.3</v>
      </c>
      <c r="K521" s="1214">
        <v>-2.6</v>
      </c>
      <c r="L521" s="1214">
        <v>39.200000000000003</v>
      </c>
      <c r="M521" s="1214">
        <v>25.4</v>
      </c>
      <c r="N521" s="1214">
        <v>4.7</v>
      </c>
      <c r="O521" s="1214">
        <v>9.9</v>
      </c>
      <c r="P521" s="1214">
        <v>6.3</v>
      </c>
      <c r="R521" s="229"/>
      <c r="S521" s="229"/>
      <c r="T521" s="229"/>
      <c r="U521" s="229"/>
      <c r="V521" s="229"/>
      <c r="W521" s="229"/>
      <c r="X521" s="229"/>
      <c r="Y521" s="229"/>
      <c r="Z521" s="229"/>
      <c r="AA521" s="229"/>
      <c r="AB521" s="229"/>
      <c r="AC521" s="229"/>
    </row>
    <row r="522" spans="3:29" ht="15" hidden="1" customHeight="1">
      <c r="C522" s="1217">
        <v>2018</v>
      </c>
      <c r="D522" s="171"/>
      <c r="E522" s="1214"/>
      <c r="F522" s="1214"/>
      <c r="G522" s="1214"/>
      <c r="H522" s="1214"/>
      <c r="I522" s="1214"/>
      <c r="J522" s="1214"/>
      <c r="K522" s="1214"/>
      <c r="L522" s="1214"/>
      <c r="N522" s="1214"/>
      <c r="O522" s="1214"/>
      <c r="P522" s="1214"/>
    </row>
    <row r="523" spans="3:29" s="171" customFormat="1" ht="15" hidden="1" customHeight="1">
      <c r="C523" s="1144"/>
      <c r="D523" s="172" t="str">
        <f>IF(Indice_index!$Z$1=1,"janeiro","January")</f>
        <v>janeiro</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144"/>
      <c r="D524" s="172" t="str">
        <f>IF(Indice_index!$Z$1=1,"fevereiro","February")</f>
        <v>fevereiro</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144"/>
      <c r="D525" s="172" t="str">
        <f>IF(Indice_index!$Z$1=1,"março","March")</f>
        <v>março</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144"/>
      <c r="D526" s="172" t="str">
        <f>IF(Indice_index!$Z$1=1,"abril","April")</f>
        <v>abril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144"/>
      <c r="D527" s="172" t="str">
        <f>IF(Indice_index!$Z$1=1,"maio","May")</f>
        <v>maio</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144"/>
      <c r="D528" s="172" t="str">
        <f>IF(Indice_index!$Z$1=1,"junho","June")</f>
        <v>junho</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144"/>
      <c r="D529" s="172" t="str">
        <f>IF(Indice_index!$Z$1=1,"julho","July")</f>
        <v>julho</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144"/>
      <c r="D530" s="172" t="str">
        <f>IF(Indice_index!$Z$1=1,"agosto","August")</f>
        <v>agosto</v>
      </c>
      <c r="E530" s="1214">
        <v>-36.700000000000003</v>
      </c>
      <c r="F530" s="1214">
        <v>-12.4</v>
      </c>
      <c r="G530" s="1214">
        <v>1.6</v>
      </c>
      <c r="H530" s="1214">
        <v>-24.2</v>
      </c>
      <c r="I530" s="1214">
        <v>-4.7</v>
      </c>
      <c r="J530" s="1214">
        <v>-15.9</v>
      </c>
      <c r="K530" s="1214">
        <v>-1.5</v>
      </c>
      <c r="L530" s="1214">
        <v>-0.1</v>
      </c>
      <c r="M530" s="1214">
        <v>-12.2</v>
      </c>
      <c r="N530" s="1214">
        <v>9</v>
      </c>
      <c r="O530" s="1214">
        <v>30.7</v>
      </c>
      <c r="P530" s="1214">
        <v>-1.6</v>
      </c>
      <c r="R530" s="230"/>
      <c r="S530" s="230"/>
      <c r="T530" s="230"/>
      <c r="U530" s="230"/>
      <c r="V530" s="230"/>
      <c r="W530" s="230"/>
      <c r="X530" s="230"/>
      <c r="Y530" s="230"/>
      <c r="Z530" s="230"/>
      <c r="AA530" s="230"/>
      <c r="AB530" s="230"/>
      <c r="AC530" s="230"/>
    </row>
    <row r="531" spans="3:29" s="171" customFormat="1" ht="15" hidden="1" customHeight="1">
      <c r="C531" s="1144"/>
      <c r="D531" s="172" t="str">
        <f>IF(Indice_index!$Z$1=1,"setembro","September")</f>
        <v>setembro</v>
      </c>
      <c r="E531" s="1214">
        <v>-4</v>
      </c>
      <c r="F531" s="1214">
        <v>-22.8</v>
      </c>
      <c r="G531" s="1214">
        <v>-2</v>
      </c>
      <c r="H531" s="1214">
        <v>-5.2</v>
      </c>
      <c r="I531" s="1214">
        <v>8.1</v>
      </c>
      <c r="J531" s="1214">
        <v>-12.1</v>
      </c>
      <c r="K531" s="1214">
        <v>-27.4</v>
      </c>
      <c r="L531" s="1214">
        <v>2.9</v>
      </c>
      <c r="M531" s="1214">
        <v>-11</v>
      </c>
      <c r="N531" s="1214">
        <v>11</v>
      </c>
      <c r="O531" s="1214">
        <v>-7.4</v>
      </c>
      <c r="P531" s="1214">
        <v>5</v>
      </c>
      <c r="R531" s="230"/>
      <c r="S531" s="230"/>
      <c r="T531" s="230"/>
      <c r="U531" s="230"/>
      <c r="V531" s="230"/>
      <c r="W531" s="230"/>
      <c r="X531" s="230"/>
      <c r="Y531" s="230"/>
      <c r="Z531" s="230"/>
      <c r="AA531" s="230"/>
      <c r="AB531" s="230"/>
      <c r="AC531" s="230"/>
    </row>
    <row r="532" spans="3:29" s="171" customFormat="1" ht="15" hidden="1" customHeight="1">
      <c r="C532" s="1144"/>
      <c r="D532" s="172" t="str">
        <f>IF(Indice_index!$Z$1=1,"outubro","October")</f>
        <v>outubro</v>
      </c>
      <c r="E532" s="1214">
        <v>-41.1</v>
      </c>
      <c r="F532" s="1214">
        <v>34.299999999999997</v>
      </c>
      <c r="G532" s="1214">
        <v>-86.3</v>
      </c>
      <c r="H532" s="1214">
        <v>-75.8</v>
      </c>
      <c r="I532" s="1214">
        <v>16.7</v>
      </c>
      <c r="J532" s="1214">
        <v>-33.1</v>
      </c>
      <c r="K532" s="1214">
        <v>35.4</v>
      </c>
      <c r="L532" s="1214">
        <v>-66.5</v>
      </c>
      <c r="M532" s="1214">
        <v>-43.8</v>
      </c>
      <c r="N532" s="1214">
        <v>20.8</v>
      </c>
      <c r="O532" s="1214">
        <v>11.8</v>
      </c>
      <c r="P532" s="1214">
        <v>145.30000000000001</v>
      </c>
      <c r="R532" s="230"/>
      <c r="S532" s="230"/>
      <c r="T532" s="230"/>
      <c r="U532" s="230"/>
      <c r="V532" s="230"/>
      <c r="W532" s="230"/>
      <c r="X532" s="230"/>
      <c r="Y532" s="230"/>
      <c r="Z532" s="230"/>
      <c r="AA532" s="230"/>
      <c r="AB532" s="230"/>
      <c r="AC532" s="230"/>
    </row>
    <row r="533" spans="3:29" s="171" customFormat="1" ht="15" hidden="1" customHeight="1">
      <c r="C533" s="1144"/>
      <c r="D533" s="172" t="str">
        <f>IF(Indice_index!$Z$1=1,"novembro","November")</f>
        <v>novembro</v>
      </c>
      <c r="E533" s="1214">
        <v>-37.799999999999997</v>
      </c>
      <c r="F533" s="1214">
        <v>-16.8</v>
      </c>
      <c r="G533" s="1214">
        <v>28.3</v>
      </c>
      <c r="H533" s="1214">
        <v>-12.9</v>
      </c>
      <c r="I533" s="1214">
        <v>0</v>
      </c>
      <c r="J533" s="1214">
        <v>-51.6</v>
      </c>
      <c r="K533" s="1214">
        <v>-1</v>
      </c>
      <c r="L533" s="1214">
        <v>46.7</v>
      </c>
      <c r="M533" s="1214">
        <v>-33.6</v>
      </c>
      <c r="N533" s="1214">
        <v>1.3</v>
      </c>
      <c r="O533" s="1214">
        <v>-19.3</v>
      </c>
      <c r="P533" s="1214">
        <v>14.3</v>
      </c>
      <c r="R533" s="230"/>
      <c r="S533" s="230"/>
      <c r="T533" s="230"/>
      <c r="U533" s="230"/>
      <c r="V533" s="230"/>
      <c r="W533" s="230"/>
      <c r="X533" s="230"/>
      <c r="Y533" s="230"/>
      <c r="Z533" s="230"/>
      <c r="AA533" s="230"/>
      <c r="AB533" s="230"/>
      <c r="AC533" s="230"/>
    </row>
    <row r="534" spans="3:29" s="171" customFormat="1" ht="15" hidden="1" customHeight="1">
      <c r="C534" s="1144"/>
      <c r="D534" s="172" t="str">
        <f>IF(Indice_index!$Z$1=1,"dezembro","December")</f>
        <v>dezembro</v>
      </c>
      <c r="E534" s="1214">
        <v>25.5</v>
      </c>
      <c r="F534" s="1214">
        <v>18.5</v>
      </c>
      <c r="G534" s="1214">
        <v>-2.5</v>
      </c>
      <c r="H534" s="1214">
        <v>11</v>
      </c>
      <c r="I534" s="1214">
        <v>-6.5</v>
      </c>
      <c r="J534" s="1214">
        <v>63</v>
      </c>
      <c r="K534" s="1214">
        <v>51.5</v>
      </c>
      <c r="L534" s="1214">
        <v>5.5</v>
      </c>
      <c r="M534" s="1214">
        <v>43.3</v>
      </c>
      <c r="N534" s="1214">
        <v>-3.6</v>
      </c>
      <c r="O534" s="1214">
        <v>37.5</v>
      </c>
      <c r="P534" s="1214">
        <v>8.1</v>
      </c>
      <c r="R534" s="230"/>
      <c r="S534" s="230"/>
      <c r="T534" s="230"/>
      <c r="U534" s="230"/>
      <c r="V534" s="230"/>
      <c r="W534" s="230"/>
      <c r="X534" s="230"/>
      <c r="Y534" s="230"/>
      <c r="Z534" s="230"/>
      <c r="AA534" s="230"/>
      <c r="AB534" s="230"/>
      <c r="AC534" s="230"/>
    </row>
    <row r="535" spans="3:29" ht="15" customHeight="1">
      <c r="C535" s="1217">
        <v>2019</v>
      </c>
      <c r="D535" s="171"/>
      <c r="E535" s="1214"/>
      <c r="F535" s="1214"/>
      <c r="G535" s="1214"/>
      <c r="H535" s="1214"/>
      <c r="I535" s="1214"/>
      <c r="J535" s="1214"/>
      <c r="K535" s="1214"/>
      <c r="L535" s="1214"/>
      <c r="N535" s="1214"/>
      <c r="O535" s="1214"/>
      <c r="P535" s="1214"/>
      <c r="R535" s="230"/>
      <c r="S535" s="230"/>
      <c r="T535" s="230"/>
      <c r="U535" s="230"/>
      <c r="V535" s="230"/>
      <c r="W535" s="230"/>
      <c r="X535" s="230"/>
      <c r="Y535" s="230"/>
      <c r="Z535" s="230"/>
      <c r="AA535" s="230"/>
      <c r="AB535" s="230"/>
      <c r="AC535" s="230"/>
    </row>
    <row r="536" spans="3:29" s="171" customFormat="1" ht="15" customHeight="1">
      <c r="C536" s="1144"/>
      <c r="D536" s="172" t="str">
        <f>IF(Indice_index!$Z$1=1,"janeiro","January")</f>
        <v>janeiro</v>
      </c>
      <c r="E536" s="1260">
        <v>13.6</v>
      </c>
      <c r="F536" s="1260">
        <v>40</v>
      </c>
      <c r="G536" s="1260">
        <v>36.4</v>
      </c>
      <c r="H536" s="1260">
        <v>25.2</v>
      </c>
      <c r="I536" s="1260">
        <v>3.7</v>
      </c>
      <c r="J536" s="1260">
        <v>67.8</v>
      </c>
      <c r="K536" s="1260">
        <v>44.8</v>
      </c>
      <c r="L536" s="1260">
        <v>36.6</v>
      </c>
      <c r="M536" s="1260">
        <v>56.7</v>
      </c>
      <c r="N536" s="1260">
        <v>0</v>
      </c>
      <c r="O536" s="1260">
        <v>39.700000000000003</v>
      </c>
      <c r="P536" s="1260">
        <v>0.1</v>
      </c>
      <c r="R536" s="230"/>
      <c r="S536" s="230"/>
      <c r="T536" s="230"/>
      <c r="U536" s="230"/>
      <c r="V536" s="230"/>
      <c r="W536" s="230"/>
      <c r="X536" s="230"/>
      <c r="Y536" s="230"/>
      <c r="Z536" s="230"/>
      <c r="AA536" s="230"/>
      <c r="AB536" s="230"/>
      <c r="AC536" s="230"/>
    </row>
    <row r="537" spans="3:29" s="171" customFormat="1" ht="15" customHeight="1">
      <c r="C537" s="1144"/>
      <c r="D537" s="172" t="str">
        <f>IF(Indice_index!$Z$1=1,"fevereiro","February")</f>
        <v>fevereiro</v>
      </c>
      <c r="E537" s="1260">
        <v>-7.5</v>
      </c>
      <c r="F537" s="1260">
        <v>102.4</v>
      </c>
      <c r="G537" s="1260">
        <v>32.799999999999997</v>
      </c>
      <c r="H537" s="1260">
        <v>16.8</v>
      </c>
      <c r="I537" s="1260">
        <v>-8.3000000000000007</v>
      </c>
      <c r="J537" s="1260">
        <v>-17.600000000000001</v>
      </c>
      <c r="K537" s="1260">
        <v>100.1</v>
      </c>
      <c r="L537" s="1260">
        <v>40.700000000000003</v>
      </c>
      <c r="M537" s="1260">
        <v>4.4000000000000004</v>
      </c>
      <c r="N537" s="1260">
        <v>-3.3</v>
      </c>
      <c r="O537" s="1260">
        <v>-10.8</v>
      </c>
      <c r="P537" s="1260">
        <v>6</v>
      </c>
      <c r="R537" s="230"/>
      <c r="S537" s="230"/>
      <c r="T537" s="230"/>
      <c r="U537" s="230"/>
      <c r="V537" s="230"/>
      <c r="W537" s="230"/>
      <c r="X537" s="230"/>
      <c r="Y537" s="230"/>
      <c r="Z537" s="230"/>
      <c r="AA537" s="230"/>
      <c r="AB537" s="230"/>
      <c r="AC537" s="230"/>
    </row>
    <row r="538" spans="3:29" s="171" customFormat="1" ht="15" customHeight="1">
      <c r="C538" s="1144"/>
      <c r="D538" s="172" t="str">
        <f>IF(Indice_index!$Z$1=1,"março","March")</f>
        <v>março</v>
      </c>
      <c r="E538" s="1260">
        <v>-23.2</v>
      </c>
      <c r="F538" s="1260">
        <v>50.6</v>
      </c>
      <c r="G538" s="1260">
        <v>49.4</v>
      </c>
      <c r="H538" s="1260">
        <v>15.9</v>
      </c>
      <c r="I538" s="1260">
        <v>15.2</v>
      </c>
      <c r="J538" s="1260">
        <v>-21</v>
      </c>
      <c r="K538" s="1260">
        <v>70.3</v>
      </c>
      <c r="L538" s="1260">
        <v>47.7</v>
      </c>
      <c r="M538" s="1260">
        <v>5.9</v>
      </c>
      <c r="N538" s="1260">
        <v>16.600000000000001</v>
      </c>
      <c r="O538" s="1260">
        <v>1.3</v>
      </c>
      <c r="P538" s="1260">
        <v>-1.2</v>
      </c>
      <c r="R538" s="230"/>
      <c r="S538" s="230"/>
      <c r="T538" s="230"/>
      <c r="U538" s="230"/>
      <c r="V538" s="230"/>
      <c r="W538" s="230"/>
      <c r="X538" s="230"/>
      <c r="Y538" s="230"/>
      <c r="Z538" s="230"/>
      <c r="AA538" s="230"/>
      <c r="AB538" s="230"/>
      <c r="AC538" s="230"/>
    </row>
    <row r="539" spans="3:29" ht="15" customHeight="1">
      <c r="C539" s="1144"/>
      <c r="D539" s="172" t="str">
        <f>IF(Indice_index!$Z$1=1,"abril","April")</f>
        <v>abril</v>
      </c>
      <c r="E539" s="1260">
        <v>60.9</v>
      </c>
      <c r="F539" s="1260">
        <v>159.5</v>
      </c>
      <c r="G539" s="1260">
        <v>10.4</v>
      </c>
      <c r="H539" s="1260">
        <v>46</v>
      </c>
      <c r="I539" s="1260">
        <v>-17.8</v>
      </c>
      <c r="J539" s="1260">
        <v>48.1</v>
      </c>
      <c r="K539" s="1260">
        <v>170.3</v>
      </c>
      <c r="L539" s="1260">
        <v>22.5</v>
      </c>
      <c r="M539" s="1260">
        <v>53.6</v>
      </c>
      <c r="N539" s="1260">
        <v>-18.2</v>
      </c>
      <c r="O539" s="1260">
        <v>-6.9</v>
      </c>
      <c r="P539" s="1260">
        <v>11</v>
      </c>
      <c r="R539" s="230"/>
      <c r="S539" s="230"/>
      <c r="T539" s="230"/>
      <c r="U539" s="230"/>
      <c r="V539" s="230"/>
      <c r="W539" s="230"/>
      <c r="X539" s="230"/>
      <c r="Y539" s="230"/>
      <c r="Z539" s="230"/>
      <c r="AA539" s="230"/>
      <c r="AB539" s="230"/>
      <c r="AC539" s="230"/>
    </row>
    <row r="540" spans="3:29" ht="15" customHeight="1">
      <c r="C540" s="1144"/>
      <c r="D540" s="172" t="str">
        <f>IF(Indice_index!$Z$1=1,"maio","May")</f>
        <v>maio</v>
      </c>
      <c r="E540" s="1260">
        <v>17.5</v>
      </c>
      <c r="F540" s="1260">
        <v>78.099999999999994</v>
      </c>
      <c r="G540" s="1260">
        <v>35.299999999999997</v>
      </c>
      <c r="H540" s="1260">
        <v>28.9</v>
      </c>
      <c r="I540" s="1260">
        <v>9</v>
      </c>
      <c r="J540" s="1260">
        <v>13.7</v>
      </c>
      <c r="K540" s="1260">
        <v>78.8</v>
      </c>
      <c r="L540" s="1260">
        <v>24.7</v>
      </c>
      <c r="M540" s="1260">
        <v>20.7</v>
      </c>
      <c r="N540" s="1260">
        <v>65.599999999999994</v>
      </c>
      <c r="O540" s="1260">
        <v>-4.3</v>
      </c>
      <c r="P540" s="1260">
        <v>-7.9</v>
      </c>
      <c r="R540" s="230"/>
      <c r="S540" s="230"/>
      <c r="T540" s="230"/>
      <c r="U540" s="230"/>
      <c r="V540" s="230"/>
      <c r="W540" s="230"/>
      <c r="X540" s="230"/>
      <c r="Y540" s="230"/>
      <c r="Z540" s="230"/>
      <c r="AA540" s="230"/>
      <c r="AB540" s="230"/>
      <c r="AC540" s="230"/>
    </row>
    <row r="541" spans="3:29" ht="15" customHeight="1">
      <c r="C541" s="1144"/>
      <c r="D541" s="172" t="str">
        <f>IF(Indice_index!$Z$1=1,"junho","June")</f>
        <v>junho</v>
      </c>
      <c r="E541" s="1260">
        <v>31.4</v>
      </c>
      <c r="F541" s="1260">
        <v>111.5</v>
      </c>
      <c r="G541" s="1260">
        <v>61.8</v>
      </c>
      <c r="H541" s="1260">
        <v>50.9</v>
      </c>
      <c r="I541" s="1260">
        <v>5.6</v>
      </c>
      <c r="J541" s="1260">
        <v>7.5</v>
      </c>
      <c r="K541" s="1260">
        <v>181.9</v>
      </c>
      <c r="L541" s="1260">
        <v>51.8</v>
      </c>
      <c r="M541" s="1260">
        <v>30.3</v>
      </c>
      <c r="N541" s="1260">
        <v>8</v>
      </c>
      <c r="O541" s="1260">
        <v>-13.2</v>
      </c>
      <c r="P541" s="1260">
        <v>-6.1</v>
      </c>
      <c r="R541" s="230"/>
      <c r="S541" s="230"/>
      <c r="T541" s="230"/>
      <c r="U541" s="230"/>
      <c r="V541" s="230"/>
      <c r="W541" s="230"/>
      <c r="X541" s="230"/>
      <c r="Y541" s="230"/>
      <c r="Z541" s="230"/>
      <c r="AA541" s="230"/>
      <c r="AB541" s="230"/>
      <c r="AC541" s="230"/>
    </row>
    <row r="542" spans="3:29" ht="15" customHeight="1">
      <c r="C542" s="1144"/>
      <c r="D542" s="172" t="str">
        <f>IF(Indice_index!$Z$1=1,"julho","July")</f>
        <v>julho</v>
      </c>
      <c r="E542" s="1260">
        <v>46.2</v>
      </c>
      <c r="F542" s="1260">
        <v>27.1</v>
      </c>
      <c r="G542" s="1260">
        <v>6.6</v>
      </c>
      <c r="H542" s="1260">
        <v>26.3</v>
      </c>
      <c r="I542" s="1260">
        <v>-6.9</v>
      </c>
      <c r="J542" s="1260">
        <v>46.9</v>
      </c>
      <c r="K542" s="1260">
        <v>57.7</v>
      </c>
      <c r="L542" s="1260">
        <v>11.8</v>
      </c>
      <c r="M542" s="1260">
        <v>38.6</v>
      </c>
      <c r="N542" s="1260">
        <v>-12.3</v>
      </c>
      <c r="O542" s="1260">
        <v>3.5</v>
      </c>
      <c r="P542" s="1260">
        <v>4.9000000000000004</v>
      </c>
      <c r="R542" s="230"/>
      <c r="S542" s="230"/>
      <c r="T542" s="230"/>
      <c r="U542" s="230"/>
      <c r="V542" s="230"/>
      <c r="W542" s="230"/>
      <c r="X542" s="230"/>
      <c r="Y542" s="230"/>
      <c r="Z542" s="230"/>
      <c r="AA542" s="230"/>
      <c r="AB542" s="230"/>
      <c r="AC542" s="230"/>
    </row>
    <row r="543" spans="3:29" ht="15" customHeight="1">
      <c r="C543" s="1144"/>
      <c r="D543" s="172" t="str">
        <f>IF(Indice_index!$Z$1=1,"agosto","August")</f>
        <v>agosto</v>
      </c>
      <c r="E543" s="1260">
        <v>20.399999999999999</v>
      </c>
      <c r="F543" s="1260">
        <v>58.6</v>
      </c>
      <c r="G543" s="1260">
        <v>48.1</v>
      </c>
      <c r="H543" s="1260">
        <v>33.700000000000003</v>
      </c>
      <c r="I543" s="1260">
        <v>11.9</v>
      </c>
      <c r="J543" s="1260">
        <v>-6</v>
      </c>
      <c r="K543" s="1260">
        <v>28.9</v>
      </c>
      <c r="L543" s="1260">
        <v>41</v>
      </c>
      <c r="M543" s="1260">
        <v>5.8</v>
      </c>
      <c r="N543" s="1260">
        <v>13.3</v>
      </c>
      <c r="O543" s="1260">
        <v>-21.8</v>
      </c>
      <c r="P543" s="1260">
        <v>-4.8</v>
      </c>
      <c r="X543" s="229"/>
      <c r="Y543" s="229"/>
      <c r="Z543" s="229"/>
      <c r="AA543" s="229"/>
    </row>
    <row r="544" spans="3:29" s="171" customFormat="1" ht="15" customHeight="1">
      <c r="C544" s="1144"/>
      <c r="D544" s="172" t="str">
        <f>IF(Indice_index!$Z$1=1,"setembro","September")</f>
        <v>setembro</v>
      </c>
      <c r="E544" s="1260">
        <v>13.4</v>
      </c>
      <c r="F544" s="1260">
        <v>35.299999999999997</v>
      </c>
      <c r="G544" s="1260">
        <v>45</v>
      </c>
      <c r="H544" s="1260">
        <v>27.2</v>
      </c>
      <c r="I544" s="1260">
        <v>-4.3</v>
      </c>
      <c r="J544" s="1260">
        <v>-3.8</v>
      </c>
      <c r="K544" s="1260">
        <v>57.4</v>
      </c>
      <c r="L544" s="1260">
        <v>19.2</v>
      </c>
      <c r="M544" s="1260">
        <v>5.6</v>
      </c>
      <c r="N544" s="1260">
        <v>-2.4</v>
      </c>
      <c r="O544" s="1260">
        <v>-12.1</v>
      </c>
      <c r="P544" s="1260">
        <v>-17.8</v>
      </c>
      <c r="R544" s="229"/>
      <c r="S544" s="229"/>
      <c r="T544" s="229"/>
      <c r="U544" s="229"/>
      <c r="V544" s="229"/>
      <c r="W544" s="229"/>
      <c r="X544" s="229"/>
      <c r="Y544" s="229"/>
      <c r="Z544" s="229"/>
      <c r="AA544" s="229"/>
      <c r="AB544" s="229"/>
      <c r="AC544" s="229"/>
    </row>
    <row r="545" spans="3:42" s="171" customFormat="1" ht="15" customHeight="1">
      <c r="C545" s="1144"/>
      <c r="D545" s="172" t="str">
        <f>IF(Indice_index!$Z$1=1,"outubro","October")</f>
        <v>outubro</v>
      </c>
      <c r="E545" s="1261">
        <v>39.5</v>
      </c>
      <c r="F545" s="1261">
        <v>-3.3</v>
      </c>
      <c r="G545" s="1261">
        <v>33.9</v>
      </c>
      <c r="H545" s="1261">
        <v>33.9</v>
      </c>
      <c r="I545" s="1261">
        <v>2.8</v>
      </c>
      <c r="J545" s="1261">
        <v>9.9</v>
      </c>
      <c r="K545" s="1261">
        <v>-12.2</v>
      </c>
      <c r="L545" s="1261">
        <v>10.1</v>
      </c>
      <c r="M545" s="1261">
        <v>8</v>
      </c>
      <c r="N545" s="1261">
        <v>4.4000000000000004</v>
      </c>
      <c r="O545" s="1261">
        <v>-19.8</v>
      </c>
      <c r="P545" s="1261">
        <v>-17.7</v>
      </c>
      <c r="R545" s="229"/>
      <c r="S545" s="229"/>
      <c r="T545" s="229"/>
      <c r="U545" s="229"/>
      <c r="V545" s="229"/>
      <c r="W545" s="229"/>
      <c r="X545" s="229"/>
      <c r="Y545" s="229"/>
      <c r="Z545" s="229"/>
      <c r="AA545" s="229"/>
      <c r="AB545" s="229"/>
      <c r="AC545" s="229"/>
    </row>
    <row r="546" spans="3:42" s="171" customFormat="1" ht="15" customHeight="1">
      <c r="C546" s="1144"/>
      <c r="D546" s="172" t="str">
        <f>IF(Indice_index!$Z$1=1,"novembro","November")</f>
        <v>novembro</v>
      </c>
      <c r="E546" s="1262">
        <v>185.2981969486824</v>
      </c>
      <c r="F546" s="1262">
        <v>31.343283582089555</v>
      </c>
      <c r="G546" s="1262">
        <v>12.391304347826088</v>
      </c>
      <c r="H546" s="1262">
        <v>84.056338028169009</v>
      </c>
      <c r="I546" s="1262">
        <v>7.4565883554647607</v>
      </c>
      <c r="J546" s="1262">
        <v>65.649273887206007</v>
      </c>
      <c r="K546" s="1262">
        <v>26.013789365437628</v>
      </c>
      <c r="L546" s="1262">
        <v>-8.8076257153516018</v>
      </c>
      <c r="M546" s="1262">
        <v>37.145471165911317</v>
      </c>
      <c r="N546" s="1262">
        <v>10.189489535454682</v>
      </c>
      <c r="O546" s="1262">
        <v>-38.769625120153805</v>
      </c>
      <c r="P546" s="1262">
        <v>-18.863004172461761</v>
      </c>
      <c r="R546" s="229"/>
      <c r="S546" s="229"/>
      <c r="T546" s="229"/>
      <c r="U546" s="229"/>
      <c r="V546" s="229"/>
      <c r="W546" s="229"/>
      <c r="X546" s="229"/>
      <c r="Y546" s="229"/>
      <c r="Z546" s="229"/>
      <c r="AA546" s="229"/>
      <c r="AB546" s="229"/>
      <c r="AC546" s="229"/>
    </row>
    <row r="547" spans="3:42" s="171" customFormat="1" ht="15" customHeight="1">
      <c r="C547" s="1144"/>
      <c r="D547" s="172" t="str">
        <f>IF(Indice_index!$Z$1=1,"dezembro","December")</f>
        <v>dezembro</v>
      </c>
      <c r="E547" s="1214">
        <v>135.73059360730593</v>
      </c>
      <c r="F547" s="1214">
        <v>-24.311926605504588</v>
      </c>
      <c r="G547" s="1214">
        <v>-22.53012048192771</v>
      </c>
      <c r="H547" s="1214">
        <v>49.324324324324323</v>
      </c>
      <c r="I547" s="1214">
        <v>8.0947680157946689</v>
      </c>
      <c r="J547" s="1214">
        <v>35.636954147504483</v>
      </c>
      <c r="K547" s="1214">
        <v>-30.219616809056653</v>
      </c>
      <c r="L547" s="1214">
        <v>-35.29300310023357</v>
      </c>
      <c r="M547" s="1214">
        <v>11.346467840992702</v>
      </c>
      <c r="N547" s="1214">
        <v>13.0917041557187</v>
      </c>
      <c r="O547" s="1214">
        <v>-38.321428571428569</v>
      </c>
      <c r="P547" s="1214">
        <v>-16.476173729558649</v>
      </c>
      <c r="R547" s="229"/>
      <c r="S547" s="229"/>
      <c r="T547" s="229"/>
      <c r="U547" s="229"/>
      <c r="V547" s="229"/>
      <c r="W547" s="229"/>
      <c r="X547" s="229"/>
      <c r="Y547" s="229"/>
      <c r="Z547" s="229"/>
      <c r="AA547" s="229"/>
      <c r="AB547" s="229"/>
      <c r="AC547" s="229"/>
    </row>
    <row r="548" spans="3:42" ht="15" customHeight="1">
      <c r="C548" s="1217">
        <v>2020</v>
      </c>
      <c r="D548" s="171"/>
      <c r="E548" s="1214"/>
      <c r="F548" s="1214"/>
      <c r="G548" s="1214"/>
      <c r="H548" s="1214"/>
      <c r="I548" s="1214"/>
      <c r="J548" s="1214"/>
      <c r="K548" s="1214"/>
      <c r="L548" s="1214"/>
      <c r="N548" s="1214"/>
      <c r="O548" s="1214"/>
      <c r="P548" s="1214"/>
      <c r="R548" s="230"/>
      <c r="S548" s="230"/>
      <c r="T548" s="230"/>
      <c r="U548" s="230"/>
      <c r="V548" s="230"/>
      <c r="W548" s="230"/>
      <c r="X548" s="230"/>
      <c r="Y548" s="230"/>
      <c r="Z548" s="230"/>
      <c r="AA548" s="230"/>
      <c r="AB548" s="230"/>
      <c r="AC548" s="230"/>
    </row>
    <row r="549" spans="3:42" s="171" customFormat="1" ht="15" customHeight="1">
      <c r="C549" s="1144"/>
      <c r="D549" s="172" t="str">
        <f>IF(Indice_index!$Z$1=1,"janeiro","January")</f>
        <v>janeiro</v>
      </c>
      <c r="E549" s="1260">
        <v>62.625</v>
      </c>
      <c r="F549" s="1260">
        <v>-42.285714285714285</v>
      </c>
      <c r="G549" s="1260">
        <v>111.31578947368422</v>
      </c>
      <c r="H549" s="1260">
        <v>73.371757925072046</v>
      </c>
      <c r="I549" s="1260">
        <v>23.18271119842829</v>
      </c>
      <c r="J549" s="1260">
        <v>29.061286504775534</v>
      </c>
      <c r="K549" s="1260">
        <v>-29.759636700044805</v>
      </c>
      <c r="L549" s="1260">
        <v>183.73480079569762</v>
      </c>
      <c r="M549" s="1260">
        <v>59.865318660577472</v>
      </c>
      <c r="N549" s="1260">
        <v>9.3987115660011096</v>
      </c>
      <c r="O549" s="1260">
        <v>-15.821610759004487</v>
      </c>
      <c r="P549" s="1260">
        <v>34.281868871370882</v>
      </c>
      <c r="R549" s="230"/>
      <c r="S549" s="230"/>
      <c r="T549" s="230"/>
      <c r="U549" s="230"/>
      <c r="V549" s="230"/>
      <c r="W549" s="230"/>
      <c r="X549" s="230"/>
      <c r="Y549" s="230"/>
      <c r="Z549" s="230"/>
      <c r="AA549" s="230"/>
      <c r="AB549" s="230"/>
      <c r="AC549" s="230"/>
      <c r="AD549" s="418"/>
      <c r="AE549" s="418"/>
      <c r="AF549" s="418"/>
      <c r="AG549" s="418"/>
      <c r="AH549" s="418"/>
      <c r="AI549" s="418"/>
      <c r="AJ549" s="418"/>
      <c r="AK549" s="418"/>
      <c r="AL549" s="418"/>
      <c r="AM549" s="418"/>
      <c r="AN549" s="418"/>
      <c r="AO549" s="418"/>
    </row>
    <row r="550" spans="3:42" s="171" customFormat="1" ht="15" customHeight="1">
      <c r="C550" s="1144"/>
      <c r="D550" s="172" t="str">
        <f>IF(Indice_index!$Z$1=1,"fevereiro","February")</f>
        <v>fevereiro</v>
      </c>
      <c r="E550" s="1260">
        <v>69.750367107195302</v>
      </c>
      <c r="F550" s="1260">
        <v>-48.192771084337352</v>
      </c>
      <c r="G550" s="1260">
        <v>-12.791991101223582</v>
      </c>
      <c r="H550" s="1260">
        <v>16.036655211912944</v>
      </c>
      <c r="I550" s="1260">
        <v>15.657788539144471</v>
      </c>
      <c r="J550" s="1260">
        <v>54.8245143838042</v>
      </c>
      <c r="K550" s="1260">
        <v>-48.433576556043484</v>
      </c>
      <c r="L550" s="1260">
        <v>-32.144047137106718</v>
      </c>
      <c r="M550" s="1260">
        <v>13.080041952313362</v>
      </c>
      <c r="N550" s="1260">
        <v>5.0751254229762619</v>
      </c>
      <c r="O550" s="1260">
        <v>-7.3224789020543746</v>
      </c>
      <c r="P550" s="1260">
        <v>-22.188340807174885</v>
      </c>
      <c r="R550" s="230"/>
      <c r="S550" s="230"/>
      <c r="T550" s="230"/>
      <c r="U550" s="230"/>
      <c r="V550" s="230"/>
      <c r="W550" s="230"/>
      <c r="X550" s="230"/>
      <c r="Y550" s="230"/>
      <c r="Z550" s="230"/>
      <c r="AA550" s="230"/>
      <c r="AB550" s="230"/>
      <c r="AC550" s="230"/>
      <c r="AD550" s="418"/>
      <c r="AE550" s="418"/>
      <c r="AF550" s="418"/>
      <c r="AG550" s="418"/>
      <c r="AH550" s="418"/>
      <c r="AI550" s="418"/>
      <c r="AJ550" s="418"/>
      <c r="AK550" s="418"/>
      <c r="AL550" s="418"/>
      <c r="AM550" s="418"/>
      <c r="AN550" s="418"/>
      <c r="AO550" s="418"/>
    </row>
    <row r="551" spans="3:42" s="171" customFormat="1" ht="15" customHeight="1">
      <c r="C551" s="1144"/>
      <c r="D551" s="172" t="str">
        <f>IF(Indice_index!$Z$1=1,"março","March")</f>
        <v>março</v>
      </c>
      <c r="E551" s="1260">
        <v>118.25242718446603</v>
      </c>
      <c r="F551" s="1260">
        <v>15.625</v>
      </c>
      <c r="G551" s="1260">
        <v>-2.4255788313120177</v>
      </c>
      <c r="H551" s="1260">
        <v>37.365911799761619</v>
      </c>
      <c r="I551" s="1260">
        <v>-7.1994715984147959</v>
      </c>
      <c r="J551" s="1260">
        <v>103.24281880757151</v>
      </c>
      <c r="K551" s="1260">
        <v>3.273425399518167</v>
      </c>
      <c r="L551" s="1260">
        <v>-7.2461062960342506</v>
      </c>
      <c r="M551" s="1260">
        <v>47.943227140003522</v>
      </c>
      <c r="N551" s="1260">
        <v>-9.3230300511125037</v>
      </c>
      <c r="O551" s="1260">
        <v>-4.7326701896176457</v>
      </c>
      <c r="P551" s="1260">
        <v>-4.9330643682376634</v>
      </c>
      <c r="R551" s="230"/>
      <c r="S551" s="230"/>
      <c r="T551" s="230"/>
      <c r="U551" s="230"/>
      <c r="V551" s="230"/>
      <c r="W551" s="230"/>
      <c r="X551" s="230"/>
      <c r="Y551" s="230"/>
      <c r="Z551" s="230"/>
      <c r="AA551" s="230"/>
      <c r="AB551" s="230"/>
      <c r="AC551" s="230"/>
      <c r="AD551" s="418"/>
      <c r="AE551" s="418"/>
      <c r="AF551" s="418"/>
      <c r="AG551" s="418"/>
      <c r="AH551" s="418"/>
      <c r="AI551" s="418"/>
      <c r="AJ551" s="418"/>
      <c r="AK551" s="418"/>
      <c r="AL551" s="418"/>
      <c r="AM551" s="418"/>
      <c r="AN551" s="418"/>
      <c r="AO551" s="418"/>
    </row>
    <row r="552" spans="3:42" ht="15" customHeight="1">
      <c r="C552" s="1144"/>
      <c r="D552" s="172" t="str">
        <f>IF(Indice_index!$Z$1=1,"abril","April")</f>
        <v>abril</v>
      </c>
      <c r="E552" s="1260">
        <v>28.544600938967136</v>
      </c>
      <c r="F552" s="1260">
        <v>-64.968152866242036</v>
      </c>
      <c r="G552" s="1260">
        <v>30.695770804911319</v>
      </c>
      <c r="H552" s="1260">
        <v>15.388257575757574</v>
      </c>
      <c r="I552" s="1260">
        <v>7.9545454545454541</v>
      </c>
      <c r="J552" s="1260">
        <v>33.013179052279298</v>
      </c>
      <c r="K552" s="1260">
        <v>-61.352029525055663</v>
      </c>
      <c r="L552" s="1260">
        <v>14.532856191004734</v>
      </c>
      <c r="M552" s="1260">
        <v>13.208872926954406</v>
      </c>
      <c r="N552" s="1260">
        <v>4.7948691931676848</v>
      </c>
      <c r="O552" s="1260">
        <v>5.2434456928838955</v>
      </c>
      <c r="P552" s="1260">
        <v>-12.365783822476731</v>
      </c>
      <c r="R552" s="230"/>
      <c r="S552" s="230"/>
      <c r="T552" s="230"/>
      <c r="U552" s="230"/>
      <c r="V552" s="230"/>
      <c r="W552" s="230"/>
      <c r="X552" s="230"/>
      <c r="Y552" s="230"/>
      <c r="Z552" s="230"/>
      <c r="AA552" s="230"/>
      <c r="AB552" s="230"/>
      <c r="AC552" s="230"/>
      <c r="AD552" s="418"/>
      <c r="AE552" s="418"/>
      <c r="AF552" s="418"/>
      <c r="AG552" s="418"/>
      <c r="AH552" s="418"/>
      <c r="AI552" s="418"/>
      <c r="AJ552" s="418"/>
      <c r="AK552" s="418"/>
      <c r="AL552" s="418"/>
      <c r="AM552" s="418"/>
      <c r="AN552" s="418"/>
      <c r="AO552" s="418"/>
      <c r="AP552" s="171"/>
    </row>
    <row r="553" spans="3:42" ht="15" customHeight="1">
      <c r="C553" s="1144"/>
      <c r="D553" s="172" t="str">
        <f>IF(Indice_index!$Z$1=1,"maio","May")</f>
        <v>maio</v>
      </c>
      <c r="E553" s="1263">
        <v>35.726950354609926</v>
      </c>
      <c r="F553" s="1263">
        <v>-68.032786885245898</v>
      </c>
      <c r="G553" s="1263">
        <v>11.224489795918368</v>
      </c>
      <c r="H553" s="1263">
        <v>14.906832298136646</v>
      </c>
      <c r="I553" s="1263">
        <v>26.359447004608295</v>
      </c>
      <c r="J553" s="1263">
        <v>28.281477037151841</v>
      </c>
      <c r="K553" s="1263">
        <v>-62.701923332296637</v>
      </c>
      <c r="L553" s="1263">
        <v>11.389292670056442</v>
      </c>
      <c r="M553" s="1263">
        <v>14.832487390487422</v>
      </c>
      <c r="N553" s="1263">
        <v>-14.691124358028137</v>
      </c>
      <c r="O553" s="1263">
        <v>-1.3377159455740713</v>
      </c>
      <c r="P553" s="1263">
        <v>0.15533980582523388</v>
      </c>
      <c r="R553" s="230"/>
      <c r="S553" s="230"/>
      <c r="T553" s="230"/>
      <c r="U553" s="230"/>
      <c r="V553" s="230"/>
      <c r="W553" s="230"/>
      <c r="X553" s="230"/>
      <c r="Y553" s="230"/>
      <c r="Z553" s="230"/>
      <c r="AA553" s="230"/>
      <c r="AB553" s="230"/>
      <c r="AC553" s="230"/>
      <c r="AD553" s="418"/>
      <c r="AE553" s="418"/>
      <c r="AF553" s="418"/>
      <c r="AG553" s="418"/>
      <c r="AH553" s="418"/>
      <c r="AI553" s="418"/>
      <c r="AJ553" s="418"/>
      <c r="AK553" s="418"/>
      <c r="AL553" s="418"/>
      <c r="AM553" s="418"/>
      <c r="AN553" s="418"/>
      <c r="AO553" s="418"/>
      <c r="AP553" s="171"/>
    </row>
    <row r="554" spans="3:42" ht="15" customHeight="1">
      <c r="C554" s="1144"/>
      <c r="D554" s="172" t="str">
        <f>IF(Indice_index!$Z$1=1,"junho","June")</f>
        <v>junho</v>
      </c>
      <c r="E554" s="1260">
        <v>58.6</v>
      </c>
      <c r="F554" s="1260">
        <v>-65.5</v>
      </c>
      <c r="G554" s="1260">
        <v>-11.9</v>
      </c>
      <c r="H554" s="1260">
        <v>12.3</v>
      </c>
      <c r="I554" s="1260">
        <v>7.5</v>
      </c>
      <c r="J554" s="1260">
        <v>63.2</v>
      </c>
      <c r="K554" s="1260">
        <v>-66.2</v>
      </c>
      <c r="L554" s="1260">
        <v>-7.2</v>
      </c>
      <c r="M554" s="1260">
        <v>24.3</v>
      </c>
      <c r="N554" s="1260">
        <v>8.1999999999999993</v>
      </c>
      <c r="O554" s="1260">
        <v>2.4</v>
      </c>
      <c r="P554" s="1260">
        <v>5.4</v>
      </c>
      <c r="R554" s="230"/>
      <c r="S554" s="230"/>
      <c r="T554" s="230"/>
      <c r="U554" s="230"/>
      <c r="V554" s="230"/>
      <c r="W554" s="230"/>
      <c r="X554" s="230"/>
      <c r="Y554" s="230"/>
      <c r="Z554" s="230"/>
      <c r="AA554" s="230"/>
      <c r="AB554" s="230"/>
      <c r="AC554" s="230"/>
    </row>
    <row r="555" spans="3:42" ht="15" customHeight="1">
      <c r="C555" s="1144"/>
      <c r="D555" s="172" t="str">
        <f>IF(Indice_index!$Z$1=1,"julho","July")</f>
        <v>julho</v>
      </c>
      <c r="E555" s="1260">
        <v>43.3</v>
      </c>
      <c r="F555" s="1260">
        <v>-64.599999999999994</v>
      </c>
      <c r="G555" s="1260">
        <v>24.4</v>
      </c>
      <c r="H555" s="1260">
        <v>26.8</v>
      </c>
      <c r="I555" s="1260">
        <v>20.100000000000001</v>
      </c>
      <c r="J555" s="1260">
        <v>44</v>
      </c>
      <c r="K555" s="1260">
        <v>-64.5</v>
      </c>
      <c r="L555" s="1260">
        <v>30.8</v>
      </c>
      <c r="M555" s="1260">
        <v>30.6</v>
      </c>
      <c r="N555" s="1260">
        <v>28.5</v>
      </c>
      <c r="O555" s="1260">
        <v>1.7</v>
      </c>
      <c r="P555" s="1260">
        <v>5.2</v>
      </c>
      <c r="R555" s="230"/>
      <c r="S555" s="230"/>
      <c r="T555" s="230"/>
      <c r="U555" s="230"/>
      <c r="V555" s="230"/>
      <c r="W555" s="230"/>
      <c r="X555" s="230"/>
      <c r="Y555" s="230"/>
      <c r="Z555" s="230"/>
      <c r="AA555" s="230"/>
      <c r="AB555" s="230"/>
      <c r="AC555" s="230"/>
    </row>
    <row r="556" spans="3:42" ht="15" customHeight="1">
      <c r="C556" s="1144"/>
      <c r="D556" s="172" t="str">
        <f>IF(Indice_index!$Z$1=1,"agosto","August")</f>
        <v>agosto</v>
      </c>
      <c r="E556" s="1260">
        <v>51.079136690647488</v>
      </c>
      <c r="F556" s="1260">
        <v>-77.070063694267517</v>
      </c>
      <c r="G556" s="1260">
        <v>17.23329425556858</v>
      </c>
      <c r="H556" s="1260">
        <v>26.374180534543623</v>
      </c>
      <c r="I556" s="1260">
        <v>10.084825636192271</v>
      </c>
      <c r="J556" s="1260">
        <v>78.072897743494167</v>
      </c>
      <c r="K556" s="1260">
        <v>-77.063042667441266</v>
      </c>
      <c r="L556" s="1260">
        <v>32.584157565991759</v>
      </c>
      <c r="M556" s="1260">
        <v>51.100963168788326</v>
      </c>
      <c r="N556" s="1260">
        <v>13.459985911226461</v>
      </c>
      <c r="O556" s="1260">
        <v>18.17082247860067</v>
      </c>
      <c r="P556" s="1260">
        <v>13.086017121891548</v>
      </c>
      <c r="X556" s="229"/>
      <c r="Y556" s="229"/>
      <c r="Z556" s="229"/>
      <c r="AA556" s="229"/>
    </row>
    <row r="557" spans="3:42" s="171" customFormat="1" ht="15" customHeight="1">
      <c r="C557" s="1144"/>
      <c r="D557" s="172" t="str">
        <f>IF(Indice_index!$Z$1=1,"setembro","September")</f>
        <v>setembro</v>
      </c>
      <c r="E557" s="1260">
        <v>29.469548133595286</v>
      </c>
      <c r="F557" s="1260">
        <v>-84.574468085106375</v>
      </c>
      <c r="G557" s="1260">
        <v>-16.069489685124864</v>
      </c>
      <c r="H557" s="1260">
        <v>-0.32910202162670427</v>
      </c>
      <c r="I557" s="1260">
        <v>32.183908045977013</v>
      </c>
      <c r="J557" s="1260">
        <v>73.446873621707283</v>
      </c>
      <c r="K557" s="1260">
        <v>-81.573720194209571</v>
      </c>
      <c r="L557" s="1260">
        <v>7.8137034258189546</v>
      </c>
      <c r="M557" s="1260">
        <v>40.448908404512032</v>
      </c>
      <c r="N557" s="1260">
        <v>28.034566716222109</v>
      </c>
      <c r="O557" s="1260">
        <v>34.141694093192456</v>
      </c>
      <c r="P557" s="1260">
        <v>28.4661446338093</v>
      </c>
      <c r="R557" s="229"/>
      <c r="S557" s="229"/>
      <c r="T557" s="229"/>
      <c r="U557" s="229"/>
      <c r="V557" s="229"/>
      <c r="W557" s="229"/>
      <c r="X557" s="229"/>
      <c r="Y557" s="229"/>
      <c r="Z557" s="229"/>
      <c r="AA557" s="229"/>
      <c r="AB557" s="229"/>
      <c r="AC557" s="229"/>
    </row>
    <row r="558" spans="3:42" s="171" customFormat="1" ht="15" customHeight="1">
      <c r="C558" s="1144"/>
      <c r="D558" s="172" t="str">
        <f>IF(Indice_index!$Z$1=1,"outubro","October")</f>
        <v>outubro</v>
      </c>
      <c r="E558" s="1264">
        <v>45.3</v>
      </c>
      <c r="F558" s="1264">
        <v>-69</v>
      </c>
      <c r="G558" s="1264">
        <v>5.2</v>
      </c>
      <c r="H558" s="1264">
        <v>21.4</v>
      </c>
      <c r="I558" s="1264">
        <v>1.9</v>
      </c>
      <c r="J558" s="1264">
        <v>89.3</v>
      </c>
      <c r="K558" s="1264">
        <v>-56.6</v>
      </c>
      <c r="L558" s="1264">
        <v>29.8</v>
      </c>
      <c r="M558" s="1264">
        <v>64.7</v>
      </c>
      <c r="N558" s="1264">
        <v>3.5</v>
      </c>
      <c r="O558" s="1264">
        <v>30.7</v>
      </c>
      <c r="P558" s="1264">
        <v>23.4</v>
      </c>
      <c r="R558" s="229"/>
      <c r="S558" s="229"/>
      <c r="T558" s="229"/>
      <c r="U558" s="229"/>
      <c r="V558" s="229"/>
      <c r="W558" s="229"/>
      <c r="X558" s="229"/>
      <c r="Y558" s="229"/>
      <c r="Z558" s="229"/>
      <c r="AA558" s="229"/>
      <c r="AB558" s="229"/>
      <c r="AC558" s="229"/>
    </row>
    <row r="559" spans="3:42" s="171" customFormat="1" ht="15" customHeight="1">
      <c r="C559" s="1144"/>
      <c r="D559" s="172" t="str">
        <f>IF(Indice_index!$Z$1=1,"novembro","November")</f>
        <v>novembro</v>
      </c>
      <c r="E559" s="1265">
        <v>-46</v>
      </c>
      <c r="F559" s="1265">
        <v>-51.1</v>
      </c>
      <c r="G559" s="1265">
        <v>-15.8</v>
      </c>
      <c r="H559" s="1265">
        <v>-36.700000000000003</v>
      </c>
      <c r="I559" s="1265">
        <v>10.5</v>
      </c>
      <c r="J559" s="1265">
        <v>17</v>
      </c>
      <c r="K559" s="1265">
        <v>-47.6</v>
      </c>
      <c r="L559" s="1265">
        <v>-7.3</v>
      </c>
      <c r="M559" s="1265">
        <v>5.9</v>
      </c>
      <c r="N559" s="1265">
        <v>10.7</v>
      </c>
      <c r="O559" s="1265">
        <v>104.6</v>
      </c>
      <c r="P559" s="1265">
        <v>10.1</v>
      </c>
      <c r="R559" s="229"/>
      <c r="S559" s="229"/>
      <c r="T559" s="229"/>
      <c r="U559" s="229"/>
      <c r="V559" s="229"/>
      <c r="W559" s="229"/>
      <c r="X559" s="229"/>
      <c r="Y559" s="229"/>
      <c r="Z559" s="229"/>
      <c r="AA559" s="229"/>
      <c r="AB559" s="229"/>
      <c r="AC559" s="229"/>
    </row>
    <row r="560" spans="3:42" s="171" customFormat="1" ht="15" customHeight="1">
      <c r="C560" s="1144"/>
      <c r="D560" s="172" t="str">
        <f>IF(Indice_index!$Z$1=1,"dezembro","December")</f>
        <v>dezembro</v>
      </c>
      <c r="E560" s="1266">
        <v>-48.8</v>
      </c>
      <c r="F560" s="1266">
        <v>-35.799999999999997</v>
      </c>
      <c r="G560" s="1266">
        <v>38.299999999999997</v>
      </c>
      <c r="H560" s="1266">
        <v>-28.6</v>
      </c>
      <c r="I560" s="1266">
        <v>17.600000000000001</v>
      </c>
      <c r="J560" s="1266">
        <v>3.4</v>
      </c>
      <c r="K560" s="1266">
        <v>-24.4</v>
      </c>
      <c r="L560" s="1266">
        <v>53.1</v>
      </c>
      <c r="M560" s="1266">
        <v>8.1999999999999993</v>
      </c>
      <c r="N560" s="1266">
        <v>19.8</v>
      </c>
      <c r="O560" s="1266">
        <v>93.7</v>
      </c>
      <c r="P560" s="1266">
        <v>10.7</v>
      </c>
      <c r="R560" s="229"/>
      <c r="S560" s="229"/>
      <c r="T560" s="229"/>
      <c r="U560" s="229"/>
      <c r="V560" s="229"/>
      <c r="W560" s="229"/>
      <c r="X560" s="229"/>
      <c r="Y560" s="229"/>
      <c r="Z560" s="229"/>
      <c r="AA560" s="229"/>
      <c r="AB560" s="229"/>
      <c r="AC560" s="229"/>
    </row>
    <row r="561" spans="3:42" ht="15" customHeight="1">
      <c r="C561" s="1267" t="s">
        <v>67</v>
      </c>
      <c r="D561" s="171"/>
      <c r="E561" s="1214"/>
      <c r="F561" s="1214"/>
      <c r="G561" s="1214"/>
      <c r="H561" s="1214"/>
      <c r="I561" s="1214"/>
      <c r="J561" s="1214"/>
      <c r="K561" s="1214"/>
      <c r="L561" s="1214"/>
      <c r="N561" s="1214"/>
      <c r="O561" s="1214"/>
      <c r="P561" s="1214"/>
      <c r="R561" s="230"/>
      <c r="S561" s="230"/>
      <c r="T561" s="230"/>
      <c r="U561" s="230"/>
      <c r="V561" s="230"/>
      <c r="W561" s="230"/>
      <c r="X561" s="230"/>
      <c r="Y561" s="230"/>
      <c r="Z561" s="230"/>
      <c r="AA561" s="230"/>
      <c r="AB561" s="230"/>
      <c r="AC561" s="230"/>
    </row>
    <row r="562" spans="3:42" s="171" customFormat="1" ht="15" customHeight="1">
      <c r="C562" s="1144"/>
      <c r="D562" s="172" t="str">
        <f>IF(Indice_index!$Z$1=1,"janeiro","January")</f>
        <v>janeiro</v>
      </c>
      <c r="E562" s="1260">
        <v>-21.3</v>
      </c>
      <c r="F562" s="1260">
        <v>-13.9</v>
      </c>
      <c r="G562" s="1260">
        <v>-57.8</v>
      </c>
      <c r="H562" s="1260">
        <v>-40.5</v>
      </c>
      <c r="I562" s="1260">
        <v>5.2</v>
      </c>
      <c r="J562" s="1260">
        <v>16.600000000000001</v>
      </c>
      <c r="K562" s="1260">
        <v>-13.6</v>
      </c>
      <c r="L562" s="1260">
        <v>-66.8</v>
      </c>
      <c r="M562" s="1260">
        <v>-20.100000000000001</v>
      </c>
      <c r="N562" s="1260">
        <v>22.9</v>
      </c>
      <c r="O562" s="1260">
        <v>44.1</v>
      </c>
      <c r="P562" s="1260">
        <v>-21.3</v>
      </c>
      <c r="R562" s="230"/>
      <c r="S562" s="230"/>
      <c r="T562" s="230"/>
      <c r="U562" s="230"/>
      <c r="V562" s="230"/>
      <c r="W562" s="230"/>
      <c r="X562" s="230"/>
      <c r="Y562" s="230"/>
      <c r="Z562" s="230"/>
      <c r="AA562" s="230"/>
      <c r="AB562" s="230"/>
      <c r="AC562" s="230"/>
      <c r="AD562" s="418"/>
      <c r="AE562" s="418"/>
      <c r="AF562" s="418"/>
      <c r="AG562" s="418"/>
      <c r="AH562" s="418"/>
      <c r="AI562" s="418"/>
      <c r="AJ562" s="418"/>
      <c r="AK562" s="418"/>
      <c r="AL562" s="418"/>
      <c r="AM562" s="418"/>
      <c r="AN562" s="418"/>
      <c r="AO562" s="418"/>
    </row>
    <row r="563" spans="3:42" s="171" customFormat="1" ht="15" customHeight="1">
      <c r="C563" s="1144"/>
      <c r="D563" s="172" t="str">
        <f>IF(Indice_index!$Z$1=1,"fevereiro","February")</f>
        <v>fevereiro</v>
      </c>
      <c r="E563" s="1260">
        <v>-23.6</v>
      </c>
      <c r="F563" s="1260">
        <v>17.399999999999999</v>
      </c>
      <c r="G563" s="1260">
        <v>6.6</v>
      </c>
      <c r="H563" s="1260">
        <v>-10.199999999999999</v>
      </c>
      <c r="I563" s="1260">
        <v>17.100000000000001</v>
      </c>
      <c r="J563" s="1260">
        <v>4</v>
      </c>
      <c r="K563" s="1260">
        <v>6.8</v>
      </c>
      <c r="L563" s="1260">
        <v>34.9</v>
      </c>
      <c r="M563" s="1260">
        <v>10.3</v>
      </c>
      <c r="N563" s="1260">
        <v>31.2</v>
      </c>
      <c r="O563" s="1260">
        <v>31.5</v>
      </c>
      <c r="P563" s="1260">
        <v>26.5</v>
      </c>
      <c r="R563" s="230"/>
      <c r="S563" s="230"/>
      <c r="T563" s="230"/>
      <c r="U563" s="230"/>
      <c r="V563" s="230"/>
      <c r="W563" s="230"/>
      <c r="X563" s="230"/>
      <c r="Y563" s="230"/>
      <c r="Z563" s="230"/>
      <c r="AA563" s="230"/>
      <c r="AB563" s="230"/>
      <c r="AC563" s="230"/>
      <c r="AD563" s="418"/>
      <c r="AE563" s="418"/>
      <c r="AF563" s="418"/>
      <c r="AG563" s="418"/>
      <c r="AH563" s="418"/>
      <c r="AI563" s="418"/>
      <c r="AJ563" s="418"/>
      <c r="AK563" s="418"/>
      <c r="AL563" s="418"/>
      <c r="AM563" s="418"/>
      <c r="AN563" s="418"/>
      <c r="AO563" s="418"/>
    </row>
    <row r="564" spans="3:42" s="171" customFormat="1" ht="15" customHeight="1">
      <c r="C564" s="1144"/>
      <c r="D564" s="172" t="str">
        <f>IF(Indice_index!$Z$1=1,"março","March")</f>
        <v>março</v>
      </c>
      <c r="E564" s="1268">
        <v>-7.8291814946619214</v>
      </c>
      <c r="F564" s="1268">
        <v>-25</v>
      </c>
      <c r="G564" s="1268">
        <v>21.807909604519775</v>
      </c>
      <c r="H564" s="1268">
        <v>1.3449023861171365</v>
      </c>
      <c r="I564" s="1268">
        <v>71.17437722419929</v>
      </c>
      <c r="J564" s="1268">
        <v>10.839271844964628</v>
      </c>
      <c r="K564" s="1268">
        <v>-53.224774859240931</v>
      </c>
      <c r="L564" s="1268">
        <v>33.704238057488389</v>
      </c>
      <c r="M564" s="1268">
        <v>7.3137086631989163</v>
      </c>
      <c r="N564" s="1268">
        <v>82.598302873765732</v>
      </c>
      <c r="O564" s="1268">
        <v>13.280039154906595</v>
      </c>
      <c r="P564" s="1268">
        <v>9.7608024691358075</v>
      </c>
      <c r="R564" s="230"/>
      <c r="S564" s="230"/>
      <c r="T564" s="230"/>
      <c r="U564" s="230"/>
      <c r="V564" s="230"/>
      <c r="W564" s="230"/>
      <c r="X564" s="230"/>
      <c r="Y564" s="230"/>
      <c r="Z564" s="230"/>
      <c r="AA564" s="230"/>
      <c r="AB564" s="230"/>
      <c r="AC564" s="230"/>
      <c r="AD564" s="418"/>
      <c r="AE564" s="418"/>
      <c r="AF564" s="418"/>
      <c r="AG564" s="418"/>
      <c r="AH564" s="418"/>
      <c r="AI564" s="418"/>
      <c r="AJ564" s="418"/>
      <c r="AK564" s="418"/>
      <c r="AL564" s="418"/>
      <c r="AM564" s="418"/>
      <c r="AN564" s="418"/>
      <c r="AO564" s="418"/>
    </row>
    <row r="565" spans="3:42" ht="15" customHeight="1">
      <c r="C565" s="1144"/>
      <c r="D565" s="172" t="str">
        <f>IF(Indice_index!$Z$1=1,"abril","April")</f>
        <v>abril</v>
      </c>
      <c r="E565" s="1260">
        <v>-6.281957633308985</v>
      </c>
      <c r="F565" s="1260">
        <v>-34.545454545454547</v>
      </c>
      <c r="G565" s="1260">
        <v>29.018789144050107</v>
      </c>
      <c r="H565" s="1260">
        <v>6.3192449733278613</v>
      </c>
      <c r="I565" s="1260">
        <v>47.969924812030072</v>
      </c>
      <c r="J565" s="1260">
        <v>4.0676343472848737</v>
      </c>
      <c r="K565" s="1260">
        <v>-48.029008441945891</v>
      </c>
      <c r="L565" s="1260">
        <v>51.514067622768657</v>
      </c>
      <c r="M565" s="1260">
        <v>10.539632890099218</v>
      </c>
      <c r="N565" s="1260">
        <v>60.052185415998402</v>
      </c>
      <c r="O565" s="1260">
        <v>9.4424673784104467</v>
      </c>
      <c r="P565" s="1260">
        <v>17.418827853788034</v>
      </c>
      <c r="R565" s="230"/>
      <c r="S565" s="230"/>
      <c r="T565" s="230"/>
      <c r="U565" s="230"/>
      <c r="V565" s="230"/>
      <c r="W565" s="230"/>
      <c r="X565" s="230"/>
      <c r="Y565" s="230"/>
      <c r="Z565" s="230"/>
      <c r="AA565" s="230"/>
      <c r="AB565" s="230"/>
      <c r="AC565" s="230"/>
      <c r="AD565" s="418"/>
      <c r="AE565" s="418"/>
      <c r="AF565" s="418"/>
      <c r="AG565" s="418"/>
      <c r="AH565" s="418"/>
      <c r="AI565" s="418"/>
      <c r="AJ565" s="418"/>
      <c r="AK565" s="418"/>
      <c r="AL565" s="418"/>
      <c r="AM565" s="418"/>
      <c r="AN565" s="418"/>
      <c r="AO565" s="418"/>
      <c r="AP565" s="171"/>
    </row>
    <row r="566" spans="3:42" ht="15" customHeight="1">
      <c r="C566" s="1144"/>
      <c r="D566" s="172" t="str">
        <f>IF(Indice_index!$Z$1=1,"maio","May")</f>
        <v>maio</v>
      </c>
      <c r="E566" s="1269">
        <v>-14.565643370346178</v>
      </c>
      <c r="F566" s="1269">
        <v>41.025641025641022</v>
      </c>
      <c r="G566" s="1269">
        <v>4.281345565749235</v>
      </c>
      <c r="H566" s="1269">
        <v>-5.7528957528957525</v>
      </c>
      <c r="I566" s="1269">
        <v>-8.2421590080233411</v>
      </c>
      <c r="J566" s="1269">
        <v>-8.4815652405224604</v>
      </c>
      <c r="K566" s="1269">
        <v>44.040690654105155</v>
      </c>
      <c r="L566" s="1269">
        <v>9.7212951494644315</v>
      </c>
      <c r="M566" s="1269">
        <v>-3.0334569693196789</v>
      </c>
      <c r="N566" s="1269">
        <v>-8.1790431814499112</v>
      </c>
      <c r="O566" s="1269">
        <v>6.5003486480204433</v>
      </c>
      <c r="P566" s="1269">
        <v>5.215199689802267</v>
      </c>
      <c r="R566" s="230"/>
      <c r="S566" s="230"/>
      <c r="T566" s="230"/>
      <c r="U566" s="230"/>
      <c r="V566" s="230"/>
      <c r="W566" s="230"/>
      <c r="X566" s="230"/>
      <c r="Y566" s="230"/>
      <c r="Z566" s="230"/>
      <c r="AA566" s="230"/>
      <c r="AB566" s="230"/>
      <c r="AC566" s="230"/>
      <c r="AD566" s="418"/>
      <c r="AE566" s="418"/>
      <c r="AF566" s="418"/>
      <c r="AG566" s="418"/>
      <c r="AH566" s="418"/>
      <c r="AI566" s="418"/>
      <c r="AJ566" s="418"/>
      <c r="AK566" s="418"/>
      <c r="AL566" s="418"/>
      <c r="AM566" s="418"/>
      <c r="AN566" s="418"/>
      <c r="AO566" s="418"/>
      <c r="AP566" s="171"/>
    </row>
    <row r="567" spans="3:42" ht="15" customHeight="1">
      <c r="C567" s="1144"/>
      <c r="D567" s="172" t="str">
        <f>IF(Indice_index!$Z$1=1,"junho","June")</f>
        <v>junho</v>
      </c>
      <c r="E567" s="1270">
        <v>-13.609072715143428</v>
      </c>
      <c r="F567" s="1270">
        <v>24.719101123595504</v>
      </c>
      <c r="G567" s="1270">
        <v>7.9768786127167628</v>
      </c>
      <c r="H567" s="1270">
        <v>-4.6066041581736643</v>
      </c>
      <c r="I567" s="1270">
        <v>-17.197924388435879</v>
      </c>
      <c r="J567" s="1270">
        <v>-8.0579048029668616</v>
      </c>
      <c r="K567" s="1270">
        <v>25.44285058084273</v>
      </c>
      <c r="L567" s="1270">
        <v>9.7923334781002129</v>
      </c>
      <c r="M567" s="1270">
        <v>-3.169834198033282</v>
      </c>
      <c r="N567" s="1270">
        <v>-19.66870692142265</v>
      </c>
      <c r="O567" s="1270">
        <v>5.8999676270637824</v>
      </c>
      <c r="P567" s="1270">
        <v>1.6955468604434336</v>
      </c>
      <c r="R567" s="230"/>
      <c r="S567" s="230"/>
      <c r="T567" s="230"/>
      <c r="U567" s="230"/>
      <c r="V567" s="230"/>
      <c r="W567" s="230"/>
      <c r="X567" s="230"/>
      <c r="Y567" s="230"/>
      <c r="Z567" s="230"/>
      <c r="AA567" s="230"/>
      <c r="AB567" s="230"/>
      <c r="AC567" s="230"/>
    </row>
    <row r="568" spans="3:42" ht="15" customHeight="1">
      <c r="C568" s="1144"/>
      <c r="D568" s="172" t="str">
        <f>IF(Indice_index!$Z$1=1,"julho","July")</f>
        <v>julho</v>
      </c>
      <c r="E568" s="1271">
        <v>6.6115702479338845</v>
      </c>
      <c r="F568" s="1271">
        <v>84.482758620689651</v>
      </c>
      <c r="G568" s="1271">
        <v>-17.222820236813778</v>
      </c>
      <c r="H568" s="1271">
        <v>-0.61500615006150061</v>
      </c>
      <c r="I568" s="1271">
        <v>0</v>
      </c>
      <c r="J568" s="1271">
        <v>5.0085718424355763</v>
      </c>
      <c r="K568" s="1271">
        <v>87.175888936439208</v>
      </c>
      <c r="L568" s="1271">
        <v>-27.947730603627512</v>
      </c>
      <c r="M568" s="1271">
        <v>0.20488227365179362</v>
      </c>
      <c r="N568" s="1271">
        <v>5.1803294521605645</v>
      </c>
      <c r="O568" s="1271">
        <v>-1.6581632653061156</v>
      </c>
      <c r="P568" s="1271">
        <v>-12.962962962962965</v>
      </c>
      <c r="R568" s="230"/>
      <c r="S568" s="230"/>
      <c r="T568" s="230"/>
      <c r="U568" s="230"/>
      <c r="V568" s="230"/>
      <c r="W568" s="230"/>
      <c r="X568" s="230"/>
      <c r="Y568" s="230"/>
      <c r="Z568" s="230"/>
      <c r="AA568" s="230"/>
      <c r="AB568" s="230"/>
      <c r="AC568" s="230"/>
    </row>
    <row r="569" spans="3:42" ht="15" customHeight="1">
      <c r="C569" s="1144"/>
      <c r="D569" s="172" t="str">
        <f>IF(Indice_index!$Z$1=1,"agosto","August")</f>
        <v>agosto</v>
      </c>
      <c r="E569" s="1272">
        <v>1.0884353741496597</v>
      </c>
      <c r="F569" s="1272">
        <v>250</v>
      </c>
      <c r="G569" s="1272">
        <v>-13.700000000000001</v>
      </c>
      <c r="H569" s="1272">
        <v>-1.2370311252992818</v>
      </c>
      <c r="I569" s="1272">
        <v>-9.4178082191780828</v>
      </c>
      <c r="J569" s="1272">
        <v>1.1528777438475686</v>
      </c>
      <c r="K569" s="1272">
        <v>284.5793446017957</v>
      </c>
      <c r="L569" s="1272">
        <v>-15.542383367587629</v>
      </c>
      <c r="M569" s="1272">
        <v>1.6462628904625347</v>
      </c>
      <c r="N569" s="1272">
        <v>-9.4192375120917387</v>
      </c>
      <c r="O569" s="1272">
        <v>-0.38579639398471494</v>
      </c>
      <c r="P569" s="1272">
        <v>-2.1268925739004967</v>
      </c>
      <c r="X569" s="229"/>
      <c r="Y569" s="229"/>
      <c r="Z569" s="229"/>
      <c r="AA569" s="229"/>
    </row>
    <row r="570" spans="3:42" s="171" customFormat="1" ht="15" customHeight="1">
      <c r="C570" s="1144"/>
      <c r="D570" s="172" t="str">
        <f>IF(Indice_index!$Z$1=1,"setembro","September")</f>
        <v>setembro</v>
      </c>
      <c r="E570" s="1273">
        <v>-9.3323216995447638</v>
      </c>
      <c r="F570" s="1273">
        <v>203.44827586206895</v>
      </c>
      <c r="G570" s="1273">
        <v>-5.8214747736093138</v>
      </c>
      <c r="H570" s="1273">
        <v>-5.1415094339622645</v>
      </c>
      <c r="I570" s="1273">
        <v>-11.067193675889328</v>
      </c>
      <c r="J570" s="1273">
        <v>-12.809356610489218</v>
      </c>
      <c r="K570" s="1273">
        <v>140.93232406620285</v>
      </c>
      <c r="L570" s="1273">
        <v>-9.7409309505205357</v>
      </c>
      <c r="M570" s="1273">
        <v>-9.895767217684762</v>
      </c>
      <c r="N570" s="1273">
        <v>-3.3772702929630589</v>
      </c>
      <c r="O570" s="1273">
        <v>-5.4364669421487637</v>
      </c>
      <c r="P570" s="1273">
        <v>-4.1591968447472096</v>
      </c>
      <c r="R570" s="229"/>
      <c r="S570" s="229"/>
      <c r="T570" s="229"/>
      <c r="U570" s="229"/>
      <c r="V570" s="229"/>
      <c r="W570" s="229"/>
      <c r="X570" s="229"/>
      <c r="Y570" s="229"/>
      <c r="Z570" s="229"/>
      <c r="AA570" s="229"/>
      <c r="AB570" s="229"/>
      <c r="AC570" s="229"/>
    </row>
    <row r="571" spans="3:42" s="171" customFormat="1" ht="15" customHeight="1">
      <c r="C571" s="1144"/>
      <c r="D571" s="172" t="str">
        <f>IF(Indice_index!$Z$1=1,"outubro","October")</f>
        <v>outubro</v>
      </c>
      <c r="E571" s="1264">
        <v>4.9751243781094532</v>
      </c>
      <c r="F571" s="1264">
        <v>270.37037037037038</v>
      </c>
      <c r="G571" s="1264">
        <v>-20.181112548512289</v>
      </c>
      <c r="H571" s="1264">
        <v>-1.1465603190428715</v>
      </c>
      <c r="I571" s="1264">
        <v>5.0390964378801044</v>
      </c>
      <c r="J571" s="1264">
        <v>-6.0763421714063153</v>
      </c>
      <c r="K571" s="1264">
        <v>194.01323091652299</v>
      </c>
      <c r="L571" s="1264">
        <v>-25.297590254874684</v>
      </c>
      <c r="M571" s="1264">
        <v>-5.9955164390096174</v>
      </c>
      <c r="N571" s="1264">
        <v>0.9546927428930112</v>
      </c>
      <c r="O571" s="1264">
        <v>-11.072640868974876</v>
      </c>
      <c r="P571" s="1264">
        <v>-6.4081558346986949</v>
      </c>
      <c r="R571" s="229"/>
      <c r="S571" s="229"/>
      <c r="T571" s="229"/>
      <c r="U571" s="229"/>
      <c r="V571" s="229"/>
      <c r="W571" s="229"/>
      <c r="X571" s="229"/>
      <c r="Y571" s="229"/>
      <c r="Z571" s="229"/>
      <c r="AA571" s="229"/>
      <c r="AB571" s="229"/>
      <c r="AC571" s="229"/>
    </row>
    <row r="572" spans="3:42" s="171" customFormat="1" ht="15" customHeight="1">
      <c r="C572" s="1144"/>
      <c r="D572" s="172" t="str">
        <f>IF(Indice_index!$Z$1=1,"novembro","November")</f>
        <v>novembro</v>
      </c>
      <c r="E572" s="1265">
        <v>6.4806480648064806</v>
      </c>
      <c r="F572" s="1265">
        <v>19.767441860465116</v>
      </c>
      <c r="G572" s="1265">
        <v>-8.2663605051664764</v>
      </c>
      <c r="H572" s="1265">
        <v>0.82205029013539643</v>
      </c>
      <c r="I572" s="1265">
        <v>0.34423407917383825</v>
      </c>
      <c r="J572" s="1265">
        <v>-9.690802327995101</v>
      </c>
      <c r="K572" s="1265">
        <v>27.931887816267697</v>
      </c>
      <c r="L572" s="1265">
        <v>2.9603281138616149</v>
      </c>
      <c r="M572" s="1265">
        <v>-5.600200726058632</v>
      </c>
      <c r="N572" s="1265">
        <v>0.9995907799451953</v>
      </c>
      <c r="O572" s="1265">
        <v>-14.036321780278808</v>
      </c>
      <c r="P572" s="1265">
        <v>12.225034066575812</v>
      </c>
      <c r="R572" s="229"/>
      <c r="S572" s="229"/>
      <c r="T572" s="229"/>
      <c r="U572" s="229"/>
      <c r="V572" s="229"/>
      <c r="W572" s="229"/>
      <c r="X572" s="229"/>
      <c r="Y572" s="229"/>
      <c r="Z572" s="229"/>
      <c r="AA572" s="229"/>
      <c r="AB572" s="229"/>
      <c r="AC572" s="229"/>
    </row>
    <row r="573" spans="3:42" s="171" customFormat="1" ht="15" customHeight="1">
      <c r="C573" s="1144"/>
      <c r="D573" s="172" t="str">
        <f>IF(Indice_index!$Z$1=1,"dezembro","December")</f>
        <v>dezembro</v>
      </c>
      <c r="E573" s="1274">
        <v>19.01608325449385</v>
      </c>
      <c r="F573" s="1274">
        <v>-18.867924528301888</v>
      </c>
      <c r="G573" s="1274">
        <v>-10.123734533183352</v>
      </c>
      <c r="H573" s="1274">
        <v>4.4346978557504872</v>
      </c>
      <c r="I573" s="1274">
        <v>-10.170807453416149</v>
      </c>
      <c r="J573" s="1274">
        <v>-7.0280443294290809</v>
      </c>
      <c r="K573" s="1274">
        <v>-18.226872590732171</v>
      </c>
      <c r="L573" s="1274">
        <v>-9.4014733085164384</v>
      </c>
      <c r="M573" s="1274">
        <v>-8.052363887392282</v>
      </c>
      <c r="N573" s="1274">
        <v>-6.4650862252319223</v>
      </c>
      <c r="O573" s="1274">
        <v>-20.150636619044779</v>
      </c>
      <c r="P573" s="1274">
        <v>0.81780144541652111</v>
      </c>
      <c r="R573" s="229"/>
      <c r="S573" s="229"/>
      <c r="T573" s="229"/>
      <c r="U573" s="229"/>
      <c r="V573" s="229"/>
      <c r="W573" s="229"/>
      <c r="X573" s="229"/>
      <c r="Y573" s="229"/>
      <c r="Z573" s="229"/>
      <c r="AA573" s="229"/>
      <c r="AB573" s="229"/>
      <c r="AC573" s="229"/>
    </row>
    <row r="574" spans="3:42" ht="15" customHeight="1">
      <c r="C574" s="1267" t="s">
        <v>74</v>
      </c>
      <c r="D574" s="171"/>
      <c r="E574" s="1214"/>
      <c r="F574" s="1214"/>
      <c r="G574" s="1214"/>
      <c r="H574" s="1214"/>
      <c r="I574" s="1214"/>
      <c r="J574" s="1214"/>
      <c r="K574" s="1214"/>
      <c r="L574" s="1214"/>
      <c r="N574" s="1214"/>
      <c r="O574" s="1214"/>
      <c r="P574" s="1214"/>
      <c r="R574" s="230"/>
      <c r="S574" s="230"/>
      <c r="T574" s="230"/>
      <c r="U574" s="230"/>
      <c r="V574" s="230"/>
      <c r="W574" s="230"/>
      <c r="X574" s="230"/>
      <c r="Y574" s="230"/>
      <c r="Z574" s="230"/>
      <c r="AA574" s="230"/>
      <c r="AB574" s="230"/>
      <c r="AC574" s="230"/>
    </row>
    <row r="575" spans="3:42" s="171" customFormat="1" ht="15" customHeight="1">
      <c r="C575" s="1144"/>
      <c r="D575" s="172" t="str">
        <f>IF(Indice_index!$Z$1=1,"janeiro","January")</f>
        <v>janeiro</v>
      </c>
      <c r="E575" s="1275">
        <v>40.33203125</v>
      </c>
      <c r="F575" s="1275">
        <v>10.344827586206897</v>
      </c>
      <c r="G575" s="1275">
        <v>-8.112094395280236</v>
      </c>
      <c r="H575" s="1275">
        <v>20.514253773057575</v>
      </c>
      <c r="I575" s="1275">
        <v>0.45489006823351025</v>
      </c>
      <c r="J575" s="1275">
        <v>22.305863522315818</v>
      </c>
      <c r="K575" s="1275">
        <v>1.6508153079192049</v>
      </c>
      <c r="L575" s="1275">
        <v>-13.902845481270507</v>
      </c>
      <c r="M575" s="1275">
        <v>14.911728527222698</v>
      </c>
      <c r="N575" s="1275">
        <v>4.814647640107542</v>
      </c>
      <c r="O575" s="1275">
        <v>-12.258681108633329</v>
      </c>
      <c r="P575" s="1275">
        <v>-6.2943423685646742</v>
      </c>
      <c r="R575" s="230"/>
      <c r="S575" s="230"/>
      <c r="T575" s="230"/>
      <c r="U575" s="230"/>
      <c r="V575" s="230"/>
      <c r="W575" s="230"/>
      <c r="X575" s="230"/>
      <c r="Y575" s="230"/>
      <c r="Z575" s="230"/>
      <c r="AA575" s="230"/>
      <c r="AB575" s="230"/>
      <c r="AC575" s="230"/>
      <c r="AD575" s="418"/>
      <c r="AE575" s="418"/>
      <c r="AF575" s="418"/>
      <c r="AG575" s="418"/>
      <c r="AH575" s="418"/>
      <c r="AI575" s="418"/>
      <c r="AJ575" s="418"/>
      <c r="AK575" s="418"/>
      <c r="AL575" s="418"/>
      <c r="AM575" s="418"/>
      <c r="AN575" s="418"/>
      <c r="AO575" s="418"/>
    </row>
    <row r="576" spans="3:42" s="171" customFormat="1" ht="15" customHeight="1">
      <c r="C576" s="1144"/>
      <c r="D576" s="172" t="str">
        <f>IF(Indice_index!$Z$1=1,"fevereiro","February")</f>
        <v>fevereiro</v>
      </c>
      <c r="E576" s="1276">
        <v>51.415628539071342</v>
      </c>
      <c r="F576" s="1276">
        <v>-48.514851485148512</v>
      </c>
      <c r="G576" s="1276">
        <v>-16.746411483253588</v>
      </c>
      <c r="H576" s="1276">
        <v>14.560439560439562</v>
      </c>
      <c r="I576" s="1276">
        <v>-10.786650774731823</v>
      </c>
      <c r="J576" s="1276">
        <v>45.549798815759672</v>
      </c>
      <c r="K576" s="1276">
        <v>-34.053268290232694</v>
      </c>
      <c r="L576" s="1276">
        <v>-11.666590267175669</v>
      </c>
      <c r="M576" s="1276">
        <v>27.194810628425365</v>
      </c>
      <c r="N576" s="1276">
        <v>-10.82566351975551</v>
      </c>
      <c r="O576" s="1276">
        <v>-0.90953613657034915</v>
      </c>
      <c r="P576" s="1277">
        <v>6.1042274052478138</v>
      </c>
      <c r="R576" s="230"/>
      <c r="S576" s="230"/>
      <c r="T576" s="230"/>
      <c r="U576" s="230"/>
      <c r="V576" s="230"/>
      <c r="W576" s="230"/>
      <c r="X576" s="230"/>
      <c r="Y576" s="230"/>
      <c r="Z576" s="230"/>
      <c r="AA576" s="230"/>
      <c r="AB576" s="230"/>
      <c r="AC576" s="230"/>
      <c r="AD576" s="418"/>
      <c r="AE576" s="418"/>
      <c r="AF576" s="418"/>
      <c r="AG576" s="418"/>
      <c r="AH576" s="418"/>
      <c r="AI576" s="418"/>
      <c r="AJ576" s="418"/>
      <c r="AK576" s="418"/>
      <c r="AL576" s="418"/>
      <c r="AM576" s="418"/>
      <c r="AN576" s="418"/>
      <c r="AO576" s="418"/>
    </row>
    <row r="577" spans="3:42" s="171" customFormat="1" ht="15" customHeight="1">
      <c r="C577" s="1144"/>
      <c r="D577" s="172" t="str">
        <f>IF(Indice_index!$Z$1=1,"março","March")</f>
        <v>março</v>
      </c>
      <c r="E577" s="1278">
        <v>8.7837837837837842</v>
      </c>
      <c r="F577" s="1278">
        <v>-63.513513513513509</v>
      </c>
      <c r="G577" s="1278">
        <v>-30.241187384044526</v>
      </c>
      <c r="H577" s="1278">
        <v>-16.095890410958905</v>
      </c>
      <c r="I577" s="1278">
        <v>-41.455301455301459</v>
      </c>
      <c r="J577" s="1278">
        <v>8.5940753215003394</v>
      </c>
      <c r="K577" s="1278">
        <v>-30.92030818300206</v>
      </c>
      <c r="L577" s="1278">
        <v>-41.223820233966045</v>
      </c>
      <c r="M577" s="1278">
        <v>-6.5820380084581718</v>
      </c>
      <c r="N577" s="1278">
        <v>-39.410469630938792</v>
      </c>
      <c r="O577" s="1278">
        <v>9.9517534384676356</v>
      </c>
      <c r="P577" s="1279">
        <v>-15.746924428822501</v>
      </c>
      <c r="R577" s="230"/>
      <c r="S577" s="230"/>
      <c r="T577" s="230"/>
      <c r="U577" s="230"/>
      <c r="V577" s="230"/>
      <c r="W577" s="230"/>
      <c r="X577" s="230"/>
      <c r="Y577" s="230"/>
      <c r="Z577" s="230"/>
      <c r="AA577" s="230"/>
      <c r="AB577" s="230"/>
      <c r="AC577" s="230"/>
      <c r="AD577" s="418"/>
      <c r="AE577" s="418"/>
      <c r="AF577" s="418"/>
      <c r="AG577" s="418"/>
      <c r="AH577" s="418"/>
      <c r="AI577" s="418"/>
      <c r="AJ577" s="418"/>
      <c r="AK577" s="418"/>
      <c r="AL577" s="418"/>
      <c r="AM577" s="418"/>
      <c r="AN577" s="418"/>
      <c r="AO577" s="418"/>
    </row>
    <row r="578" spans="3:42" ht="15" customHeight="1">
      <c r="C578" s="1144"/>
      <c r="D578" s="172" t="str">
        <f>IF(Indice_index!$Z$1=1,"abril","April")</f>
        <v>abril</v>
      </c>
      <c r="E578" s="1260">
        <v>3.9750584567420111</v>
      </c>
      <c r="F578" s="1260">
        <v>-6.9444444444444446</v>
      </c>
      <c r="G578" s="1260">
        <v>-24.595469255663431</v>
      </c>
      <c r="H578" s="1260">
        <v>-9.95754534928599</v>
      </c>
      <c r="I578" s="1260">
        <v>-27.38821138211382</v>
      </c>
      <c r="J578" s="1260">
        <v>10.23626176330926</v>
      </c>
      <c r="K578" s="1260">
        <v>-0.726983799668946</v>
      </c>
      <c r="L578" s="1260">
        <v>-30.943539529049314</v>
      </c>
      <c r="M578" s="1260">
        <v>-1.383180120779361</v>
      </c>
      <c r="N578" s="1260">
        <v>-27.141627720027167</v>
      </c>
      <c r="O578" s="1260">
        <v>6.2143218440638766</v>
      </c>
      <c r="P578" s="1260">
        <v>-8.4173913043478219</v>
      </c>
      <c r="R578" s="230"/>
      <c r="S578" s="230"/>
      <c r="T578" s="230"/>
      <c r="U578" s="230"/>
      <c r="V578" s="230"/>
      <c r="W578" s="230"/>
      <c r="X578" s="230"/>
      <c r="Y578" s="230"/>
      <c r="Z578" s="230"/>
      <c r="AA578" s="230"/>
      <c r="AB578" s="230"/>
      <c r="AC578" s="230"/>
      <c r="AD578" s="418"/>
      <c r="AE578" s="418"/>
      <c r="AF578" s="418"/>
      <c r="AG578" s="418"/>
      <c r="AH578" s="418"/>
      <c r="AI578" s="418"/>
      <c r="AJ578" s="418"/>
      <c r="AK578" s="418"/>
      <c r="AL578" s="418"/>
      <c r="AM578" s="418"/>
      <c r="AN578" s="418"/>
      <c r="AO578" s="418"/>
      <c r="AP578" s="171"/>
    </row>
    <row r="579" spans="3:42" ht="15" customHeight="1">
      <c r="C579" s="1144"/>
      <c r="D579" s="172" t="str">
        <f>IF(Indice_index!$Z$1=1,"maio","May")</f>
        <v>maio</v>
      </c>
      <c r="E579" s="1269">
        <v>18.807339449541285</v>
      </c>
      <c r="F579" s="1269">
        <v>-30</v>
      </c>
      <c r="G579" s="1269">
        <v>-20.821114369501466</v>
      </c>
      <c r="H579" s="1269">
        <v>0</v>
      </c>
      <c r="I579" s="1269">
        <v>7.9491255961844196</v>
      </c>
      <c r="J579" s="1269">
        <v>38.494988235755002</v>
      </c>
      <c r="K579" s="1269">
        <v>-35.02629038086301</v>
      </c>
      <c r="L579" s="1269">
        <v>-17.264874383035178</v>
      </c>
      <c r="M579" s="1269">
        <v>22.220851039469331</v>
      </c>
      <c r="N579" s="1269">
        <v>10.554701472596266</v>
      </c>
      <c r="O579" s="1269">
        <v>16.041030117852468</v>
      </c>
      <c r="P579" s="1269">
        <v>4.4960383268840936</v>
      </c>
      <c r="R579" s="230"/>
      <c r="S579" s="230"/>
      <c r="T579" s="230"/>
      <c r="U579" s="230"/>
      <c r="V579" s="230"/>
      <c r="W579" s="230"/>
      <c r="X579" s="230"/>
      <c r="Y579" s="230"/>
      <c r="Z579" s="230"/>
      <c r="AA579" s="230"/>
      <c r="AB579" s="230"/>
      <c r="AC579" s="230"/>
      <c r="AD579" s="418"/>
      <c r="AE579" s="418"/>
      <c r="AF579" s="418"/>
      <c r="AG579" s="418"/>
      <c r="AH579" s="418"/>
      <c r="AI579" s="418"/>
      <c r="AJ579" s="418"/>
      <c r="AK579" s="418"/>
      <c r="AL579" s="418"/>
      <c r="AM579" s="418"/>
      <c r="AN579" s="418"/>
      <c r="AO579" s="418"/>
      <c r="AP579" s="171"/>
    </row>
    <row r="580" spans="3:42" ht="15" customHeight="1">
      <c r="C580" s="1144"/>
      <c r="D580" s="172" t="str">
        <f>IF(Indice_index!$Z$1=1,"junho","June")</f>
        <v>junho</v>
      </c>
      <c r="E580" s="1270">
        <v>23.243243243243246</v>
      </c>
      <c r="F580" s="1270">
        <v>-12.612612612612612</v>
      </c>
      <c r="G580" s="1270">
        <v>-10.492505353319057</v>
      </c>
      <c r="H580" s="1270">
        <v>8.0769230769230766</v>
      </c>
      <c r="I580" s="1270">
        <v>18.263205013428827</v>
      </c>
      <c r="J580" s="1270">
        <v>54.366247694733858</v>
      </c>
      <c r="K580" s="1270">
        <v>-18.612591684026185</v>
      </c>
      <c r="L580" s="1270">
        <v>-10.771702382327014</v>
      </c>
      <c r="M580" s="1270">
        <v>36.078310418312739</v>
      </c>
      <c r="N580" s="1270">
        <v>23.857149090524139</v>
      </c>
      <c r="O580" s="1270">
        <v>23.790599923576611</v>
      </c>
      <c r="P580" s="1270">
        <v>-0.3114694027116035</v>
      </c>
      <c r="R580" s="230"/>
      <c r="S580" s="230"/>
      <c r="T580" s="230"/>
      <c r="U580" s="230"/>
      <c r="V580" s="230"/>
      <c r="W580" s="230"/>
      <c r="X580" s="230"/>
      <c r="Y580" s="230"/>
      <c r="Z580" s="230"/>
      <c r="AA580" s="230"/>
      <c r="AB580" s="230"/>
      <c r="AC580" s="230"/>
    </row>
    <row r="581" spans="3:42" ht="15" customHeight="1">
      <c r="C581" s="1144"/>
      <c r="D581" s="172" t="str">
        <f>IF(Indice_index!$Z$1=1,"julho","July")</f>
        <v>julho</v>
      </c>
      <c r="E581" s="1271">
        <v>-30.87855297157623</v>
      </c>
      <c r="F581" s="1271">
        <v>-25.233644859813083</v>
      </c>
      <c r="G581" s="1271">
        <v>-10.273081924577374</v>
      </c>
      <c r="H581" s="1271">
        <v>-24.092409240924091</v>
      </c>
      <c r="I581" s="1271">
        <v>13.936651583710407</v>
      </c>
      <c r="J581" s="1271">
        <v>-16.557965022558076</v>
      </c>
      <c r="K581" s="1271">
        <v>-26.381531179405748</v>
      </c>
      <c r="L581" s="1271">
        <v>-4.3492300729846729</v>
      </c>
      <c r="M581" s="1271">
        <v>-15.184254271403594</v>
      </c>
      <c r="N581" s="1271">
        <v>11.071876292484903</v>
      </c>
      <c r="O581" s="1271">
        <v>19.256885633630873</v>
      </c>
      <c r="P581" s="1271">
        <v>6.6193853427896023</v>
      </c>
      <c r="R581" s="230"/>
      <c r="S581" s="230"/>
      <c r="T581" s="230"/>
      <c r="U581" s="230"/>
      <c r="V581" s="230"/>
      <c r="W581" s="230"/>
      <c r="X581" s="230"/>
      <c r="Y581" s="230"/>
      <c r="Z581" s="230"/>
      <c r="AA581" s="230"/>
      <c r="AB581" s="230"/>
      <c r="AC581" s="230"/>
    </row>
    <row r="582" spans="3:42" ht="15" customHeight="1">
      <c r="C582" s="1144"/>
      <c r="D582" s="172" t="str">
        <f>IF(Indice_index!$Z$1=1,"agosto","August")</f>
        <v>agosto</v>
      </c>
      <c r="E582" s="1272">
        <v>-21.534320323014803</v>
      </c>
      <c r="F582" s="1272">
        <v>-36.507936507936506</v>
      </c>
      <c r="G582" s="1272">
        <v>-10.196987253765933</v>
      </c>
      <c r="H582" s="1272">
        <v>-18.343434343434343</v>
      </c>
      <c r="I582" s="1272">
        <v>29.017013232514177</v>
      </c>
      <c r="J582" s="1272">
        <v>-0.51099783583984504</v>
      </c>
      <c r="K582" s="1272">
        <v>-39.274236561710566</v>
      </c>
      <c r="L582" s="1272">
        <v>-2.673506885388639</v>
      </c>
      <c r="M582" s="1272">
        <v>-3.1128428435897515</v>
      </c>
      <c r="N582" s="1272">
        <v>36.404253231242009</v>
      </c>
      <c r="O582" s="1272">
        <v>25.221308883970906</v>
      </c>
      <c r="P582" s="1272">
        <v>8.3793738489871075</v>
      </c>
      <c r="X582" s="229"/>
      <c r="Y582" s="229"/>
      <c r="Z582" s="229"/>
      <c r="AA582" s="229"/>
    </row>
    <row r="583" spans="3:42" s="171" customFormat="1" ht="15" customHeight="1">
      <c r="C583" s="1144"/>
      <c r="D583" s="172" t="str">
        <f>IF(Indice_index!$Z$1=1,"setembro","September")</f>
        <v>setembro</v>
      </c>
      <c r="E583" s="1293">
        <v>11.631799163179917</v>
      </c>
      <c r="F583" s="1293">
        <v>0</v>
      </c>
      <c r="G583" s="1293">
        <v>15.384615384615385</v>
      </c>
      <c r="H583" s="1293">
        <v>12.481352560914969</v>
      </c>
      <c r="I583" s="1293">
        <v>15.37777777777778</v>
      </c>
      <c r="J583" s="1293">
        <v>23.445396569347331</v>
      </c>
      <c r="K583" s="1293">
        <v>19.337407913023544</v>
      </c>
      <c r="L583" s="1293">
        <v>8.998576602709484</v>
      </c>
      <c r="M583" s="1293">
        <v>20.796074168410534</v>
      </c>
      <c r="N583" s="1293">
        <v>10.053629495858649</v>
      </c>
      <c r="O583" s="1293">
        <v>11.190768810596758</v>
      </c>
      <c r="P583" s="1292">
        <v>-5.5368499812944298</v>
      </c>
      <c r="R583" s="229"/>
      <c r="S583" s="229"/>
      <c r="T583" s="229"/>
      <c r="U583" s="229"/>
      <c r="V583" s="229"/>
      <c r="W583" s="229"/>
      <c r="X583" s="229"/>
      <c r="Y583" s="229"/>
      <c r="Z583" s="229"/>
      <c r="AA583" s="229"/>
      <c r="AB583" s="229"/>
      <c r="AC583" s="229"/>
    </row>
    <row r="584" spans="3:42" s="171" customFormat="1" ht="15" hidden="1" customHeight="1">
      <c r="C584" s="1144"/>
      <c r="D584" s="172" t="str">
        <f>IF(Indice_index!$Z$1=1,"outubro","October")</f>
        <v>outubro</v>
      </c>
      <c r="E584" s="1264"/>
      <c r="F584" s="1264"/>
      <c r="G584" s="1264"/>
      <c r="H584" s="1264"/>
      <c r="I584" s="1264"/>
      <c r="J584" s="1264"/>
      <c r="K584" s="1264"/>
      <c r="L584" s="1264"/>
      <c r="M584" s="1264"/>
      <c r="N584" s="1264"/>
      <c r="O584" s="1264"/>
      <c r="P584" s="1264"/>
      <c r="R584" s="229"/>
      <c r="S584" s="229"/>
      <c r="T584" s="229"/>
      <c r="U584" s="229"/>
      <c r="V584" s="229"/>
      <c r="W584" s="229"/>
      <c r="X584" s="229"/>
      <c r="Y584" s="229"/>
      <c r="Z584" s="229"/>
      <c r="AA584" s="229"/>
      <c r="AB584" s="229"/>
      <c r="AC584" s="229"/>
    </row>
    <row r="585" spans="3:42" s="171" customFormat="1" ht="15" hidden="1" customHeight="1">
      <c r="C585" s="1144"/>
      <c r="D585" s="172" t="str">
        <f>IF(Indice_index!$Z$1=1,"novembro","November")</f>
        <v>novembro</v>
      </c>
      <c r="E585" s="1265"/>
      <c r="F585" s="1265"/>
      <c r="G585" s="1265"/>
      <c r="H585" s="1265"/>
      <c r="I585" s="1265"/>
      <c r="J585" s="1265"/>
      <c r="K585" s="1265"/>
      <c r="L585" s="1265"/>
      <c r="M585" s="1265"/>
      <c r="N585" s="1265"/>
      <c r="O585" s="1265"/>
      <c r="P585" s="1265"/>
      <c r="R585" s="229"/>
      <c r="S585" s="229"/>
      <c r="T585" s="229"/>
      <c r="U585" s="229"/>
      <c r="V585" s="229"/>
      <c r="W585" s="229"/>
      <c r="X585" s="229"/>
      <c r="Y585" s="229"/>
      <c r="Z585" s="229"/>
      <c r="AA585" s="229"/>
      <c r="AB585" s="229"/>
      <c r="AC585" s="229"/>
    </row>
    <row r="586" spans="3:42" s="171" customFormat="1" ht="15" hidden="1" customHeight="1">
      <c r="C586" s="1144"/>
      <c r="D586" s="172" t="str">
        <f>IF(Indice_index!$Z$1=1,"dezembro","December")</f>
        <v>dezembro</v>
      </c>
      <c r="E586" s="1274"/>
      <c r="F586" s="1274"/>
      <c r="G586" s="1274"/>
      <c r="H586" s="1274"/>
      <c r="I586" s="1274"/>
      <c r="J586" s="1274"/>
      <c r="K586" s="1274"/>
      <c r="L586" s="1274"/>
      <c r="M586" s="1274"/>
      <c r="N586" s="1274"/>
      <c r="O586" s="1274"/>
      <c r="P586" s="1274"/>
      <c r="R586" s="229"/>
      <c r="S586" s="229"/>
      <c r="T586" s="229"/>
      <c r="U586" s="229"/>
      <c r="V586" s="229"/>
      <c r="W586" s="229"/>
      <c r="X586" s="229"/>
      <c r="Y586" s="229"/>
      <c r="Z586" s="229"/>
      <c r="AA586" s="229"/>
      <c r="AB586" s="229"/>
      <c r="AC586" s="229"/>
    </row>
    <row r="587" spans="3:42" ht="3" customHeight="1">
      <c r="C587" s="1139"/>
      <c r="D587" s="1140"/>
      <c r="E587" s="1140"/>
      <c r="F587" s="1140"/>
      <c r="G587" s="1140"/>
      <c r="H587" s="1140"/>
      <c r="I587" s="1140"/>
      <c r="J587" s="1140"/>
      <c r="K587" s="1140"/>
      <c r="L587" s="1140"/>
      <c r="M587" s="1140"/>
      <c r="N587" s="1140"/>
      <c r="O587" s="1140"/>
      <c r="P587" s="1140"/>
      <c r="X587" s="229"/>
      <c r="Y587" s="229"/>
      <c r="Z587" s="229"/>
      <c r="AA587" s="229"/>
    </row>
    <row r="588" spans="3:42" ht="4.5" customHeight="1">
      <c r="C588" s="1280"/>
      <c r="D588" s="171"/>
      <c r="E588" s="1214"/>
      <c r="F588" s="1214"/>
      <c r="G588" s="1214"/>
      <c r="H588" s="1214"/>
      <c r="I588" s="1214"/>
      <c r="J588" s="1214"/>
      <c r="K588" s="1214"/>
      <c r="L588" s="1214"/>
      <c r="M588" s="1214"/>
      <c r="N588" s="1214"/>
      <c r="O588" s="1214"/>
      <c r="P588" s="1214"/>
    </row>
    <row r="589" spans="3:42" ht="5.15" customHeight="1">
      <c r="C589" s="1280"/>
    </row>
    <row r="590" spans="3:42" ht="15" customHeight="1">
      <c r="C590" s="1281" t="str">
        <f>IF(Indice_index!$Z$1=1,"Notas:","Notes:")</f>
        <v>Notas:</v>
      </c>
      <c r="L590" s="229"/>
      <c r="M590" s="229"/>
      <c r="N590" s="229"/>
      <c r="O590" s="229"/>
      <c r="P590" s="229"/>
    </row>
    <row r="591" spans="3:42" ht="31.5" customHeight="1">
      <c r="C591" s="1774"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74"/>
      <c r="E591" s="1774"/>
      <c r="F591" s="1774"/>
      <c r="G591" s="1774"/>
      <c r="H591" s="1774"/>
      <c r="I591" s="1774"/>
      <c r="J591" s="1774"/>
      <c r="K591" s="1774"/>
      <c r="L591" s="1774"/>
      <c r="M591" s="1774"/>
      <c r="N591" s="1774"/>
      <c r="O591" s="1774"/>
      <c r="P591" s="1774"/>
    </row>
    <row r="592" spans="3:42" ht="34.5" customHeight="1">
      <c r="C592" s="1774"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74"/>
      <c r="E592" s="1774"/>
      <c r="F592" s="1774"/>
      <c r="G592" s="1774"/>
      <c r="H592" s="1774"/>
      <c r="I592" s="1774"/>
      <c r="J592" s="1774"/>
      <c r="K592" s="1774"/>
      <c r="L592" s="1774"/>
      <c r="M592" s="1774"/>
      <c r="N592" s="1774"/>
      <c r="O592" s="1774"/>
      <c r="P592" s="1774"/>
    </row>
    <row r="593" spans="3:27" ht="5.15" customHeight="1">
      <c r="C593" s="1280"/>
    </row>
    <row r="594" spans="3:27" s="173" customFormat="1" ht="26.25" hidden="1" customHeight="1">
      <c r="C594" s="1775" t="s">
        <v>57</v>
      </c>
      <c r="D594" s="1775"/>
      <c r="E594" s="1775"/>
      <c r="F594" s="1775"/>
      <c r="G594" s="1775"/>
      <c r="H594" s="1775"/>
      <c r="I594" s="1775"/>
      <c r="J594" s="1775"/>
      <c r="K594" s="1775"/>
      <c r="L594" s="1775"/>
      <c r="M594" s="1775"/>
      <c r="N594" s="1775"/>
      <c r="O594" s="1775"/>
      <c r="P594" s="1775"/>
      <c r="X594" s="103"/>
      <c r="Y594" s="103"/>
      <c r="Z594" s="103"/>
      <c r="AA594" s="174"/>
    </row>
    <row r="595" spans="3:27" s="173" customFormat="1" ht="15" hidden="1" customHeight="1">
      <c r="C595" s="1282" t="s">
        <v>14</v>
      </c>
      <c r="X595" s="103"/>
      <c r="Y595" s="103"/>
      <c r="Z595" s="103"/>
      <c r="AA595" s="174"/>
    </row>
    <row r="596" spans="3:27" s="173" customFormat="1" ht="36.75" hidden="1" customHeight="1">
      <c r="C596" s="1775" t="s">
        <v>55</v>
      </c>
      <c r="D596" s="1775"/>
      <c r="E596" s="1775"/>
      <c r="F596" s="1775"/>
      <c r="G596" s="1775"/>
      <c r="H596" s="1775"/>
      <c r="I596" s="1775"/>
      <c r="J596" s="1775"/>
      <c r="K596" s="1775"/>
      <c r="L596" s="1775"/>
      <c r="M596" s="1775"/>
      <c r="N596" s="1775"/>
      <c r="O596" s="1775"/>
      <c r="P596" s="1775"/>
      <c r="X596" s="103"/>
      <c r="Y596" s="103"/>
      <c r="Z596" s="103"/>
      <c r="AA596" s="174"/>
    </row>
    <row r="597" spans="3:27" s="173" customFormat="1" ht="36.75" hidden="1" customHeight="1">
      <c r="C597" s="1775" t="s">
        <v>56</v>
      </c>
      <c r="D597" s="1775"/>
      <c r="E597" s="1775"/>
      <c r="F597" s="1775"/>
      <c r="G597" s="1775"/>
      <c r="H597" s="1775"/>
      <c r="I597" s="1775"/>
      <c r="J597" s="1775"/>
      <c r="K597" s="1775"/>
      <c r="L597" s="1775"/>
      <c r="M597" s="1775"/>
      <c r="N597" s="1775"/>
      <c r="O597" s="1775"/>
      <c r="P597" s="1775"/>
      <c r="X597" s="103"/>
      <c r="Y597" s="103"/>
      <c r="Z597" s="103"/>
      <c r="AA597" s="174"/>
    </row>
    <row r="598" spans="3:27" ht="15" customHeight="1">
      <c r="C598" s="229" t="str">
        <f>IF(Indice_index!$Z$1=1,"Fonte: Caixa Geral de Aposentações, I.P.","Source: CGA - Public Servants Social Scheme")</f>
        <v>Fonte: Caixa Geral de Aposentações, I.P.</v>
      </c>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2"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5" customWidth="1"/>
    <col min="2" max="2" width="4.453125" style="175" customWidth="1"/>
    <col min="3" max="3" width="77.453125" style="175" customWidth="1"/>
    <col min="4" max="4" width="8.54296875" style="175" customWidth="1"/>
    <col min="5" max="5" width="19.81640625" style="176" hidden="1" customWidth="1"/>
    <col min="6" max="6" width="2.54296875" style="96" hidden="1" customWidth="1"/>
    <col min="7" max="7" width="10.26953125" style="175" hidden="1" customWidth="1"/>
    <col min="8" max="13" width="8.54296875" style="175" hidden="1" customWidth="1"/>
    <col min="14" max="16" width="8.54296875" style="175" customWidth="1"/>
    <col min="17" max="18" width="8.54296875" style="175" hidden="1" customWidth="1"/>
    <col min="19" max="19" width="8.81640625" style="175" customWidth="1"/>
    <col min="20" max="20" width="10.453125" style="175" customWidth="1"/>
    <col min="21" max="21" width="2.54296875" style="96" customWidth="1"/>
    <col min="22" max="27" width="8.54296875" style="175" hidden="1" customWidth="1"/>
    <col min="28" max="30" width="8.54296875" style="175" customWidth="1"/>
    <col min="31" max="32" width="8.54296875" style="175" hidden="1" customWidth="1"/>
    <col min="33" max="33" width="6.1796875" style="175" hidden="1" customWidth="1"/>
    <col min="34" max="34" width="10.453125" style="175" customWidth="1"/>
    <col min="35" max="35" width="10" style="175"/>
    <col min="36" max="36" width="18.81640625" style="233" bestFit="1" customWidth="1"/>
    <col min="37" max="42" width="10" style="233"/>
    <col min="43" max="43" width="10" style="234"/>
    <col min="44" max="63" width="10" style="233"/>
    <col min="64" max="64" width="10" style="413"/>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408"/>
      <c r="D4" s="179"/>
      <c r="E4" s="1409"/>
      <c r="G4" s="1095"/>
      <c r="H4" s="1095"/>
      <c r="I4" s="1095"/>
      <c r="J4" s="1095"/>
      <c r="K4" s="1095"/>
      <c r="L4" s="179"/>
      <c r="M4" s="179"/>
      <c r="N4" s="179"/>
      <c r="O4" s="179"/>
      <c r="P4" s="179"/>
      <c r="Q4" s="179"/>
      <c r="R4" s="179"/>
      <c r="S4" s="179"/>
      <c r="T4" s="1095"/>
      <c r="V4" s="1095"/>
      <c r="W4" s="1095"/>
      <c r="X4" s="1095"/>
      <c r="Y4" s="1095"/>
      <c r="Z4" s="1095"/>
      <c r="AA4" s="179"/>
      <c r="AB4" s="179"/>
      <c r="AC4" s="179"/>
      <c r="AD4" s="179"/>
      <c r="AE4" s="179"/>
      <c r="AF4" s="179"/>
      <c r="AG4" s="179"/>
      <c r="AH4" s="1095" t="str">
        <f>IF(Indice_index!$Z$1=1,"€ Milhões","€ Millions")</f>
        <v>€ Milhões</v>
      </c>
    </row>
    <row r="5" spans="2:64" ht="27" customHeight="1">
      <c r="C5" s="801"/>
      <c r="D5" s="801"/>
      <c r="E5" s="800" t="str">
        <f>IF(Indice_index!$Z$1=1,"Classificação económica","Economic classification")</f>
        <v>Classificação económica</v>
      </c>
      <c r="F5" s="1410"/>
      <c r="G5" s="1776" t="str">
        <f>IF(Indice_index!$Z$1=1,"2021 - mensal e acumulado","2021 - monthly and cumulative")</f>
        <v>2021 - mensal e acumulado</v>
      </c>
      <c r="H5" s="1776" t="s">
        <v>15</v>
      </c>
      <c r="I5" s="1776" t="s">
        <v>15</v>
      </c>
      <c r="J5" s="1776" t="s">
        <v>15</v>
      </c>
      <c r="K5" s="1776" t="s">
        <v>15</v>
      </c>
      <c r="L5" s="1776" t="s">
        <v>15</v>
      </c>
      <c r="M5" s="1776" t="s">
        <v>15</v>
      </c>
      <c r="N5" s="1776" t="s">
        <v>15</v>
      </c>
      <c r="O5" s="1776" t="s">
        <v>15</v>
      </c>
      <c r="P5" s="1776" t="s">
        <v>15</v>
      </c>
      <c r="Q5" s="1776" t="s">
        <v>15</v>
      </c>
      <c r="R5" s="1776" t="s">
        <v>15</v>
      </c>
      <c r="S5" s="1776"/>
      <c r="T5" s="1776" t="s">
        <v>15</v>
      </c>
      <c r="U5" s="1410"/>
      <c r="V5" s="1776" t="str">
        <f>IF(Indice_index!$Z$1=1,"2022 - mensal e acumulado","2022 - monthly and cumulative")</f>
        <v>2022 - mensal e acumulado</v>
      </c>
      <c r="W5" s="1776" t="s">
        <v>15</v>
      </c>
      <c r="X5" s="1776" t="s">
        <v>15</v>
      </c>
      <c r="Y5" s="1776" t="s">
        <v>15</v>
      </c>
      <c r="Z5" s="1776" t="s">
        <v>15</v>
      </c>
      <c r="AA5" s="1776" t="s">
        <v>15</v>
      </c>
      <c r="AB5" s="1776" t="s">
        <v>15</v>
      </c>
      <c r="AC5" s="1776" t="s">
        <v>15</v>
      </c>
      <c r="AD5" s="1776" t="s">
        <v>15</v>
      </c>
      <c r="AE5" s="1776" t="s">
        <v>15</v>
      </c>
      <c r="AF5" s="1776" t="s">
        <v>15</v>
      </c>
      <c r="AG5" s="1776" t="s">
        <v>15</v>
      </c>
      <c r="AH5" s="1776" t="s">
        <v>15</v>
      </c>
    </row>
    <row r="6" spans="2:64" ht="22.4" customHeight="1">
      <c r="C6" s="801"/>
      <c r="D6" s="800"/>
      <c r="E6" s="800"/>
      <c r="G6" s="800" t="str">
        <f>IF(Indice_index!$Z$1=1,"jan","Jan")</f>
        <v>jan</v>
      </c>
      <c r="H6" s="800" t="str">
        <f>IF(Indice_index!$Z$1=1,"fev","Feb")</f>
        <v>fev</v>
      </c>
      <c r="I6" s="800" t="str">
        <f>IF(Indice_index!$Z$1=1,"mar","Mar")</f>
        <v>mar</v>
      </c>
      <c r="J6" s="800" t="str">
        <f>IF(Indice_index!$Z$1=1,"abr","Apr")</f>
        <v>abr</v>
      </c>
      <c r="K6" s="800" t="str">
        <f>IF(Indice_index!$Z$1=1,"mai","May")</f>
        <v>mai</v>
      </c>
      <c r="L6" s="800" t="str">
        <f>IF(Indice_index!$Z$1=1,"jun","Jun")</f>
        <v>jun</v>
      </c>
      <c r="M6" s="800" t="str">
        <f>IF(Indice_index!$Z$1=1,"jul","Jul")</f>
        <v>jul</v>
      </c>
      <c r="N6" s="800" t="str">
        <f>IF(Indice_index!$Z$1=1,"ago","Aug")</f>
        <v>ago</v>
      </c>
      <c r="O6" s="800" t="str">
        <f>IF(Indice_index!$Z$1=1,"set","Sep")</f>
        <v>set</v>
      </c>
      <c r="P6" s="800" t="str">
        <f>IF(Indice_index!$Z$1=1,"out","Oct")</f>
        <v>out</v>
      </c>
      <c r="Q6" s="800" t="str">
        <f>IF(Indice_index!$Z$1=1,"nov","Nov")</f>
        <v>nov</v>
      </c>
      <c r="R6" s="800" t="str">
        <f>IF(Indice_index!$Z$1=1,"dez","Dec")</f>
        <v>dez</v>
      </c>
      <c r="S6" s="800" t="str">
        <f>IF(Indice_index!$Z$1=1,"Ano até à data","Year to date")</f>
        <v>Ano até à data</v>
      </c>
      <c r="T6" s="800" t="str">
        <f>IF(Indice_index!$Z$1=1,"Acumulado","Cumulative")</f>
        <v>Acumulado</v>
      </c>
      <c r="V6" s="800" t="str">
        <f>IF(Indice_index!$Z$1=1,"jan","Jan")</f>
        <v>jan</v>
      </c>
      <c r="W6" s="800" t="str">
        <f>IF(Indice_index!$Z$1=1,"fev","Feb")</f>
        <v>fev</v>
      </c>
      <c r="X6" s="800" t="str">
        <f>IF(Indice_index!$Z$1=1,"mar","Mar")</f>
        <v>mar</v>
      </c>
      <c r="Y6" s="800" t="str">
        <f>IF(Indice_index!$Z$1=1,"abr","Apr")</f>
        <v>abr</v>
      </c>
      <c r="Z6" s="800" t="str">
        <f>IF(Indice_index!$Z$1=1,"mai","May")</f>
        <v>mai</v>
      </c>
      <c r="AA6" s="800" t="str">
        <f>IF(Indice_index!$Z$1=1,"jun","Jun")</f>
        <v>jun</v>
      </c>
      <c r="AB6" s="800" t="str">
        <f>IF(Indice_index!$Z$1=1,"jul","Jul")</f>
        <v>jul</v>
      </c>
      <c r="AC6" s="800" t="str">
        <f>IF(Indice_index!$Z$1=1,"ago","Aug")</f>
        <v>ago</v>
      </c>
      <c r="AD6" s="800" t="str">
        <f>IF(Indice_index!$Z$1=1,"set","Sep")</f>
        <v>set</v>
      </c>
      <c r="AE6" s="800" t="str">
        <f>IF(Indice_index!$Z$1=1,"out","Oct")</f>
        <v>out</v>
      </c>
      <c r="AF6" s="800" t="str">
        <f>IF(Indice_index!$Z$1=1,"nov","Nov")</f>
        <v>nov</v>
      </c>
      <c r="AG6" s="800" t="str">
        <f>IF(Indice_index!$Z$1=1,"dez","Dec")</f>
        <v>dez</v>
      </c>
      <c r="AH6" s="800" t="str">
        <f>IF(Indice_index!$Z$1=1,"Acumulado","Cumulative")</f>
        <v>Acumulado</v>
      </c>
    </row>
    <row r="7" spans="2:64" ht="4.5" customHeight="1">
      <c r="D7" s="1385"/>
      <c r="E7" s="1411"/>
      <c r="G7" s="1411"/>
      <c r="H7" s="1411"/>
      <c r="I7" s="1411"/>
      <c r="J7" s="1411"/>
      <c r="K7" s="1411"/>
      <c r="L7" s="1411"/>
      <c r="M7" s="1411"/>
      <c r="N7" s="1411"/>
      <c r="O7" s="1411"/>
      <c r="P7" s="1411"/>
      <c r="Q7" s="1411"/>
      <c r="R7" s="1411"/>
      <c r="S7" s="1411"/>
      <c r="T7" s="1411"/>
      <c r="V7" s="1411"/>
      <c r="W7" s="1411"/>
      <c r="X7" s="1411"/>
      <c r="Y7" s="1411"/>
      <c r="Z7" s="1411"/>
      <c r="AA7" s="1411"/>
      <c r="AB7" s="1411"/>
      <c r="AC7" s="1411"/>
      <c r="AD7" s="1411"/>
      <c r="AE7" s="1411"/>
      <c r="AF7" s="1411"/>
      <c r="AG7" s="1411"/>
      <c r="AH7" s="1411"/>
    </row>
    <row r="8" spans="2:64" s="317" customFormat="1" ht="15" customHeight="1">
      <c r="C8" s="318" t="str">
        <f>IF(Indice_index!$Z$1=1,"Receita corrente","Current revenue")</f>
        <v>Receita corrente</v>
      </c>
      <c r="D8" s="1412"/>
      <c r="E8" s="1412"/>
      <c r="F8" s="250"/>
      <c r="G8" s="1412">
        <f>+G9+G10+G12+G15+G11</f>
        <v>58.729722030000005</v>
      </c>
      <c r="H8" s="1412">
        <f>+H9+H10+H12+H15+H11</f>
        <v>49.319399959999998</v>
      </c>
      <c r="I8" s="1412">
        <f t="shared" ref="I8:J8" si="0">+I9+I10+I12+I15+I11</f>
        <v>128.68634004999998</v>
      </c>
      <c r="J8" s="1412">
        <f t="shared" si="0"/>
        <v>69.781900579999984</v>
      </c>
      <c r="K8" s="1412">
        <f>+K9+K10+K12+K15+K11</f>
        <v>375.48363393000005</v>
      </c>
      <c r="L8" s="1412">
        <f t="shared" ref="L8:N8" si="1">+L9+L10+L12+L15+L11</f>
        <v>89.418738279999999</v>
      </c>
      <c r="M8" s="1412">
        <f t="shared" si="1"/>
        <v>22.32705601</v>
      </c>
      <c r="N8" s="1412">
        <f t="shared" si="1"/>
        <v>16.159748709999999</v>
      </c>
      <c r="O8" s="1412">
        <f>+O9+O10+O12+O15+O11</f>
        <v>22.437207060000002</v>
      </c>
      <c r="P8" s="1412">
        <f t="shared" ref="P8:R8" si="2">+P9+P10+P12+P15+P11</f>
        <v>74.431590709999995</v>
      </c>
      <c r="Q8" s="1412">
        <f t="shared" si="2"/>
        <v>653.0488730300001</v>
      </c>
      <c r="R8" s="1412">
        <f t="shared" si="2"/>
        <v>552.70443967999995</v>
      </c>
      <c r="S8" s="1412">
        <f>+S9+S10+S12+S15+S11</f>
        <v>832.34374660999993</v>
      </c>
      <c r="T8" s="1412">
        <f>SUM(G8:R8)</f>
        <v>2112.5286500299999</v>
      </c>
      <c r="U8" s="250"/>
      <c r="V8" s="1412">
        <f>+V9+V10+V12+V15+V11</f>
        <v>81.355944469999997</v>
      </c>
      <c r="W8" s="1412">
        <f t="shared" ref="W8:Y8" si="3">+W9+W10+W12+W15+W11</f>
        <v>49.06931307</v>
      </c>
      <c r="X8" s="1412">
        <f t="shared" si="3"/>
        <v>52.151623739999998</v>
      </c>
      <c r="Y8" s="1412">
        <f t="shared" si="3"/>
        <v>52.417114399999996</v>
      </c>
      <c r="Z8" s="1412">
        <f>+Z9+Z10+Z12+Z15+Z11</f>
        <v>326.45193912000002</v>
      </c>
      <c r="AA8" s="1412">
        <f t="shared" ref="AA8:AC8" si="4">+AA9+AA10+AA12+AA15+AA11</f>
        <v>315.39769131000003</v>
      </c>
      <c r="AB8" s="1412">
        <f t="shared" ref="AB8" si="5">+AB9+AB10+AB12+AB15+AB11</f>
        <v>33.325220420000001</v>
      </c>
      <c r="AC8" s="1412">
        <f t="shared" si="4"/>
        <v>19.32709805</v>
      </c>
      <c r="AD8" s="1412">
        <f>+AD9+AD10+AD12+AD15+AD11</f>
        <v>17.472382710000002</v>
      </c>
      <c r="AE8" s="1412">
        <f t="shared" ref="AE8:AG8" si="6">+AE9+AE10+AE12+AE15+AE11</f>
        <v>0</v>
      </c>
      <c r="AF8" s="1412">
        <f t="shared" si="6"/>
        <v>0</v>
      </c>
      <c r="AG8" s="1412">
        <f t="shared" si="6"/>
        <v>0</v>
      </c>
      <c r="AH8" s="1412">
        <f>SUM(V8:AG8)</f>
        <v>946.96832729000016</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4"/>
    </row>
    <row r="9" spans="2:64" s="179" customFormat="1" ht="15" customHeight="1">
      <c r="C9" s="793" t="str">
        <f>IF(Indice_index!$Z$1=1,"Impostos diretos ","Direct taxes")</f>
        <v xml:space="preserve">Impostos diretos </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9.9182293299999991</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0</v>
      </c>
      <c r="AF9" s="135">
        <f t="shared" si="8"/>
        <v>0</v>
      </c>
      <c r="AG9" s="135">
        <f t="shared" si="8"/>
        <v>0</v>
      </c>
      <c r="AH9" s="135">
        <f t="shared" si="8"/>
        <v>8.9684110000000039E-2</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3"/>
    </row>
    <row r="10" spans="2:64" s="179" customFormat="1" ht="15" customHeight="1">
      <c r="C10" s="793" t="str">
        <f>IF(Indice_index!$Z$1=1,"Impostos indiretos","Indirect taxes")</f>
        <v>Impostos indiretos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304.31745031000003</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0</v>
      </c>
      <c r="AF10" s="135">
        <f t="shared" si="8"/>
        <v>0</v>
      </c>
      <c r="AG10" s="135">
        <f t="shared" si="8"/>
        <v>0</v>
      </c>
      <c r="AH10" s="135">
        <f t="shared" si="8"/>
        <v>305.32359014999997</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3"/>
    </row>
    <row r="11" spans="2:64" s="179" customFormat="1" ht="15" customHeight="1">
      <c r="C11" s="898" t="str">
        <f>IF(Indice_index!$Z$1=1,"Contribuições para Segurança Social, CGA e ADSE","Social security, CGA and ADSE contributions")</f>
        <v>Contribuições para Segurança Social, CGA e ADSE</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3"/>
    </row>
    <row r="12" spans="2:64" s="179" customFormat="1" ht="15" customHeight="1">
      <c r="C12" s="793" t="str">
        <f>IF(Indice_index!$Z$1=1,"Transferências Correntes","Current transfers")</f>
        <v>Transferências Correntes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3"/>
    </row>
    <row r="13" spans="2:64" s="179" customFormat="1" ht="15" customHeight="1">
      <c r="C13" s="1413" t="str">
        <f>IF(Indice_index!$Z$1=1,"Administrações Públicas","General Government subsectors")</f>
        <v>Administrações Públicas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3"/>
    </row>
    <row r="14" spans="2:64" s="179" customFormat="1" ht="15" customHeight="1">
      <c r="C14" s="1413" t="str">
        <f>IF(Indice_index!$Z$1=1,"Outras","Others")</f>
        <v>Outras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3"/>
    </row>
    <row r="15" spans="2:64" s="179" customFormat="1" ht="15" customHeight="1">
      <c r="C15" s="793" t="str">
        <f>IF(Indice_index!$Z$1=1,"Outras receitas correntes","Other current revenue")</f>
        <v>Outras receitas correntes</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518.10806696999998</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0</v>
      </c>
      <c r="AF15" s="135">
        <f t="shared" si="13"/>
        <v>0</v>
      </c>
      <c r="AG15" s="135">
        <f t="shared" si="13"/>
        <v>0</v>
      </c>
      <c r="AH15" s="135">
        <f t="shared" si="13"/>
        <v>641.55505303000007</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3"/>
    </row>
    <row r="16" spans="2:64" s="317" customFormat="1" ht="15" customHeight="1">
      <c r="C16" s="318" t="str">
        <f>IF(Indice_index!$Z$1=1,"Receita de capital","Capital revenue")</f>
        <v>Receita de capital</v>
      </c>
      <c r="D16" s="1412"/>
      <c r="E16" s="1412"/>
      <c r="F16" s="250"/>
      <c r="G16" s="1412">
        <f t="shared" ref="G16:T16" si="14">+G17+G18+G21</f>
        <v>0</v>
      </c>
      <c r="H16" s="1412">
        <f t="shared" si="14"/>
        <v>26.836077</v>
      </c>
      <c r="I16" s="1412">
        <f t="shared" si="14"/>
        <v>0</v>
      </c>
      <c r="J16" s="1412">
        <f t="shared" si="14"/>
        <v>0</v>
      </c>
      <c r="K16" s="1412">
        <f t="shared" si="14"/>
        <v>0</v>
      </c>
      <c r="L16" s="1412">
        <f t="shared" si="14"/>
        <v>0</v>
      </c>
      <c r="M16" s="1412">
        <f t="shared" si="14"/>
        <v>0</v>
      </c>
      <c r="N16" s="1412">
        <f t="shared" si="14"/>
        <v>0</v>
      </c>
      <c r="O16" s="1412">
        <f t="shared" si="14"/>
        <v>0</v>
      </c>
      <c r="P16" s="1412">
        <f t="shared" si="14"/>
        <v>0</v>
      </c>
      <c r="Q16" s="1412">
        <f t="shared" si="14"/>
        <v>0</v>
      </c>
      <c r="R16" s="1412">
        <f t="shared" si="14"/>
        <v>0</v>
      </c>
      <c r="S16" s="1412">
        <f t="shared" si="14"/>
        <v>26.836077</v>
      </c>
      <c r="T16" s="1412">
        <f t="shared" si="14"/>
        <v>26.836077</v>
      </c>
      <c r="U16" s="250"/>
      <c r="V16" s="1412">
        <f t="shared" ref="V16:AH16" si="15">+V17+V18+V21</f>
        <v>0</v>
      </c>
      <c r="W16" s="1412">
        <f t="shared" si="15"/>
        <v>0</v>
      </c>
      <c r="X16" s="1412">
        <f t="shared" si="15"/>
        <v>30</v>
      </c>
      <c r="Y16" s="1412">
        <f t="shared" si="15"/>
        <v>0</v>
      </c>
      <c r="Z16" s="1412">
        <f t="shared" si="15"/>
        <v>0</v>
      </c>
      <c r="AA16" s="1412">
        <f t="shared" si="15"/>
        <v>0</v>
      </c>
      <c r="AB16" s="1412">
        <f t="shared" ref="AB16" si="16">+AB17+AB18+AB21</f>
        <v>0</v>
      </c>
      <c r="AC16" s="1412">
        <f t="shared" si="15"/>
        <v>0</v>
      </c>
      <c r="AD16" s="1412">
        <f t="shared" si="15"/>
        <v>0</v>
      </c>
      <c r="AE16" s="1412">
        <f t="shared" si="15"/>
        <v>0</v>
      </c>
      <c r="AF16" s="1412">
        <f t="shared" si="15"/>
        <v>0</v>
      </c>
      <c r="AG16" s="1412">
        <f t="shared" si="15"/>
        <v>0</v>
      </c>
      <c r="AH16" s="1412">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4"/>
    </row>
    <row r="17" spans="3:64" s="179" customFormat="1" ht="15" customHeight="1">
      <c r="C17" s="793" t="str">
        <f>IF(Indice_index!$Z$1=1,"Venda de bens de investimento","Sale of investment good")</f>
        <v>Venda de bens de investimento</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3"/>
    </row>
    <row r="18" spans="3:64" s="179" customFormat="1" ht="15" customHeight="1">
      <c r="C18" s="793" t="str">
        <f>IF(Indice_index!$Z$1=1,"Transferências de Capital","Capital transfers")</f>
        <v>Transferências de Capital</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3"/>
    </row>
    <row r="19" spans="3:64" s="179" customFormat="1" ht="15" customHeight="1">
      <c r="C19" s="1413" t="str">
        <f>IF(Indice_index!$Z$1=1,"Administrações Públicas","General Government subsectors")</f>
        <v>Administrações Públicas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3"/>
    </row>
    <row r="20" spans="3:64" s="179" customFormat="1" ht="15" customHeight="1">
      <c r="C20" s="1413" t="str">
        <f>IF(Indice_index!$Z$1=1,"Outras","Others")</f>
        <v>Outras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3"/>
    </row>
    <row r="21" spans="3:64" s="179" customFormat="1" ht="15" customHeight="1">
      <c r="C21" s="793" t="str">
        <f>IF(Indice_index!$Z$1=1,"Outras receitas de capital","Other capital revenue")</f>
        <v>Outras receitas de capital</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3"/>
    </row>
    <row r="22" spans="3:64" s="179" customFormat="1" ht="4.5" customHeight="1">
      <c r="C22" s="1414"/>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3"/>
    </row>
    <row r="23" spans="3:64" s="318" customFormat="1" ht="15" customHeight="1">
      <c r="C23" s="1415" t="str">
        <f>IF(Indice_index!$Z$1=1,"Receita efetiva","Effective revenue")</f>
        <v>Receita efetiva</v>
      </c>
      <c r="D23" s="1416"/>
      <c r="E23" s="1417"/>
      <c r="F23" s="250"/>
      <c r="G23" s="1416">
        <f t="shared" ref="G23:T23" si="24">+G8+G16</f>
        <v>58.729722030000005</v>
      </c>
      <c r="H23" s="1417">
        <f t="shared" si="24"/>
        <v>76.155476960000001</v>
      </c>
      <c r="I23" s="1417">
        <f t="shared" si="24"/>
        <v>128.68634004999998</v>
      </c>
      <c r="J23" s="1417">
        <f t="shared" si="24"/>
        <v>69.781900579999984</v>
      </c>
      <c r="K23" s="1417">
        <f t="shared" si="24"/>
        <v>375.48363393000005</v>
      </c>
      <c r="L23" s="1417">
        <f t="shared" si="24"/>
        <v>89.418738279999999</v>
      </c>
      <c r="M23" s="1417">
        <f t="shared" si="24"/>
        <v>22.32705601</v>
      </c>
      <c r="N23" s="1417">
        <f t="shared" si="24"/>
        <v>16.159748709999999</v>
      </c>
      <c r="O23" s="1417">
        <f t="shared" si="24"/>
        <v>22.437207060000002</v>
      </c>
      <c r="P23" s="1417">
        <f t="shared" si="24"/>
        <v>74.431590709999995</v>
      </c>
      <c r="Q23" s="1417">
        <f t="shared" si="24"/>
        <v>653.0488730300001</v>
      </c>
      <c r="R23" s="1417">
        <f t="shared" si="24"/>
        <v>552.70443967999995</v>
      </c>
      <c r="S23" s="1417">
        <f t="shared" si="24"/>
        <v>859.17982360999997</v>
      </c>
      <c r="T23" s="1416">
        <f t="shared" si="24"/>
        <v>2139.3647270299998</v>
      </c>
      <c r="U23" s="250"/>
      <c r="V23" s="1416">
        <f t="shared" ref="V23:AH23" si="25">+V8+V16</f>
        <v>81.355944469999997</v>
      </c>
      <c r="W23" s="1417">
        <f t="shared" si="25"/>
        <v>49.06931307</v>
      </c>
      <c r="X23" s="1417">
        <f t="shared" si="25"/>
        <v>82.151623739999991</v>
      </c>
      <c r="Y23" s="1417">
        <f t="shared" si="25"/>
        <v>52.417114399999996</v>
      </c>
      <c r="Z23" s="1417">
        <f t="shared" si="25"/>
        <v>326.45193912000002</v>
      </c>
      <c r="AA23" s="1417">
        <f t="shared" si="25"/>
        <v>315.39769131000003</v>
      </c>
      <c r="AB23" s="1417">
        <f t="shared" ref="AB23" si="26">+AB8+AB16</f>
        <v>33.325220420000001</v>
      </c>
      <c r="AC23" s="1417">
        <f t="shared" si="25"/>
        <v>19.32709805</v>
      </c>
      <c r="AD23" s="1417">
        <f t="shared" si="25"/>
        <v>17.472382710000002</v>
      </c>
      <c r="AE23" s="1417">
        <f t="shared" si="25"/>
        <v>0</v>
      </c>
      <c r="AF23" s="1417">
        <f t="shared" si="25"/>
        <v>0</v>
      </c>
      <c r="AG23" s="1417">
        <f t="shared" si="25"/>
        <v>0</v>
      </c>
      <c r="AH23" s="1416">
        <f t="shared" si="25"/>
        <v>976.96832729000016</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4"/>
    </row>
    <row r="24" spans="3:64" s="179" customFormat="1" ht="4.5" customHeight="1">
      <c r="C24" s="1414"/>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3"/>
    </row>
    <row r="25" spans="3:64" s="317" customFormat="1" ht="15" customHeight="1">
      <c r="C25" s="318" t="str">
        <f>IF(Indice_index!$Z$1=1,"Despesa corrente","Current expenditure")</f>
        <v>Despesa corrente</v>
      </c>
      <c r="D25" s="1412"/>
      <c r="E25" s="1412"/>
      <c r="F25" s="250"/>
      <c r="G25" s="1412">
        <f t="shared" ref="G25:R25" si="27">+G26+G27+G28+G29+G32+G33</f>
        <v>44.129766109999998</v>
      </c>
      <c r="H25" s="1412">
        <f t="shared" si="27"/>
        <v>0</v>
      </c>
      <c r="I25" s="1412">
        <f t="shared" si="27"/>
        <v>87.3</v>
      </c>
      <c r="J25" s="1412">
        <f t="shared" si="27"/>
        <v>5.8756139999999988</v>
      </c>
      <c r="K25" s="1412">
        <f t="shared" si="27"/>
        <v>0</v>
      </c>
      <c r="L25" s="1412">
        <f t="shared" si="27"/>
        <v>0</v>
      </c>
      <c r="M25" s="1412">
        <f t="shared" si="27"/>
        <v>-270.43729654000003</v>
      </c>
      <c r="N25" s="1412">
        <f t="shared" si="27"/>
        <v>334.63643481999998</v>
      </c>
      <c r="O25" s="1412">
        <f t="shared" si="27"/>
        <v>9.7948094399999945</v>
      </c>
      <c r="P25" s="1412">
        <f t="shared" si="27"/>
        <v>5.8698915900000319</v>
      </c>
      <c r="Q25" s="1412">
        <f t="shared" si="27"/>
        <v>-1.2073909999969601E-2</v>
      </c>
      <c r="R25" s="1412">
        <f t="shared" si="27"/>
        <v>571.33993764000002</v>
      </c>
      <c r="S25" s="1412">
        <f>+S26+S27+S28+S29+S32+S33</f>
        <v>211.29932783000001</v>
      </c>
      <c r="T25" s="1412">
        <f>SUM(G25:R25)</f>
        <v>788.49708314999998</v>
      </c>
      <c r="U25" s="250"/>
      <c r="V25" s="1412">
        <f t="shared" ref="V25:AG25" si="28">+V26+V27+V28+V29+V32+V33</f>
        <v>21.59949417</v>
      </c>
      <c r="W25" s="1412">
        <f t="shared" si="28"/>
        <v>6.1171480000000003</v>
      </c>
      <c r="X25" s="1412">
        <f t="shared" si="28"/>
        <v>1.9571480000000001</v>
      </c>
      <c r="Y25" s="1412">
        <f t="shared" si="28"/>
        <v>1.9571480000000001</v>
      </c>
      <c r="Z25" s="1412">
        <f t="shared" si="28"/>
        <v>1.9571480000000001</v>
      </c>
      <c r="AA25" s="1412">
        <f t="shared" si="28"/>
        <v>1.9571480000000001</v>
      </c>
      <c r="AB25" s="1412">
        <f>+AB26+AB27+AB28+AB29+AB32+AB33</f>
        <v>30.518876999999996</v>
      </c>
      <c r="AC25" s="1412">
        <f t="shared" si="28"/>
        <v>0</v>
      </c>
      <c r="AD25" s="1412">
        <f t="shared" si="28"/>
        <v>0</v>
      </c>
      <c r="AE25" s="1412">
        <f t="shared" si="28"/>
        <v>0</v>
      </c>
      <c r="AF25" s="1412">
        <f t="shared" si="28"/>
        <v>0</v>
      </c>
      <c r="AG25" s="1412">
        <f t="shared" si="28"/>
        <v>0</v>
      </c>
      <c r="AH25" s="1412">
        <f>SUM(V25:AG25)</f>
        <v>66.06411116999999</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4"/>
    </row>
    <row r="26" spans="3:64" s="179" customFormat="1" ht="15" customHeight="1">
      <c r="C26" s="793" t="str">
        <f>IF(Indice_index!$Z$1=1,"Despesas com o pessoal","Employees")</f>
        <v>Despesas com o pessoal</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3"/>
    </row>
    <row r="27" spans="3:64" s="179" customFormat="1" ht="15" customHeight="1">
      <c r="C27" s="793" t="str">
        <f>IF(Indice_index!$Z$1=1,"Aquisição de bens e serviços","Purchase of goods and services")</f>
        <v>Aquisição de bens e serviços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0</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3"/>
    </row>
    <row r="28" spans="3:64" s="179" customFormat="1" ht="15" customHeight="1">
      <c r="C28" s="793" t="str">
        <f>IF(Indice_index!$Z$1=1,"Juros e outros encargos","Interests and other charges")</f>
        <v>Juros e outros encargos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3"/>
    </row>
    <row r="29" spans="3:64" s="179" customFormat="1" ht="15" customHeight="1">
      <c r="C29" s="793" t="str">
        <f>IF(Indice_index!$Z$1=1,"Transferências Correntes","Current transfers")</f>
        <v>Transferências Correntes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459.69781025999998</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0</v>
      </c>
      <c r="AF29" s="135">
        <f t="shared" si="32"/>
        <v>0</v>
      </c>
      <c r="AG29" s="135">
        <f t="shared" si="32"/>
        <v>0</v>
      </c>
      <c r="AH29" s="135">
        <f t="shared" si="32"/>
        <v>46.421764999999994</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3"/>
    </row>
    <row r="30" spans="3:64" s="179" customFormat="1" ht="15" customHeight="1">
      <c r="C30" s="1413" t="str">
        <f>IF(Indice_index!$Z$1=1,"Administrações Públicas","General Government subsectors")</f>
        <v>Administrações Públicas</v>
      </c>
      <c r="D30" s="135"/>
      <c r="E30" s="135" t="s">
        <v>86</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362.05781026</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0</v>
      </c>
      <c r="AF30" s="135">
        <f t="shared" si="35"/>
        <v>0</v>
      </c>
      <c r="AG30" s="135">
        <f t="shared" si="35"/>
        <v>0</v>
      </c>
      <c r="AH30" s="135">
        <f t="shared" si="35"/>
        <v>42.261764999999997</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3"/>
    </row>
    <row r="31" spans="3:64" s="179" customFormat="1" ht="15" customHeight="1">
      <c r="C31" s="1413" t="str">
        <f>IF(Indice_index!$Z$1=1,"Outras","Others")</f>
        <v>Outras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0</v>
      </c>
      <c r="AF31" s="135">
        <f t="shared" si="35"/>
        <v>0</v>
      </c>
      <c r="AG31" s="135">
        <f t="shared" si="35"/>
        <v>0</v>
      </c>
      <c r="AH31" s="135">
        <f t="shared" si="35"/>
        <v>4.16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3"/>
    </row>
    <row r="32" spans="3:64" s="179" customFormat="1" ht="15" customHeight="1">
      <c r="C32" s="793" t="str">
        <f>IF(Indice_index!$Z$1=1,"Subsídios","Subsidies")</f>
        <v>Subsídios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47.518923000000001</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3"/>
    </row>
    <row r="33" spans="3:64" s="179" customFormat="1" ht="15" customHeight="1">
      <c r="C33" s="793" t="str">
        <f>IF(Indice_index!$Z$1=1,"Outras despesas correntes","Other current expenditure")</f>
        <v>Outras despesas correntes</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-47.518923000000001</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3"/>
    </row>
    <row r="34" spans="3:64" s="317" customFormat="1" ht="15" customHeight="1">
      <c r="C34" s="318" t="str">
        <f>IF(Indice_index!$Z$1=1,"Despesa de capital","Capital expenditure")</f>
        <v>Despesa de capital</v>
      </c>
      <c r="D34" s="1412"/>
      <c r="E34" s="1412"/>
      <c r="F34" s="250"/>
      <c r="G34" s="1412">
        <f t="shared" ref="G34:S34" si="36">+G35+G36+G39</f>
        <v>13.88124</v>
      </c>
      <c r="H34" s="1412">
        <f t="shared" si="36"/>
        <v>14.138688</v>
      </c>
      <c r="I34" s="1412">
        <f t="shared" si="36"/>
        <v>13.929066999999996</v>
      </c>
      <c r="J34" s="1412">
        <f t="shared" si="36"/>
        <v>52.205551000000007</v>
      </c>
      <c r="K34" s="1412">
        <f t="shared" si="36"/>
        <v>15.331340999999995</v>
      </c>
      <c r="L34" s="1412">
        <f t="shared" si="36"/>
        <v>332.31218000000001</v>
      </c>
      <c r="M34" s="1412">
        <f t="shared" si="36"/>
        <v>102.70864908</v>
      </c>
      <c r="N34" s="1412">
        <f t="shared" si="36"/>
        <v>15.335550999999995</v>
      </c>
      <c r="O34" s="1412">
        <f t="shared" si="36"/>
        <v>68.196328999999992</v>
      </c>
      <c r="P34" s="1412">
        <f t="shared" si="36"/>
        <v>15.418551000000015</v>
      </c>
      <c r="Q34" s="1412">
        <f t="shared" si="36"/>
        <v>37.195811999999975</v>
      </c>
      <c r="R34" s="1412">
        <f t="shared" si="36"/>
        <v>239.87069623999997</v>
      </c>
      <c r="S34" s="1412">
        <f t="shared" si="36"/>
        <v>628.03859607999993</v>
      </c>
      <c r="T34" s="1412">
        <f t="shared" ref="T34" si="37">SUM(G34:R34)</f>
        <v>920.52365531999999</v>
      </c>
      <c r="U34" s="250"/>
      <c r="V34" s="1412">
        <f t="shared" ref="V34:AG34" si="38">+V35+V36+V39</f>
        <v>15.434239999999999</v>
      </c>
      <c r="W34" s="1412">
        <f t="shared" si="38"/>
        <v>13.88124</v>
      </c>
      <c r="X34" s="1412">
        <f t="shared" si="38"/>
        <v>16.98774264</v>
      </c>
      <c r="Y34" s="1412">
        <f t="shared" si="38"/>
        <v>15.434491319999998</v>
      </c>
      <c r="Z34" s="1412">
        <f t="shared" si="38"/>
        <v>15.389491319999998</v>
      </c>
      <c r="AA34" s="1412">
        <f t="shared" si="38"/>
        <v>15.434491320000005</v>
      </c>
      <c r="AB34" s="1412">
        <f t="shared" ref="AB34" si="39">+AB35+AB36+AB39</f>
        <v>1.5532513200000011</v>
      </c>
      <c r="AC34" s="1412">
        <f t="shared" si="38"/>
        <v>-3.920281680000004</v>
      </c>
      <c r="AD34" s="1412">
        <f t="shared" si="38"/>
        <v>42.928732820000008</v>
      </c>
      <c r="AE34" s="1412">
        <f t="shared" si="38"/>
        <v>0</v>
      </c>
      <c r="AF34" s="1412">
        <f t="shared" si="38"/>
        <v>0</v>
      </c>
      <c r="AG34" s="1412">
        <f t="shared" si="38"/>
        <v>0</v>
      </c>
      <c r="AH34" s="1412">
        <f>SUM(V34:AG34)</f>
        <v>133.12339906</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4"/>
    </row>
    <row r="35" spans="3:64" s="179" customFormat="1" ht="15" customHeight="1">
      <c r="C35" s="793" t="str">
        <f>IF(Indice_index!$Z$1=1,"Investimento","Investments")</f>
        <v>Investimento</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185.84787607999999</v>
      </c>
      <c r="T35" s="135">
        <f t="shared" si="40"/>
        <v>190.50687608000001</v>
      </c>
      <c r="U35" s="96"/>
      <c r="V35" s="135">
        <f t="shared" ref="V35:AH35" si="41">+SUMIF($E$56:$E$86,$E35,V$56:V$86)</f>
        <v>1.5529999999999999</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0</v>
      </c>
      <c r="AF35" s="135">
        <f t="shared" si="41"/>
        <v>0</v>
      </c>
      <c r="AG35" s="135">
        <f t="shared" si="41"/>
        <v>0</v>
      </c>
      <c r="AH35" s="135">
        <f t="shared" si="41"/>
        <v>66.756788060000005</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3"/>
    </row>
    <row r="36" spans="3:64" s="179" customFormat="1" ht="15" customHeight="1">
      <c r="C36" s="793" t="str">
        <f>IF(Indice_index!$Z$1=1,"Transferências de capital","Capital transfers")</f>
        <v>Transferências de capital</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442.19072</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0</v>
      </c>
      <c r="AF36" s="135">
        <f t="shared" si="43"/>
        <v>0</v>
      </c>
      <c r="AG36" s="135">
        <f t="shared" si="43"/>
        <v>0</v>
      </c>
      <c r="AH36" s="135">
        <f t="shared" si="43"/>
        <v>66.366611000000006</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3"/>
    </row>
    <row r="37" spans="3:64" s="179" customFormat="1" ht="15" customHeight="1">
      <c r="C37" s="1413" t="str">
        <f>IF(Indice_index!$Z$1=1,"Administrações Públicas","General Government subsectors")</f>
        <v>Administrações Públicas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125.17809099999999</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0</v>
      </c>
      <c r="AF37" s="135">
        <f t="shared" si="46"/>
        <v>0</v>
      </c>
      <c r="AG37" s="135">
        <f t="shared" si="46"/>
        <v>0</v>
      </c>
      <c r="AH37" s="135">
        <f t="shared" si="46"/>
        <v>66.366611000000006</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3"/>
    </row>
    <row r="38" spans="3:64" s="179" customFormat="1" ht="15" customHeight="1">
      <c r="C38" s="1413" t="str">
        <f>IF(Indice_index!$Z$1=1,"Outras","Others")</f>
        <v>Outras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317.012629</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0</v>
      </c>
      <c r="AH38" s="135">
        <f t="shared" si="46"/>
        <v>0</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3"/>
    </row>
    <row r="39" spans="3:64" s="179" customFormat="1" ht="15" customHeight="1">
      <c r="C39" s="793" t="str">
        <f>IF(Indice_index!$Z$1=1,"Outras despesas de capital","Other capital expenditure")</f>
        <v>Outras despesas de capital</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3"/>
    </row>
    <row r="40" spans="3:64" s="179" customFormat="1" ht="4.5" customHeight="1">
      <c r="C40" s="1414"/>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3"/>
    </row>
    <row r="41" spans="3:64" s="318" customFormat="1" ht="15" customHeight="1">
      <c r="C41" s="1415" t="str">
        <f>IF(Indice_index!$Z$1=1,"Despesa efetiva","Effective Expenditure")</f>
        <v>Despesa efetiva</v>
      </c>
      <c r="D41" s="1416"/>
      <c r="E41" s="1417"/>
      <c r="F41" s="250"/>
      <c r="G41" s="1416">
        <f t="shared" ref="G41:T41" si="47">+G25+G34</f>
        <v>58.011006109999997</v>
      </c>
      <c r="H41" s="1417">
        <f t="shared" si="47"/>
        <v>14.138688</v>
      </c>
      <c r="I41" s="1417">
        <f t="shared" si="47"/>
        <v>101.22906699999999</v>
      </c>
      <c r="J41" s="1417">
        <f t="shared" si="47"/>
        <v>58.081165000000006</v>
      </c>
      <c r="K41" s="1417">
        <f t="shared" si="47"/>
        <v>15.331340999999995</v>
      </c>
      <c r="L41" s="1417">
        <f t="shared" si="47"/>
        <v>332.31218000000001</v>
      </c>
      <c r="M41" s="1417">
        <f t="shared" si="47"/>
        <v>-167.72864746000005</v>
      </c>
      <c r="N41" s="1417">
        <f t="shared" si="47"/>
        <v>349.97198581999999</v>
      </c>
      <c r="O41" s="1417">
        <f t="shared" si="47"/>
        <v>77.991138439999986</v>
      </c>
      <c r="P41" s="1417">
        <f t="shared" si="47"/>
        <v>21.288442590000045</v>
      </c>
      <c r="Q41" s="1417">
        <f t="shared" si="47"/>
        <v>37.183738090000006</v>
      </c>
      <c r="R41" s="1417">
        <f t="shared" si="47"/>
        <v>811.21063387999993</v>
      </c>
      <c r="S41" s="1417">
        <f t="shared" si="47"/>
        <v>839.33792390999997</v>
      </c>
      <c r="T41" s="1416">
        <f t="shared" si="47"/>
        <v>1709.02073847</v>
      </c>
      <c r="U41" s="250"/>
      <c r="V41" s="1416">
        <f t="shared" ref="V41:AH41" si="48">+V25+V34</f>
        <v>37.033734170000002</v>
      </c>
      <c r="W41" s="1417">
        <f t="shared" si="48"/>
        <v>19.998387999999998</v>
      </c>
      <c r="X41" s="1417">
        <f t="shared" si="48"/>
        <v>18.944890640000001</v>
      </c>
      <c r="Y41" s="1417">
        <f t="shared" si="48"/>
        <v>17.391639319999996</v>
      </c>
      <c r="Z41" s="1417">
        <f t="shared" si="48"/>
        <v>17.346639319999998</v>
      </c>
      <c r="AA41" s="1417">
        <f t="shared" si="48"/>
        <v>17.391639320000003</v>
      </c>
      <c r="AB41" s="1417">
        <f t="shared" ref="AB41" si="49">+AB25+AB34</f>
        <v>32.072128319999997</v>
      </c>
      <c r="AC41" s="1417">
        <f t="shared" si="48"/>
        <v>-3.920281680000004</v>
      </c>
      <c r="AD41" s="1417">
        <f t="shared" si="48"/>
        <v>42.928732820000008</v>
      </c>
      <c r="AE41" s="1417">
        <f t="shared" si="48"/>
        <v>0</v>
      </c>
      <c r="AF41" s="1417">
        <f t="shared" si="48"/>
        <v>0</v>
      </c>
      <c r="AG41" s="1417">
        <f t="shared" si="48"/>
        <v>0</v>
      </c>
      <c r="AH41" s="1416">
        <f t="shared" si="48"/>
        <v>199.18751022999999</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4"/>
    </row>
    <row r="42" spans="3:64" ht="5.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415" t="str">
        <f>IF(Indice_index!$Z$1=1,"Impacto no Saldo global","Impact in Overall balance")</f>
        <v>Impacto no Saldo global</v>
      </c>
      <c r="D43" s="1416"/>
      <c r="E43" s="1416"/>
      <c r="F43" s="250"/>
      <c r="G43" s="1416">
        <f t="shared" ref="G43:T43" si="50">+G23-G41</f>
        <v>0.71871592000000817</v>
      </c>
      <c r="H43" s="1416">
        <f t="shared" si="50"/>
        <v>62.01678896</v>
      </c>
      <c r="I43" s="1416">
        <f t="shared" si="50"/>
        <v>27.457273049999998</v>
      </c>
      <c r="J43" s="1416">
        <f t="shared" si="50"/>
        <v>11.700735579999979</v>
      </c>
      <c r="K43" s="1416">
        <f t="shared" si="50"/>
        <v>360.15229293000004</v>
      </c>
      <c r="L43" s="1416">
        <f t="shared" si="50"/>
        <v>-242.89344172</v>
      </c>
      <c r="M43" s="1416">
        <f t="shared" si="50"/>
        <v>190.05570347000005</v>
      </c>
      <c r="N43" s="1416">
        <f t="shared" si="50"/>
        <v>-333.81223711000001</v>
      </c>
      <c r="O43" s="1416">
        <f t="shared" si="50"/>
        <v>-55.55393137999998</v>
      </c>
      <c r="P43" s="1416">
        <f t="shared" si="50"/>
        <v>53.14314811999995</v>
      </c>
      <c r="Q43" s="1416">
        <f t="shared" si="50"/>
        <v>615.86513494000008</v>
      </c>
      <c r="R43" s="1416">
        <f t="shared" si="50"/>
        <v>-258.50619419999998</v>
      </c>
      <c r="S43" s="1416">
        <f t="shared" si="50"/>
        <v>19.841899699999999</v>
      </c>
      <c r="T43" s="1416">
        <f t="shared" si="50"/>
        <v>430.34398855999984</v>
      </c>
      <c r="U43" s="250"/>
      <c r="V43" s="1416">
        <f t="shared" ref="V43:AH43" si="51">+V23-V41</f>
        <v>44.322210299999995</v>
      </c>
      <c r="W43" s="1416">
        <f t="shared" si="51"/>
        <v>29.070925070000001</v>
      </c>
      <c r="X43" s="1416">
        <f t="shared" si="51"/>
        <v>63.206733099999994</v>
      </c>
      <c r="Y43" s="1416">
        <f t="shared" si="51"/>
        <v>35.02547508</v>
      </c>
      <c r="Z43" s="1416">
        <f t="shared" si="51"/>
        <v>309.10529980000001</v>
      </c>
      <c r="AA43" s="1416">
        <f t="shared" si="51"/>
        <v>298.00605199</v>
      </c>
      <c r="AB43" s="1416">
        <f t="shared" ref="AB43" si="52">+AB23-AB41</f>
        <v>1.2530921000000035</v>
      </c>
      <c r="AC43" s="1416">
        <f t="shared" si="51"/>
        <v>23.247379730000006</v>
      </c>
      <c r="AD43" s="1416">
        <f t="shared" si="51"/>
        <v>-25.456350110000006</v>
      </c>
      <c r="AE43" s="1416">
        <f t="shared" si="51"/>
        <v>0</v>
      </c>
      <c r="AF43" s="1416">
        <f t="shared" si="51"/>
        <v>0</v>
      </c>
      <c r="AG43" s="1416">
        <f t="shared" si="51"/>
        <v>0</v>
      </c>
      <c r="AH43" s="1416">
        <f t="shared" si="51"/>
        <v>777.78081706000012</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4"/>
    </row>
    <row r="44" spans="3:64" ht="4.5" customHeight="1">
      <c r="C44" s="1418"/>
      <c r="D44" s="1419"/>
      <c r="E44" s="1419"/>
      <c r="G44" s="1419"/>
      <c r="H44" s="1419"/>
      <c r="I44" s="1419"/>
      <c r="J44" s="1419"/>
      <c r="K44" s="1419"/>
      <c r="L44" s="1419"/>
      <c r="M44" s="1419"/>
      <c r="N44" s="1419"/>
      <c r="O44" s="1419"/>
      <c r="P44" s="1419"/>
      <c r="Q44" s="1419"/>
      <c r="R44" s="1419"/>
      <c r="S44" s="1419"/>
      <c r="T44" s="1419"/>
      <c r="V44" s="1419"/>
      <c r="W44" s="1419"/>
      <c r="X44" s="1419"/>
      <c r="Y44" s="1419"/>
      <c r="Z44" s="1419"/>
      <c r="AA44" s="1419"/>
      <c r="AB44" s="1419"/>
      <c r="AC44" s="1419"/>
      <c r="AD44" s="1419"/>
      <c r="AE44" s="1419"/>
      <c r="AF44" s="1419"/>
      <c r="AG44" s="1419"/>
      <c r="AH44" s="1419"/>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420" t="str">
        <f>IF(Indice_index!$Z$1=1,"   Por memória:","   Memo item:")</f>
        <v xml:space="preserve">   Por memória:</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413" t="str">
        <f>IF(Indice_index!$Z$1=1,"Saldo corrente","Current balance")</f>
        <v>Saldo corrente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621.04441877999989</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0</v>
      </c>
      <c r="AF46" s="135">
        <f t="shared" si="54"/>
        <v>0</v>
      </c>
      <c r="AG46" s="135">
        <f t="shared" si="54"/>
        <v>0</v>
      </c>
      <c r="AH46" s="135">
        <f t="shared" si="54"/>
        <v>880.90421612000023</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3"/>
    </row>
    <row r="47" spans="3:64" s="179" customFormat="1" ht="15" customHeight="1">
      <c r="C47" s="1413" t="str">
        <f>IF(Indice_index!$Z$1=1,"Saldo de capital","Capital balance")</f>
        <v>Saldo de capital</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-601.20251907999989</v>
      </c>
      <c r="T47" s="135">
        <f t="shared" si="55"/>
        <v>-893.68757831999994</v>
      </c>
      <c r="U47" s="96"/>
      <c r="V47" s="135">
        <f t="shared" ref="V47:AH47" si="56">+V16-V34</f>
        <v>-15.434239999999999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0</v>
      </c>
      <c r="AF47" s="135">
        <f t="shared" si="56"/>
        <v>0</v>
      </c>
      <c r="AG47" s="135">
        <f t="shared" si="56"/>
        <v>0</v>
      </c>
      <c r="AH47" s="135">
        <f t="shared" si="56"/>
        <v>-103.12339906</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3"/>
    </row>
    <row r="48" spans="3:64" ht="15" customHeight="1">
      <c r="C48" s="1413" t="str">
        <f>IF(Indice_index!$Z$1=1,"Saldo primário","Primary balance")</f>
        <v>Saldo primário</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-266.81073484000001</v>
      </c>
      <c r="T48" s="135">
        <f t="shared" si="57"/>
        <v>143.69135401999984</v>
      </c>
      <c r="V48" s="135">
        <f>+V43+V28</f>
        <v>44.322210299999995</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0</v>
      </c>
      <c r="AF48" s="135">
        <f t="shared" si="58"/>
        <v>0</v>
      </c>
      <c r="AG48" s="135">
        <f t="shared" si="58"/>
        <v>0</v>
      </c>
      <c r="AH48" s="135">
        <f t="shared" si="58"/>
        <v>777.78081706000012</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421" t="str">
        <f>IF(Indice_index!$Z$1=1,"Despesa  primária","Primary Expenditure")</f>
        <v>Despesa  primária</v>
      </c>
      <c r="D49" s="890"/>
      <c r="E49" s="1422"/>
      <c r="G49" s="890">
        <f t="shared" ref="G49:T49" si="59">+G41-G28</f>
        <v>58.011006109999997</v>
      </c>
      <c r="H49" s="1422">
        <f t="shared" si="59"/>
        <v>14.138688</v>
      </c>
      <c r="I49" s="1422">
        <f t="shared" si="59"/>
        <v>101.22906699999999</v>
      </c>
      <c r="J49" s="1422">
        <f t="shared" si="59"/>
        <v>58.081165000000006</v>
      </c>
      <c r="K49" s="1422">
        <f t="shared" si="59"/>
        <v>15.331340999999995</v>
      </c>
      <c r="L49" s="1422">
        <f t="shared" si="59"/>
        <v>332.31218000000001</v>
      </c>
      <c r="M49" s="1422">
        <f t="shared" si="59"/>
        <v>118.92398707999996</v>
      </c>
      <c r="N49" s="1422">
        <f t="shared" si="59"/>
        <v>349.97198581999999</v>
      </c>
      <c r="O49" s="1422">
        <f t="shared" si="59"/>
        <v>77.991138439999986</v>
      </c>
      <c r="P49" s="1422">
        <f t="shared" si="59"/>
        <v>21.288442590000045</v>
      </c>
      <c r="Q49" s="1422">
        <f t="shared" si="59"/>
        <v>37.183738090000006</v>
      </c>
      <c r="R49" s="1422">
        <f t="shared" si="59"/>
        <v>811.21063387999993</v>
      </c>
      <c r="S49" s="1422">
        <f t="shared" si="59"/>
        <v>1125.99055845</v>
      </c>
      <c r="T49" s="890">
        <f t="shared" si="59"/>
        <v>1995.67337301</v>
      </c>
      <c r="V49" s="890">
        <f t="shared" ref="V49:AG49" si="60">+V41-V28</f>
        <v>37.033734170000002</v>
      </c>
      <c r="W49" s="1422">
        <f t="shared" si="60"/>
        <v>19.998387999999998</v>
      </c>
      <c r="X49" s="1422">
        <f t="shared" si="60"/>
        <v>18.944890640000001</v>
      </c>
      <c r="Y49" s="1422">
        <f t="shared" si="60"/>
        <v>17.391639319999996</v>
      </c>
      <c r="Z49" s="1422">
        <f t="shared" si="60"/>
        <v>17.346639319999998</v>
      </c>
      <c r="AA49" s="1422">
        <f t="shared" si="60"/>
        <v>17.391639320000003</v>
      </c>
      <c r="AB49" s="1422">
        <f t="shared" si="60"/>
        <v>32.072128319999997</v>
      </c>
      <c r="AC49" s="1422">
        <f t="shared" si="60"/>
        <v>-3.920281680000004</v>
      </c>
      <c r="AD49" s="1422">
        <f t="shared" si="60"/>
        <v>42.928732820000008</v>
      </c>
      <c r="AE49" s="1422">
        <f t="shared" si="60"/>
        <v>0</v>
      </c>
      <c r="AF49" s="1422">
        <f t="shared" si="60"/>
        <v>0</v>
      </c>
      <c r="AG49" s="1422">
        <f t="shared" si="60"/>
        <v>0</v>
      </c>
      <c r="AH49" s="890">
        <f>+AH41-AH28</f>
        <v>199.18751022999999</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5" customHeight="1">
      <c r="B52" s="362"/>
      <c r="C52" s="1423"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424"/>
      <c r="E52" s="1425"/>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4"/>
    </row>
    <row r="53" spans="2:64" s="180" customFormat="1" ht="22.5" customHeight="1">
      <c r="B53" s="177"/>
      <c r="C53" s="801"/>
      <c r="D53" s="800"/>
      <c r="E53" s="802"/>
      <c r="F53" s="96"/>
      <c r="G53" s="1776" t="str">
        <f>IF(Indice_index!$Z$1=1,"2021 - mensal e acumulado","2021 - monthly and cumulative")</f>
        <v>2021 - mensal e acumulado</v>
      </c>
      <c r="H53" s="1776" t="s">
        <v>15</v>
      </c>
      <c r="I53" s="1776" t="s">
        <v>15</v>
      </c>
      <c r="J53" s="1776" t="s">
        <v>15</v>
      </c>
      <c r="K53" s="1776" t="s">
        <v>15</v>
      </c>
      <c r="L53" s="1776" t="s">
        <v>15</v>
      </c>
      <c r="M53" s="1776" t="s">
        <v>15</v>
      </c>
      <c r="N53" s="1776" t="s">
        <v>15</v>
      </c>
      <c r="O53" s="1776" t="s">
        <v>15</v>
      </c>
      <c r="P53" s="1776" t="s">
        <v>15</v>
      </c>
      <c r="Q53" s="1776" t="s">
        <v>15</v>
      </c>
      <c r="R53" s="1776" t="s">
        <v>15</v>
      </c>
      <c r="S53" s="1776"/>
      <c r="T53" s="1776" t="s">
        <v>15</v>
      </c>
      <c r="U53" s="96"/>
      <c r="V53" s="1776" t="str">
        <f>IF(Indice_index!$Z$1=1,"2022 - mensal e acumulado","2022 - monthly and cumulative")</f>
        <v>2022 - mensal e acumulado</v>
      </c>
      <c r="W53" s="1776" t="s">
        <v>15</v>
      </c>
      <c r="X53" s="1776" t="s">
        <v>15</v>
      </c>
      <c r="Y53" s="1776" t="s">
        <v>15</v>
      </c>
      <c r="Z53" s="1776" t="s">
        <v>15</v>
      </c>
      <c r="AA53" s="1776" t="s">
        <v>15</v>
      </c>
      <c r="AB53" s="1776" t="s">
        <v>15</v>
      </c>
      <c r="AC53" s="1776" t="s">
        <v>15</v>
      </c>
      <c r="AD53" s="1776" t="s">
        <v>15</v>
      </c>
      <c r="AE53" s="1776" t="s">
        <v>15</v>
      </c>
      <c r="AF53" s="1776" t="s">
        <v>15</v>
      </c>
      <c r="AG53" s="1776" t="s">
        <v>15</v>
      </c>
      <c r="AH53" s="1776"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3"/>
    </row>
    <row r="54" spans="2:64" s="180" customFormat="1" ht="22.5" customHeight="1">
      <c r="B54" s="177"/>
      <c r="C54" s="799"/>
      <c r="D54" s="800"/>
      <c r="E54" s="800"/>
      <c r="F54" s="96"/>
      <c r="G54" s="800" t="str">
        <f>IF(Indice_index!$Z$1=1,"jan","Jan")</f>
        <v>jan</v>
      </c>
      <c r="H54" s="800" t="str">
        <f>IF(Indice_index!$Z$1=1,"fev","Feb")</f>
        <v>fev</v>
      </c>
      <c r="I54" s="800" t="str">
        <f>IF(Indice_index!$Z$1=1,"mar","Mar")</f>
        <v>mar</v>
      </c>
      <c r="J54" s="800" t="str">
        <f>IF(Indice_index!$Z$1=1,"abr","Apr")</f>
        <v>abr</v>
      </c>
      <c r="K54" s="800" t="str">
        <f>IF(Indice_index!$Z$1=1,"mai","May")</f>
        <v>mai</v>
      </c>
      <c r="L54" s="800" t="str">
        <f>IF(Indice_index!$Z$1=1,"jun","Jun")</f>
        <v>jun</v>
      </c>
      <c r="M54" s="800" t="str">
        <f>IF(Indice_index!$Z$1=1,"jul","Jul")</f>
        <v>jul</v>
      </c>
      <c r="N54" s="800" t="str">
        <f>IF(Indice_index!$Z$1=1,"ago","Aug")</f>
        <v>ago</v>
      </c>
      <c r="O54" s="800" t="str">
        <f>IF(Indice_index!$Z$1=1,"set","Sep")</f>
        <v>set</v>
      </c>
      <c r="P54" s="800" t="str">
        <f>IF(Indice_index!$Z$1=1,"out","Oct")</f>
        <v>out</v>
      </c>
      <c r="Q54" s="800" t="str">
        <f>IF(Indice_index!$Z$1=1,"nov","Nov")</f>
        <v>nov</v>
      </c>
      <c r="R54" s="800" t="str">
        <f>IF(Indice_index!$Z$1=1,"dez","Dec")</f>
        <v>dez</v>
      </c>
      <c r="S54" s="800" t="str">
        <f>IF(Indice_index!$Z$1=1,"Ano até à data","Year to date")</f>
        <v>Ano até à data</v>
      </c>
      <c r="T54" s="800" t="str">
        <f>IF(Indice_index!$Z$1=1,"Acumulado","Cumulative")</f>
        <v>Acumulado</v>
      </c>
      <c r="U54" s="96"/>
      <c r="V54" s="800" t="str">
        <f>IF(Indice_index!$Z$1=1,"jan","Jan")</f>
        <v>jan</v>
      </c>
      <c r="W54" s="800" t="str">
        <f>IF(Indice_index!$Z$1=1,"fev","Feb")</f>
        <v>fev</v>
      </c>
      <c r="X54" s="800" t="str">
        <f>IF(Indice_index!$Z$1=1,"mar","Mar")</f>
        <v>mar</v>
      </c>
      <c r="Y54" s="800" t="str">
        <f>IF(Indice_index!$Z$1=1,"abr","Apr")</f>
        <v>abr</v>
      </c>
      <c r="Z54" s="800" t="str">
        <f>IF(Indice_index!$Z$1=1,"mai","May")</f>
        <v>mai</v>
      </c>
      <c r="AA54" s="800" t="str">
        <f>IF(Indice_index!$Z$1=1,"jun","Jun")</f>
        <v>jun</v>
      </c>
      <c r="AB54" s="800" t="str">
        <f>IF(Indice_index!$Z$1=1,"jul","Jul")</f>
        <v>jul</v>
      </c>
      <c r="AC54" s="800" t="str">
        <f>IF(Indice_index!$Z$1=1,"ago","Aug")</f>
        <v>ago</v>
      </c>
      <c r="AD54" s="800" t="str">
        <f>IF(Indice_index!$Z$1=1,"set","Sep")</f>
        <v>set</v>
      </c>
      <c r="AE54" s="800" t="str">
        <f>IF(Indice_index!$Z$1=1,"out","Oct")</f>
        <v>out</v>
      </c>
      <c r="AF54" s="800" t="str">
        <f>IF(Indice_index!$Z$1=1,"nov","Nov")</f>
        <v>nov</v>
      </c>
      <c r="AG54" s="800" t="str">
        <f>IF(Indice_index!$Z$1=1,"dez","Dec")</f>
        <v>dez</v>
      </c>
      <c r="AH54" s="800" t="str">
        <f>IF(Indice_index!$Z$1=1,"Acumulado","Cumulative")</f>
        <v>Acumulado</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3"/>
    </row>
    <row r="55" spans="2:64" s="324" customFormat="1" ht="15" customHeight="1">
      <c r="B55" s="321"/>
      <c r="C55" s="788" t="str">
        <f>IF(Indice_index!$Z$1=1,"Subtotal da Administração Central","Central Government subtotal")</f>
        <v>Subtotal da Administração Central</v>
      </c>
      <c r="D55" s="789"/>
      <c r="E55" s="790"/>
      <c r="F55" s="250"/>
      <c r="G55" s="790">
        <f t="shared" ref="G55:R55" si="61">SUMIF($D56:$D86,"Receita",G56:G86)-SUMIF($D56:$D86,"Despesa",G56:G86)+SUMIF($D56:$D86,"Revenue",G56:G86)-SUMIF($D56:$D86,"Expenditure",G56:G86)</f>
        <v>0.71871592000000817</v>
      </c>
      <c r="H55" s="790">
        <f t="shared" si="61"/>
        <v>62.01678896</v>
      </c>
      <c r="I55" s="790">
        <f t="shared" si="61"/>
        <v>27.457273049999998</v>
      </c>
      <c r="J55" s="790">
        <f t="shared" si="61"/>
        <v>11.700735579999979</v>
      </c>
      <c r="K55" s="790">
        <f t="shared" si="61"/>
        <v>360.15229292999999</v>
      </c>
      <c r="L55" s="790">
        <f t="shared" si="61"/>
        <v>-242.89344172</v>
      </c>
      <c r="M55" s="790">
        <f t="shared" si="61"/>
        <v>190.05570347000005</v>
      </c>
      <c r="N55" s="790">
        <f t="shared" si="61"/>
        <v>-333.81223710999996</v>
      </c>
      <c r="O55" s="790">
        <f t="shared" si="61"/>
        <v>-55.55393137999998</v>
      </c>
      <c r="P55" s="790">
        <f t="shared" si="61"/>
        <v>53.14314811999995</v>
      </c>
      <c r="Q55" s="790">
        <f t="shared" si="61"/>
        <v>615.86513494000008</v>
      </c>
      <c r="R55" s="790">
        <f t="shared" si="61"/>
        <v>-258.50619419999998</v>
      </c>
      <c r="S55" s="790">
        <f>SUMIF($D56:$D86,"Receita",S56:S86)-SUMIF($D56:$D86,"Despesa",S56:S86)+SUMIF($D56:$D86,"Revenue",S56:S86)-SUMIF($D56:$D86,"Expenditure",S56:S86)</f>
        <v>19.841899700000113</v>
      </c>
      <c r="T55" s="790">
        <f>SUMIF($D56:$D86,"Receita",T56:T86)-SUMIF($D56:$D86,"Despesa",T56:T86)+SUMIF($D56:$D86,"Revenue",T56:T86)-SUMIF($D56:$D86,"Expenditure",T56:T86)</f>
        <v>430.3439885600003</v>
      </c>
      <c r="U55" s="250"/>
      <c r="V55" s="790">
        <f t="shared" ref="V55:AG55" si="62">SUMIF($D56:$D86,"Receita",V56:V86)-SUMIF($D56:$D86,"Despesa",V56:V86)+SUMIF($D56:$D86,"Revenue",V56:V86)-SUMIF($D56:$D86,"Expenditure",V56:V86)</f>
        <v>44.322210299999995</v>
      </c>
      <c r="W55" s="790">
        <f t="shared" si="62"/>
        <v>29.070925070000008</v>
      </c>
      <c r="X55" s="790">
        <f t="shared" si="62"/>
        <v>63.206733099999987</v>
      </c>
      <c r="Y55" s="790">
        <f t="shared" si="62"/>
        <v>35.025475080000007</v>
      </c>
      <c r="Z55" s="790">
        <f>SUMIF($D56:$D86,"Receita",Z56:Z86)-SUMIF($D56:$D86,"Despesa",Z56:Z86)+SUMIF($D56:$D86,"Revenue",Z56:Z86)-SUMIF($D56:$D86,"Expenditure",Z56:Z86)</f>
        <v>309.10529980000001</v>
      </c>
      <c r="AA55" s="790">
        <f>SUMIF($D56:$D86,"Receita",AA56:AA86)-SUMIF($D56:$D86,"Despesa",AA56:AA86)+SUMIF($D56:$D86,"Revenue",AA56:AA86)-SUMIF($D56:$D86,"Expenditure",AA56:AA86)</f>
        <v>298.00605199</v>
      </c>
      <c r="AB55" s="790">
        <f t="shared" si="62"/>
        <v>1.2530921000000035</v>
      </c>
      <c r="AC55" s="790">
        <f t="shared" si="62"/>
        <v>23.247379730000006</v>
      </c>
      <c r="AD55" s="790">
        <f t="shared" si="62"/>
        <v>-25.45635011000001</v>
      </c>
      <c r="AE55" s="790">
        <f t="shared" si="62"/>
        <v>0</v>
      </c>
      <c r="AF55" s="790">
        <f t="shared" si="62"/>
        <v>0</v>
      </c>
      <c r="AG55" s="790">
        <f t="shared" si="62"/>
        <v>0</v>
      </c>
      <c r="AH55" s="790">
        <f>SUMIF($D56:$D86,"Receita",AH56:AH86)-SUMIF($D56:$D86,"Despesa",AH56:AH86)+SUMIF($D56:$D86,"Revenue",AH56:AH86)-SUMIF($D56:$D86,"Expenditure",AH56:AH86)</f>
        <v>777.78081706000012</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4"/>
    </row>
    <row r="56" spans="2:64" s="180" customFormat="1" ht="18" customHeight="1">
      <c r="B56" s="177"/>
      <c r="C56" s="791"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792" t="str">
        <f>IF(Indice_index!$Z$1=1,"Receita","Revenue")</f>
        <v>Receita</v>
      </c>
      <c r="E56" s="179" t="s">
        <v>16</v>
      </c>
      <c r="F56" s="96"/>
      <c r="G56" s="135"/>
      <c r="H56" s="135"/>
      <c r="I56" s="179"/>
      <c r="J56" s="179"/>
      <c r="K56" s="179"/>
      <c r="L56" s="179"/>
      <c r="M56" s="179"/>
      <c r="N56" s="179"/>
      <c r="O56" s="179"/>
      <c r="P56" s="179"/>
      <c r="Q56" s="179"/>
      <c r="R56" s="179">
        <v>337.30786981</v>
      </c>
      <c r="S56" s="179">
        <f>SUM(G56:O56)</f>
        <v>0</v>
      </c>
      <c r="T56" s="179">
        <f>SUM(G56:R56)</f>
        <v>337.30786981</v>
      </c>
      <c r="U56" s="96"/>
      <c r="V56" s="135"/>
      <c r="W56" s="135"/>
      <c r="X56" s="179"/>
      <c r="Y56" s="179"/>
      <c r="Z56" s="179"/>
      <c r="AA56" s="179"/>
      <c r="AB56" s="179"/>
      <c r="AC56" s="179"/>
      <c r="AD56" s="179"/>
      <c r="AE56" s="179"/>
      <c r="AF56" s="179"/>
      <c r="AG56" s="179"/>
      <c r="AH56" s="179">
        <f>SUM(V56:AG56)</f>
        <v>0</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3"/>
    </row>
    <row r="57" spans="2:64" s="182" customFormat="1" ht="22.5" customHeight="1">
      <c r="B57" s="181"/>
      <c r="C57" s="791"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792" t="str">
        <f>IF(Indice_index!$Z$1=1,"Receita","Revenue")</f>
        <v>Receita</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SUM(G57:O57)</f>
        <v>9.9182293299999991</v>
      </c>
      <c r="T57" s="179">
        <f t="shared" ref="T57" si="63">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c r="AF57" s="179"/>
      <c r="AG57" s="179"/>
      <c r="AH57" s="179">
        <f>SUM(V57:AG57)</f>
        <v>8.9684110000000039E-2</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3"/>
    </row>
    <row r="58" spans="2:64" s="180" customFormat="1" ht="22.5" customHeight="1">
      <c r="B58" s="177"/>
      <c r="C58" s="791"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792" t="str">
        <f>IF(Indice_index!$Z$1=1,"Receita","Revenue")</f>
        <v>Receita</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ref="S58:S86" si="64">SUM(G58:O58)</f>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3"/>
    </row>
    <row r="59" spans="2:64" s="182" customFormat="1" ht="14.25" customHeight="1">
      <c r="B59" s="181"/>
      <c r="C59" s="791"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792" t="str">
        <f>IF(Indice_index!$Z$1=1,"Receita","Revenue")</f>
        <v>Receita</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4"/>
        <v>11.746998000000001</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c r="AF59" s="179"/>
      <c r="AG59" s="179"/>
      <c r="AH59" s="179">
        <f>SUM(V59:AG59)</f>
        <v>12.759048329999999</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3"/>
    </row>
    <row r="60" spans="2:64" s="182" customFormat="1" ht="14.25" customHeight="1">
      <c r="B60" s="181"/>
      <c r="C60" s="791"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792" t="str">
        <f>IF(Indice_index!$Z$1=1,"Receita","Revenue")</f>
        <v>Receita</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4"/>
        <v>16.518256729999997</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c r="AF60" s="179"/>
      <c r="AG60" s="179"/>
      <c r="AH60" s="179">
        <f>SUM(V60:AG60)</f>
        <v>14.434744139999999</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3"/>
    </row>
    <row r="61" spans="2:64" s="182" customFormat="1" ht="14.25" customHeight="1">
      <c r="B61" s="181"/>
      <c r="C61" s="791"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792" t="str">
        <f>IF(Indice_index!$Z$1=1,"Receita","Revenue")</f>
        <v>Receita</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SUM(G61:O61)</f>
        <v>137.45219558000002</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c r="AF61" s="179"/>
      <c r="AG61" s="179"/>
      <c r="AH61" s="179">
        <f t="shared" ref="AH61" si="67">SUM(V61:AG61)</f>
        <v>139.52979768</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3"/>
    </row>
    <row r="62" spans="2:64" s="182" customFormat="1" ht="14.25" customHeight="1">
      <c r="B62" s="181"/>
      <c r="C62" s="791"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792" t="str">
        <f>IF(Indice_index!$Z$1=1,"Receita","Revenue")</f>
        <v>Receita</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4"/>
        <v>6.0853549899999999</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c r="AF62" s="179"/>
      <c r="AG62" s="179"/>
      <c r="AH62" s="179">
        <f>SUM(V62:AG62)</f>
        <v>5.9607887100000001</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3"/>
    </row>
    <row r="63" spans="2:64" s="182" customFormat="1" ht="14.25" customHeight="1">
      <c r="B63" s="181"/>
      <c r="C63" s="791" t="str">
        <f>IF(Indice_index!$Z$1=1,"Leilão no âmbito da 5.ª Geração de comunicações móveis (5G)"," Sale of the 5th generation mobile frequency use rights (5G)")</f>
        <v>Leilão no âmbito da 5.ª Geração de comunicações móveis (5G)</v>
      </c>
      <c r="D63" s="792" t="str">
        <f>IF(Indice_index!$Z$1=1,"Receita","Revenue")</f>
        <v>Receita</v>
      </c>
      <c r="E63" s="179" t="s">
        <v>58</v>
      </c>
      <c r="F63" s="96"/>
      <c r="G63" s="135"/>
      <c r="H63" s="135"/>
      <c r="I63" s="179"/>
      <c r="J63" s="179"/>
      <c r="K63" s="179"/>
      <c r="L63" s="179"/>
      <c r="M63" s="179"/>
      <c r="N63" s="179"/>
      <c r="O63" s="179"/>
      <c r="P63" s="179"/>
      <c r="Q63" s="179">
        <v>347.43915644999998</v>
      </c>
      <c r="R63" s="179">
        <v>62.6145</v>
      </c>
      <c r="S63" s="179">
        <f t="shared" si="64"/>
        <v>0</v>
      </c>
      <c r="T63" s="179">
        <f>SUM(G63:R63)</f>
        <v>410.05365645000001</v>
      </c>
      <c r="U63" s="96"/>
      <c r="V63" s="135"/>
      <c r="W63" s="135"/>
      <c r="X63" s="179"/>
      <c r="Y63" s="179"/>
      <c r="Z63" s="179"/>
      <c r="AA63" s="179"/>
      <c r="AB63" s="179"/>
      <c r="AC63" s="179"/>
      <c r="AD63" s="179"/>
      <c r="AE63" s="179"/>
      <c r="AF63" s="179"/>
      <c r="AG63" s="179"/>
      <c r="AH63" s="179">
        <f>SUM(V63:AG63)</f>
        <v>0</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3"/>
    </row>
    <row r="64" spans="2:64" s="180" customFormat="1" ht="14.25" customHeight="1">
      <c r="B64" s="177"/>
      <c r="C64" s="793" t="str">
        <f>IF(Indice_index!$Z$1=1,"Dividendos do Banco de Portugal","Dividends from the Bank of Portugal")</f>
        <v>Dividendos do Banco de Portugal</v>
      </c>
      <c r="D64" s="792" t="str">
        <f>IF(Indice_index!$Z$1=1,"Receita","Revenue")</f>
        <v>Receita</v>
      </c>
      <c r="E64" s="179" t="s">
        <v>58</v>
      </c>
      <c r="F64" s="96"/>
      <c r="G64" s="135"/>
      <c r="H64" s="135"/>
      <c r="I64" s="179"/>
      <c r="J64" s="179"/>
      <c r="K64" s="179">
        <v>336.39773766000002</v>
      </c>
      <c r="L64" s="179"/>
      <c r="M64" s="179"/>
      <c r="N64" s="179"/>
      <c r="O64" s="179"/>
      <c r="P64" s="179"/>
      <c r="Q64" s="179"/>
      <c r="R64" s="179"/>
      <c r="S64" s="179">
        <f t="shared" si="64"/>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3"/>
    </row>
    <row r="65" spans="2:64" s="180" customFormat="1" ht="14.25" customHeight="1">
      <c r="B65" s="177"/>
      <c r="C65" s="793" t="str">
        <f>IF(Indice_index!$Z$1=1,"Dividendos da Caixa Geral de Depósitos","Dividends from the public bank Caixa Geral de Depósitos")</f>
        <v>Dividendos da Caixa Geral de Depósitos</v>
      </c>
      <c r="D65" s="792" t="str">
        <f>IF(Indice_index!$Z$1=1,"Receita","Revenue")</f>
        <v>Receita</v>
      </c>
      <c r="E65" s="179" t="s">
        <v>58</v>
      </c>
      <c r="F65" s="96"/>
      <c r="G65" s="135"/>
      <c r="H65" s="135"/>
      <c r="I65" s="179"/>
      <c r="J65" s="179"/>
      <c r="K65" s="179"/>
      <c r="L65" s="179">
        <v>66.074657529999996</v>
      </c>
      <c r="M65" s="179"/>
      <c r="N65" s="179"/>
      <c r="O65" s="179"/>
      <c r="P65" s="179"/>
      <c r="Q65" s="179">
        <v>237</v>
      </c>
      <c r="R65" s="179"/>
      <c r="S65" s="179">
        <f t="shared" si="64"/>
        <v>66.074657529999996</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3"/>
    </row>
    <row r="66" spans="2:64" s="180" customFormat="1" ht="21">
      <c r="B66" s="177"/>
      <c r="C66" s="791"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792" t="str">
        <f>IF(Indice_index!$Z$1=1,"Receita","Revenue")</f>
        <v>Receita</v>
      </c>
      <c r="E66" s="179" t="s">
        <v>58</v>
      </c>
      <c r="F66" s="96"/>
      <c r="G66" s="135"/>
      <c r="H66" s="135"/>
      <c r="I66" s="179"/>
      <c r="J66" s="179"/>
      <c r="K66" s="179"/>
      <c r="L66" s="179">
        <v>7.97505679</v>
      </c>
      <c r="M66" s="179"/>
      <c r="N66" s="179"/>
      <c r="O66" s="179"/>
      <c r="P66" s="179"/>
      <c r="Q66" s="179"/>
      <c r="R66" s="179"/>
      <c r="S66" s="179">
        <f t="shared" si="64"/>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3"/>
    </row>
    <row r="67" spans="2:64" s="182" customFormat="1" ht="24" customHeight="1">
      <c r="B67" s="181"/>
      <c r="C67" s="791"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792" t="str">
        <f>IF(Indice_index!$Z$1=1,"Receita","Revenue")</f>
        <v>Receita</v>
      </c>
      <c r="E67" s="179" t="s">
        <v>58</v>
      </c>
      <c r="F67" s="96"/>
      <c r="G67" s="135"/>
      <c r="H67" s="135"/>
      <c r="I67" s="179"/>
      <c r="J67" s="179"/>
      <c r="K67" s="179">
        <v>14.275259999999999</v>
      </c>
      <c r="L67" s="179"/>
      <c r="M67" s="179"/>
      <c r="N67" s="179"/>
      <c r="O67" s="179"/>
      <c r="P67" s="179"/>
      <c r="Q67" s="179">
        <v>1.964496</v>
      </c>
      <c r="R67" s="179">
        <v>116.420406</v>
      </c>
      <c r="S67" s="179">
        <f t="shared" si="64"/>
        <v>14.275259999999999</v>
      </c>
      <c r="T67" s="179">
        <f t="shared" ref="T67:T68" si="70">SUM(G67:R67)</f>
        <v>132.66016200000001</v>
      </c>
      <c r="U67" s="96"/>
      <c r="V67" s="135"/>
      <c r="W67" s="135"/>
      <c r="X67" s="179"/>
      <c r="Y67" s="179">
        <v>3.045725</v>
      </c>
      <c r="Z67" s="179"/>
      <c r="AA67" s="179"/>
      <c r="AB67" s="179"/>
      <c r="AC67" s="179"/>
      <c r="AD67" s="179">
        <v>0.87536930000000002</v>
      </c>
      <c r="AE67" s="179"/>
      <c r="AF67" s="179"/>
      <c r="AG67" s="179"/>
      <c r="AH67" s="179">
        <f t="shared" ref="AH67:AH68" si="71">SUM(V67:AG67)</f>
        <v>3.9210943</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3"/>
    </row>
    <row r="68" spans="2:64" s="182" customFormat="1" ht="14.25" customHeight="1">
      <c r="B68" s="181"/>
      <c r="C68" s="791"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792" t="str">
        <f>IF(Indice_index!$Z$1=1,"Receita","Revenue")</f>
        <v>Receita</v>
      </c>
      <c r="E68" s="179" t="s">
        <v>58</v>
      </c>
      <c r="F68" s="96"/>
      <c r="G68" s="135"/>
      <c r="H68" s="135"/>
      <c r="I68" s="179"/>
      <c r="J68" s="179"/>
      <c r="K68" s="179"/>
      <c r="L68" s="179"/>
      <c r="M68" s="179"/>
      <c r="N68" s="179"/>
      <c r="O68" s="179"/>
      <c r="P68" s="179"/>
      <c r="Q68" s="179"/>
      <c r="R68" s="179"/>
      <c r="S68" s="179">
        <f t="shared" si="64"/>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3"/>
    </row>
    <row r="69" spans="2:64" s="182" customFormat="1" ht="21">
      <c r="B69" s="181"/>
      <c r="C69" s="791"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792" t="str">
        <f>IF(Indice_index!$Z$1=1,"Receita","Revenue")</f>
        <v>Receita</v>
      </c>
      <c r="E69" s="179" t="s">
        <v>58</v>
      </c>
      <c r="F69" s="96"/>
      <c r="G69" s="135"/>
      <c r="H69" s="135"/>
      <c r="I69" s="179">
        <v>87.3</v>
      </c>
      <c r="J69" s="179"/>
      <c r="K69" s="179"/>
      <c r="L69" s="179"/>
      <c r="M69" s="179"/>
      <c r="N69" s="179"/>
      <c r="O69" s="179"/>
      <c r="P69" s="179"/>
      <c r="Q69" s="179"/>
      <c r="R69" s="179"/>
      <c r="S69" s="179">
        <f t="shared" si="64"/>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3"/>
    </row>
    <row r="70" spans="2:64" s="182" customFormat="1" ht="15.5">
      <c r="B70" s="181"/>
      <c r="C70" s="794" t="str">
        <f>IF(Indice_index!$Z$1=1,"Alienação de aeronaves à República da Roménia","Aircraft sales to the Republic of Romenia")</f>
        <v>Alienação de aeronaves à República da Roménia</v>
      </c>
      <c r="D70" s="795" t="str">
        <f>IF(Indice_index!$Z$1=1,"Receita","Revenue")</f>
        <v>Receita</v>
      </c>
      <c r="E70" s="796" t="s">
        <v>22</v>
      </c>
      <c r="F70" s="797"/>
      <c r="G70" s="798"/>
      <c r="H70" s="798">
        <v>26.836077</v>
      </c>
      <c r="I70" s="796"/>
      <c r="J70" s="796"/>
      <c r="K70" s="796"/>
      <c r="L70" s="796"/>
      <c r="M70" s="796"/>
      <c r="N70" s="796"/>
      <c r="O70" s="796"/>
      <c r="P70" s="796"/>
      <c r="Q70" s="796"/>
      <c r="R70" s="796"/>
      <c r="S70" s="796">
        <f t="shared" si="64"/>
        <v>26.836077</v>
      </c>
      <c r="T70" s="796">
        <f>SUM(G70:R70)</f>
        <v>26.836077</v>
      </c>
      <c r="U70" s="797"/>
      <c r="V70" s="798"/>
      <c r="W70" s="798"/>
      <c r="X70" s="796">
        <v>30</v>
      </c>
      <c r="Y70" s="796"/>
      <c r="Z70" s="796"/>
      <c r="AA70" s="796"/>
      <c r="AB70" s="796"/>
      <c r="AC70" s="796"/>
      <c r="AD70" s="796"/>
      <c r="AE70" s="796"/>
      <c r="AF70" s="796"/>
      <c r="AG70" s="796"/>
      <c r="AH70" s="796">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3"/>
    </row>
    <row r="71" spans="2:64" s="182" customFormat="1" ht="21">
      <c r="B71" s="181"/>
      <c r="C71" s="791" t="str">
        <f>IF(Indice_index!$Z$1=1,C130,C131)</f>
        <v>Pagamentos de encargos para sistemas de segurança social, realizados em janeiro mas respeitantes ao ano anterior, pelos Estabelecimentos de Educação e Ensinos Básico e Secundário.</v>
      </c>
      <c r="D71" s="646" t="str">
        <f>IF(Indice_index!$Z$1=1,"Despesa","Expenditure")</f>
        <v>Despesa</v>
      </c>
      <c r="E71" s="179" t="s">
        <v>27</v>
      </c>
      <c r="F71" s="111"/>
      <c r="G71" s="135">
        <v>38.25415211</v>
      </c>
      <c r="H71" s="135"/>
      <c r="I71" s="179"/>
      <c r="J71" s="179"/>
      <c r="K71" s="179"/>
      <c r="L71" s="179"/>
      <c r="M71" s="179"/>
      <c r="N71" s="179"/>
      <c r="O71" s="179"/>
      <c r="P71" s="179"/>
      <c r="Q71" s="179"/>
      <c r="R71" s="179"/>
      <c r="S71" s="179">
        <f t="shared" si="64"/>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3"/>
    </row>
    <row r="72" spans="2:64" s="182" customFormat="1" ht="25.5" customHeight="1">
      <c r="B72" s="181"/>
      <c r="C72" s="791"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46" t="str">
        <f>IF(Indice_index!$Z$1=1,"Despesa","Expenditure")</f>
        <v>Despesa</v>
      </c>
      <c r="E72" s="179" t="s">
        <v>86</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4"/>
        <v>344.43124425999997</v>
      </c>
      <c r="T72" s="179">
        <f t="shared" ref="T72:T85" si="74">SUM(G72:R72)</f>
        <v>1031.3368335800001</v>
      </c>
      <c r="U72" s="111"/>
      <c r="V72" s="135"/>
      <c r="W72" s="135"/>
      <c r="X72" s="179"/>
      <c r="Y72" s="179"/>
      <c r="Z72" s="179"/>
      <c r="AA72" s="179"/>
      <c r="AB72" s="179"/>
      <c r="AC72" s="179"/>
      <c r="AD72" s="179"/>
      <c r="AE72" s="179"/>
      <c r="AF72" s="179"/>
      <c r="AG72" s="179"/>
      <c r="AH72" s="179">
        <f>SUM(V72:AG72)</f>
        <v>0</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3"/>
    </row>
    <row r="73" spans="2:64" s="182" customFormat="1" ht="31.5">
      <c r="B73" s="181"/>
      <c r="C73" s="791" t="str">
        <f>IF(Indice_index!$Z$1=1,C133,C134)</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46" t="str">
        <f>IF(Indice_index!$Z$1=1,"Despesa","Expenditure")</f>
        <v>Despesa</v>
      </c>
      <c r="E73" s="179" t="s">
        <v>28</v>
      </c>
      <c r="F73" s="111"/>
      <c r="G73" s="135"/>
      <c r="H73" s="135"/>
      <c r="I73" s="179"/>
      <c r="J73" s="179"/>
      <c r="K73" s="179"/>
      <c r="L73" s="179"/>
      <c r="M73" s="179"/>
      <c r="N73" s="179"/>
      <c r="O73" s="179"/>
      <c r="P73" s="179"/>
      <c r="Q73" s="179"/>
      <c r="R73" s="179">
        <v>-115.58609199999999</v>
      </c>
      <c r="S73" s="179">
        <f t="shared" si="64"/>
        <v>0</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3"/>
    </row>
    <row r="74" spans="2:64" s="182" customFormat="1" ht="21">
      <c r="B74" s="181"/>
      <c r="C74" s="791" t="str">
        <f>IF(Indice_index!$Z$1=1,C158,C159)</f>
        <v>Pagamento à parceria público-privada do Hospital de Loures, efetuado em janeiro de 2022, decorrente de decisão arbitral de tribunal.</v>
      </c>
      <c r="D74" s="646" t="str">
        <f>IF(Indice_index!$Z$1=1,"Despesa","Expenditure")</f>
        <v>Despesa</v>
      </c>
      <c r="E74" s="179" t="s">
        <v>28</v>
      </c>
      <c r="F74" s="111"/>
      <c r="G74" s="135"/>
      <c r="H74" s="135"/>
      <c r="I74" s="179"/>
      <c r="J74" s="179"/>
      <c r="K74" s="179"/>
      <c r="L74" s="179"/>
      <c r="M74" s="179"/>
      <c r="N74" s="179"/>
      <c r="O74" s="179"/>
      <c r="P74" s="179"/>
      <c r="Q74" s="179"/>
      <c r="R74" s="179"/>
      <c r="S74" s="179">
        <f t="shared" si="64"/>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3"/>
    </row>
    <row r="75" spans="2:64" s="182" customFormat="1" ht="26.25" customHeight="1">
      <c r="B75" s="181"/>
      <c r="C75" s="791" t="str">
        <f>IF(Indice_index!$Z$1=1,C136,C137)</f>
        <v>Devolução pelo Fundo Europeu de Estabilização Financeira (FEEF) ao Estado português, da rentabilidade das prepaid margins retida aquando do desembolso inicial do empréstimo do PAEF.</v>
      </c>
      <c r="D75" s="646" t="str">
        <f>IF(Indice_index!$Z$1=1,"Despesa","Expenditure")</f>
        <v>Despesa</v>
      </c>
      <c r="E75" s="179" t="s">
        <v>29</v>
      </c>
      <c r="F75" s="111"/>
      <c r="G75" s="135"/>
      <c r="H75" s="135"/>
      <c r="I75" s="179"/>
      <c r="J75" s="179"/>
      <c r="K75" s="179"/>
      <c r="L75" s="179"/>
      <c r="M75" s="179">
        <v>-286.65263454000001</v>
      </c>
      <c r="N75" s="179"/>
      <c r="O75" s="179"/>
      <c r="P75" s="179"/>
      <c r="Q75" s="179"/>
      <c r="R75" s="179"/>
      <c r="S75" s="179">
        <f t="shared" si="64"/>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3"/>
    </row>
    <row r="76" spans="2:64" s="182" customFormat="1" ht="34.5" customHeight="1">
      <c r="B76" s="181"/>
      <c r="C76" s="791" t="str">
        <f>IF(Indice_index!$Z$1=1,C139,C140)</f>
        <v>Transferências correntes - compensação faseada às autarquias relativamente às transferências efetivadas em 2018 ao abrigo da Lei de Finanças Locais - art. 5.º da Lei n.º 73/2013, de 3 de setembro, na redação pela Lei n.º 51/2018, 16 de agosto.</v>
      </c>
      <c r="D76" s="646" t="str">
        <f>IF(Indice_index!$Z$1=1,"Despesa","Expenditure")</f>
        <v>Despesa</v>
      </c>
      <c r="E76" s="135" t="s">
        <v>86</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4"/>
        <v>17.626565999999997</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c r="AF76" s="1426"/>
      <c r="AG76" s="1426"/>
      <c r="AH76" s="179">
        <f t="shared" si="68"/>
        <v>42.261764999999997</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3"/>
    </row>
    <row r="77" spans="2:64" s="182" customFormat="1" ht="31.5">
      <c r="B77" s="181"/>
      <c r="C77" s="791"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46" t="str">
        <f>IF(Indice_index!$Z$1=1,"Despesa","Expenditure")</f>
        <v>Despesa</v>
      </c>
      <c r="E77" s="135" t="s">
        <v>31</v>
      </c>
      <c r="F77" s="96"/>
      <c r="G77" s="135"/>
      <c r="H77" s="135"/>
      <c r="I77" s="135"/>
      <c r="J77" s="135"/>
      <c r="K77" s="135"/>
      <c r="L77" s="135"/>
      <c r="M77" s="135">
        <v>10.34</v>
      </c>
      <c r="N77" s="135"/>
      <c r="O77" s="135"/>
      <c r="P77" s="135"/>
      <c r="Q77" s="135"/>
      <c r="R77" s="135"/>
      <c r="S77" s="179">
        <f t="shared" si="64"/>
        <v>10.34</v>
      </c>
      <c r="T77" s="179">
        <f t="shared" si="74"/>
        <v>10.34</v>
      </c>
      <c r="U77" s="96"/>
      <c r="V77" s="135"/>
      <c r="W77" s="135">
        <v>4.16</v>
      </c>
      <c r="X77" s="179"/>
      <c r="Y77" s="179"/>
      <c r="Z77" s="179"/>
      <c r="AA77" s="179"/>
      <c r="AB77" s="179"/>
      <c r="AC77" s="179"/>
      <c r="AD77" s="179"/>
      <c r="AE77" s="179"/>
      <c r="AF77" s="179"/>
      <c r="AG77" s="1427"/>
      <c r="AH77" s="179">
        <f t="shared" ref="AH77:AH81" si="77">SUM(V77:AG77)</f>
        <v>4.16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3"/>
    </row>
    <row r="78" spans="2:64" s="182" customFormat="1" ht="31.5">
      <c r="B78" s="181"/>
      <c r="C78" s="791" t="str">
        <f>IF(Indice_index!$Z$1=1,C142,C143)</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46" t="str">
        <f>IF(Indice_index!$Z$1=1,"Despesa","Expenditure")</f>
        <v>Despesa</v>
      </c>
      <c r="E78" s="135" t="s">
        <v>31</v>
      </c>
      <c r="F78" s="96"/>
      <c r="G78" s="135"/>
      <c r="H78" s="135"/>
      <c r="I78" s="135">
        <v>87.3</v>
      </c>
      <c r="J78" s="135"/>
      <c r="K78" s="135"/>
      <c r="L78" s="135"/>
      <c r="M78" s="135"/>
      <c r="N78" s="135"/>
      <c r="O78" s="135"/>
      <c r="P78" s="135"/>
      <c r="Q78" s="135"/>
      <c r="R78" s="135"/>
      <c r="S78" s="179">
        <f t="shared" si="64"/>
        <v>87.3</v>
      </c>
      <c r="T78" s="179">
        <f t="shared" si="74"/>
        <v>87.3</v>
      </c>
      <c r="U78" s="96"/>
      <c r="V78" s="135"/>
      <c r="W78" s="135"/>
      <c r="X78" s="179"/>
      <c r="Y78" s="179"/>
      <c r="Z78" s="179"/>
      <c r="AA78" s="179"/>
      <c r="AB78" s="179"/>
      <c r="AC78" s="179"/>
      <c r="AD78" s="179"/>
      <c r="AE78" s="179"/>
      <c r="AF78" s="179"/>
      <c r="AG78" s="1427"/>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3"/>
    </row>
    <row r="79" spans="2:64" s="182" customFormat="1" ht="25.5" hidden="1" customHeight="1">
      <c r="B79" s="181"/>
      <c r="C79" s="791" t="str">
        <f>IF(Indice_index!$Z$1=1,C146,C147)</f>
        <v>Alteração da contabilização da despesa suportada pela Direção-Geral do Tesouro e Finanças no âmbito do programa “IVAucher”, de "Outras despesas correntes" para "Subsídios".</v>
      </c>
      <c r="D79" s="646" t="str">
        <f>IF(Indice_index!$Z$1=1,"Despesa","Expenditure")</f>
        <v>Despesa</v>
      </c>
      <c r="E79" s="135" t="s">
        <v>32</v>
      </c>
      <c r="F79" s="96"/>
      <c r="G79" s="135"/>
      <c r="H79" s="135"/>
      <c r="I79" s="135"/>
      <c r="J79" s="135"/>
      <c r="K79" s="135"/>
      <c r="L79" s="135"/>
      <c r="M79" s="135"/>
      <c r="N79" s="135"/>
      <c r="O79" s="135">
        <v>47.518923000000001</v>
      </c>
      <c r="P79" s="135"/>
      <c r="Q79" s="135">
        <v>-47.518923000000001</v>
      </c>
      <c r="R79" s="135"/>
      <c r="S79" s="179">
        <f t="shared" si="64"/>
        <v>47.518923000000001</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3"/>
    </row>
    <row r="80" spans="2:64" s="182" customFormat="1" ht="21" hidden="1">
      <c r="B80" s="181"/>
      <c r="C80" s="791" t="str">
        <f>IF(Indice_index!$Z$1=1,C146,C147)</f>
        <v>Alteração da contabilização da despesa suportada pela Direção-Geral do Tesouro e Finanças no âmbito do programa “IVAucher”, de "Outras despesas correntes" para "Subsídios".</v>
      </c>
      <c r="D80" s="646" t="str">
        <f>IF(Indice_index!$Z$1=1,"Despesa","Expenditure")</f>
        <v>Despesa</v>
      </c>
      <c r="E80" s="135" t="s">
        <v>33</v>
      </c>
      <c r="F80" s="96"/>
      <c r="G80" s="135"/>
      <c r="H80" s="135"/>
      <c r="I80" s="135"/>
      <c r="J80" s="135"/>
      <c r="K80" s="135"/>
      <c r="L80" s="135"/>
      <c r="M80" s="135"/>
      <c r="N80" s="135"/>
      <c r="O80" s="135">
        <v>-47.518923000000001</v>
      </c>
      <c r="P80" s="135"/>
      <c r="Q80" s="135">
        <v>47.518923000000001</v>
      </c>
      <c r="R80" s="135"/>
      <c r="S80" s="179">
        <f t="shared" si="64"/>
        <v>-47.518923000000001</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3"/>
    </row>
    <row r="81" spans="2:64" s="182" customFormat="1" ht="15.5">
      <c r="B81" s="181"/>
      <c r="C81" s="791"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46" t="str">
        <f>IF(Indice_index!$Z$1=1,"Despesa","Expenditure")</f>
        <v>Despesa</v>
      </c>
      <c r="E81" s="135" t="s">
        <v>34</v>
      </c>
      <c r="F81" s="96"/>
      <c r="G81" s="135"/>
      <c r="H81" s="135"/>
      <c r="I81" s="135"/>
      <c r="J81" s="135"/>
      <c r="K81" s="135"/>
      <c r="L81" s="135"/>
      <c r="M81" s="135"/>
      <c r="N81" s="135"/>
      <c r="O81" s="135">
        <v>52.777777999999998</v>
      </c>
      <c r="P81" s="135"/>
      <c r="Q81" s="135"/>
      <c r="R81" s="135"/>
      <c r="S81" s="179">
        <f t="shared" si="64"/>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3"/>
    </row>
    <row r="82" spans="2:64" s="182" customFormat="1" ht="15.5">
      <c r="B82" s="181"/>
      <c r="C82" s="791" t="str">
        <f>IF(Indice_index!$Z$1=1,"Pagamento de decisão judicial à concessionária RAL.","Payment of court decision to the RAL concessionaire.")</f>
        <v>Pagamento de decisão judicial à concessionária RAL.</v>
      </c>
      <c r="D82" s="646" t="str">
        <f>IF(Indice_index!$Z$1=1,"Despesa","Expenditure")</f>
        <v>Despesa</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4"/>
        <v>44.226999999999997</v>
      </c>
      <c r="T82" s="179">
        <f>SUM(G82:R82)</f>
        <v>48.886000000000003</v>
      </c>
      <c r="U82" s="96"/>
      <c r="V82" s="135">
        <v>1.5529999999999999</v>
      </c>
      <c r="W82" s="135"/>
      <c r="X82" s="179">
        <v>3.1065026400000004</v>
      </c>
      <c r="Y82" s="179">
        <v>1.5532513199999993</v>
      </c>
      <c r="Z82" s="179">
        <v>1.5532513200000002</v>
      </c>
      <c r="AA82" s="179">
        <v>1.5532513199999993</v>
      </c>
      <c r="AB82" s="179">
        <v>1.5532513200000011</v>
      </c>
      <c r="AC82" s="179">
        <v>1.5532513199999993</v>
      </c>
      <c r="AD82" s="179">
        <v>1.5532513200000011</v>
      </c>
      <c r="AE82" s="179"/>
      <c r="AF82" s="179"/>
      <c r="AG82" s="179"/>
      <c r="AH82" s="179">
        <f>SUM(V82:AG82)</f>
        <v>13.979010560000001</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3"/>
    </row>
    <row r="83" spans="2:64" s="182" customFormat="1" ht="15.5">
      <c r="B83" s="181"/>
      <c r="C83" s="791" t="str">
        <f>IF(Indice_index!$Z$1=1,"Acertos de disponibilidade relativos a anos anteriores à concessionária do Baixo Tejo.","Availability adjustments relating to prior years of the Baixo Tejo concessionaire.")</f>
        <v>Acertos de disponibilidade relativos a anos anteriores à concessionária do Baixo Tejo.</v>
      </c>
      <c r="D83" s="646" t="str">
        <f>IF(Indice_index!$Z$1=1,"Despesa","Expenditure")</f>
        <v>Despesa</v>
      </c>
      <c r="E83" s="135" t="s">
        <v>34</v>
      </c>
      <c r="F83" s="96"/>
      <c r="G83" s="135"/>
      <c r="H83" s="135"/>
      <c r="I83" s="135"/>
      <c r="J83" s="135"/>
      <c r="K83" s="135"/>
      <c r="L83" s="135"/>
      <c r="M83" s="135">
        <v>88.843098080000004</v>
      </c>
      <c r="N83" s="135"/>
      <c r="O83" s="135"/>
      <c r="P83" s="135"/>
      <c r="Q83" s="135"/>
      <c r="R83" s="135"/>
      <c r="S83" s="179">
        <f t="shared" si="64"/>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3"/>
    </row>
    <row r="84" spans="2:64" s="182" customFormat="1" ht="34.5" customHeight="1">
      <c r="B84" s="181"/>
      <c r="C84" s="791" t="str">
        <f>IF(Indice_index!$Z$1=1,C149,C150)</f>
        <v>Transferências de capital - compensação faseada às autarquias relativamente às transferências efetivadas em 2018 ao abrigo da Lei de Finanças Locais - art.º 5.º da Lei n.º 73/2013, de 3 de setembro, na redação pela Lei n.º 51/2018, 16 de agosto.</v>
      </c>
      <c r="D84" s="646" t="str">
        <f>IF(Indice_index!$Z$1=1,"Despesa","Expenditure")</f>
        <v>Despesa</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4"/>
        <v>125.17809099999999</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c r="AF84" s="179"/>
      <c r="AG84" s="179"/>
      <c r="AH84" s="179">
        <f t="shared" ref="AH84:AH85" si="80">SUM(V84:AG84)</f>
        <v>66.366611000000006</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3"/>
    </row>
    <row r="85" spans="2:64" s="182" customFormat="1" ht="25.5" customHeight="1">
      <c r="B85" s="181"/>
      <c r="C85" s="791" t="str">
        <f>IF(Indice_index!$Z$1=1,C152,C153)</f>
        <v>Pagamentos realizados pelo Fundo de Resolução ao Novo Banco, ao abrigo do Acordo de Capitalização Contingente, celebrado entre as duas entidades em outubro de 2017.</v>
      </c>
      <c r="D85" s="646" t="str">
        <f>IF(Indice_index!$Z$1=1,"Despesa","Expenditure")</f>
        <v>Despesa</v>
      </c>
      <c r="E85" s="135" t="s">
        <v>37</v>
      </c>
      <c r="F85" s="96"/>
      <c r="G85" s="135"/>
      <c r="H85" s="135"/>
      <c r="I85" s="135"/>
      <c r="J85" s="135"/>
      <c r="K85" s="135"/>
      <c r="L85" s="135">
        <v>317.012629</v>
      </c>
      <c r="M85" s="135"/>
      <c r="N85" s="135"/>
      <c r="O85" s="135"/>
      <c r="P85" s="135"/>
      <c r="Q85" s="135"/>
      <c r="R85" s="135">
        <v>112</v>
      </c>
      <c r="S85" s="179">
        <f t="shared" si="64"/>
        <v>317.012629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3"/>
    </row>
    <row r="86" spans="2:64" s="182" customFormat="1" ht="21.75" customHeight="1">
      <c r="B86" s="181"/>
      <c r="C86" s="1428"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6" s="1429" t="str">
        <f>IF(Indice_index!$Z$1=1,"Despesa","Expenditure")</f>
        <v>Despesa</v>
      </c>
      <c r="E86" s="890" t="s">
        <v>37</v>
      </c>
      <c r="F86" s="1430"/>
      <c r="G86" s="890"/>
      <c r="H86" s="890"/>
      <c r="I86" s="890"/>
      <c r="J86" s="890"/>
      <c r="K86" s="890"/>
      <c r="L86" s="890"/>
      <c r="M86" s="890"/>
      <c r="N86" s="890"/>
      <c r="O86" s="890"/>
      <c r="P86" s="890"/>
      <c r="Q86" s="890">
        <v>21.777260999999999</v>
      </c>
      <c r="R86" s="890">
        <v>112.65037024</v>
      </c>
      <c r="S86" s="1431">
        <f t="shared" si="64"/>
        <v>0</v>
      </c>
      <c r="T86" s="1431">
        <f>SUM(G86:R86)</f>
        <v>134.42763124000001</v>
      </c>
      <c r="U86" s="1430"/>
      <c r="V86" s="890"/>
      <c r="W86" s="890"/>
      <c r="X86" s="1431"/>
      <c r="Y86" s="1431"/>
      <c r="Z86" s="1431"/>
      <c r="AA86" s="1431"/>
      <c r="AB86" s="1431"/>
      <c r="AC86" s="1431"/>
      <c r="AD86" s="1431"/>
      <c r="AE86" s="1431"/>
      <c r="AF86" s="1431"/>
      <c r="AG86" s="1431"/>
      <c r="AH86" s="1431">
        <f t="shared" si="68"/>
        <v>0</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3"/>
    </row>
    <row r="87" spans="2:64" s="182" customFormat="1" ht="4.5" customHeight="1">
      <c r="B87" s="181"/>
      <c r="C87" s="791"/>
      <c r="D87" s="646"/>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3"/>
    </row>
    <row r="88" spans="2:64" s="180" customFormat="1" ht="22.5" customHeight="1">
      <c r="B88" s="177"/>
      <c r="C88" s="1777" t="str">
        <f>IF(Indice_index!$Z$1=1,C155,C156)</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8" s="1777"/>
      <c r="E88" s="1777"/>
      <c r="F88" s="1777"/>
      <c r="G88" s="1777"/>
      <c r="H88" s="1777"/>
      <c r="I88" s="1777"/>
      <c r="J88" s="1777"/>
      <c r="K88" s="1777"/>
      <c r="L88" s="1777"/>
      <c r="M88" s="1777"/>
      <c r="N88" s="1777"/>
      <c r="O88" s="1777"/>
      <c r="P88" s="1777"/>
      <c r="Q88" s="1777"/>
      <c r="R88" s="1777"/>
      <c r="S88" s="1777"/>
      <c r="T88" s="1777"/>
      <c r="U88" s="1777"/>
      <c r="V88" s="1777"/>
      <c r="W88" s="1777"/>
      <c r="X88" s="1777"/>
      <c r="Y88" s="1777"/>
      <c r="Z88" s="1777"/>
      <c r="AA88" s="1777"/>
      <c r="AB88" s="1777"/>
      <c r="AC88" s="1777"/>
      <c r="AD88" s="1777"/>
      <c r="AE88" s="1777"/>
      <c r="AF88" s="1777"/>
      <c r="AG88" s="1777"/>
      <c r="AH88" s="1777"/>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3"/>
    </row>
    <row r="89" spans="2:64" s="180" customFormat="1" ht="4.5" customHeight="1">
      <c r="B89" s="177"/>
      <c r="C89" s="1432"/>
      <c r="D89" s="1432"/>
      <c r="E89" s="1432"/>
      <c r="F89" s="1432"/>
      <c r="G89" s="1432"/>
      <c r="H89" s="1432"/>
      <c r="I89" s="1432"/>
      <c r="J89" s="1432"/>
      <c r="K89" s="1432"/>
      <c r="L89" s="1432"/>
      <c r="M89" s="1432"/>
      <c r="N89" s="1432"/>
      <c r="O89" s="1432"/>
      <c r="P89" s="1432"/>
      <c r="Q89" s="1432"/>
      <c r="R89" s="1432"/>
      <c r="S89" s="1432"/>
      <c r="T89" s="1432"/>
      <c r="U89" s="1432"/>
      <c r="V89" s="1432"/>
      <c r="W89" s="1432"/>
      <c r="X89" s="1432"/>
      <c r="Y89" s="1432"/>
      <c r="Z89" s="1432"/>
      <c r="AA89" s="1432"/>
      <c r="AB89" s="1432"/>
      <c r="AC89" s="1432"/>
      <c r="AD89" s="1432"/>
      <c r="AE89" s="1432"/>
      <c r="AF89" s="1432"/>
      <c r="AG89" s="1432"/>
      <c r="AH89" s="1432"/>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3"/>
    </row>
    <row r="90" spans="2:64" s="180" customFormat="1" ht="15" customHeight="1">
      <c r="C90" s="1433" t="str">
        <f>IF(Indice_index!$Z$1=1,"Notas:","Notes:")</f>
        <v>Notas:</v>
      </c>
      <c r="D90" s="1434"/>
      <c r="E90" s="1435"/>
      <c r="F90" s="96"/>
      <c r="G90" s="1434"/>
      <c r="H90" s="1434"/>
      <c r="U90" s="96"/>
      <c r="V90" s="1434"/>
      <c r="W90" s="1434"/>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3"/>
    </row>
    <row r="91" spans="2:64" s="180" customFormat="1" ht="15" customHeight="1">
      <c r="C91" s="1434"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1" s="1436"/>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3"/>
    </row>
    <row r="92" spans="2:64" s="180" customFormat="1" ht="15" customHeight="1">
      <c r="C92" s="1437"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2" s="1436"/>
      <c r="F92" s="96"/>
      <c r="P92" s="175"/>
      <c r="S92" s="175"/>
      <c r="T92" s="1438"/>
      <c r="U92" s="96"/>
      <c r="AH92" s="1438"/>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3"/>
    </row>
    <row r="93" spans="2:64" s="180" customFormat="1" ht="15" customHeight="1">
      <c r="C93" s="1437"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3" s="1436"/>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3"/>
    </row>
    <row r="94" spans="2:64" s="180" customFormat="1" ht="4.5" customHeight="1">
      <c r="C94" s="1437"/>
      <c r="E94" s="1436"/>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3"/>
    </row>
    <row r="95" spans="2:64" s="180" customFormat="1" ht="15" customHeight="1">
      <c r="C95" s="1439" t="str">
        <f>IF(Indice_index!$Z$1=1,"Fonte: Direção-Geral do Orçamento","Source: Budget General Directorate")</f>
        <v>Fonte: Direção-Geral do Orçamento</v>
      </c>
      <c r="E95" s="1436"/>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3"/>
    </row>
    <row r="96" spans="2:64" s="180" customFormat="1">
      <c r="C96" s="1439"/>
      <c r="D96" s="1440"/>
      <c r="E96" s="1441"/>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3"/>
    </row>
    <row r="97" spans="3:64" s="583" customFormat="1">
      <c r="D97" s="1442"/>
      <c r="E97" s="1443"/>
      <c r="F97" s="584"/>
      <c r="G97" s="1444">
        <f t="shared" ref="G97:T97" si="81">+G43-G55</f>
        <v>0</v>
      </c>
      <c r="H97" s="1444">
        <f t="shared" si="81"/>
        <v>0</v>
      </c>
      <c r="I97" s="1444">
        <f t="shared" si="81"/>
        <v>0</v>
      </c>
      <c r="J97" s="1444">
        <f t="shared" si="81"/>
        <v>0</v>
      </c>
      <c r="K97" s="1444">
        <f t="shared" si="81"/>
        <v>0</v>
      </c>
      <c r="L97" s="1444">
        <f t="shared" si="81"/>
        <v>0</v>
      </c>
      <c r="M97" s="1444">
        <f t="shared" si="81"/>
        <v>0</v>
      </c>
      <c r="N97" s="1444">
        <f t="shared" si="81"/>
        <v>0</v>
      </c>
      <c r="O97" s="1444">
        <f t="shared" si="81"/>
        <v>0</v>
      </c>
      <c r="P97" s="1444">
        <f t="shared" si="81"/>
        <v>0</v>
      </c>
      <c r="Q97" s="1444">
        <f t="shared" si="81"/>
        <v>0</v>
      </c>
      <c r="R97" s="1444">
        <f t="shared" si="81"/>
        <v>0</v>
      </c>
      <c r="S97" s="1444">
        <f t="shared" si="81"/>
        <v>-1.1368683772161603E-13</v>
      </c>
      <c r="T97" s="1444">
        <f t="shared" si="81"/>
        <v>-4.5474735088646412E-13</v>
      </c>
      <c r="U97" s="1444"/>
      <c r="V97" s="1444">
        <f t="shared" ref="V97:AH97" si="82">+V43-V55</f>
        <v>0</v>
      </c>
      <c r="W97" s="1444">
        <f t="shared" si="82"/>
        <v>0</v>
      </c>
      <c r="X97" s="1444">
        <f t="shared" si="82"/>
        <v>0</v>
      </c>
      <c r="Y97" s="1444">
        <f t="shared" si="82"/>
        <v>0</v>
      </c>
      <c r="Z97" s="1444">
        <f t="shared" si="82"/>
        <v>0</v>
      </c>
      <c r="AA97" s="1444">
        <f t="shared" si="82"/>
        <v>0</v>
      </c>
      <c r="AB97" s="1444">
        <f t="shared" si="82"/>
        <v>0</v>
      </c>
      <c r="AC97" s="1444">
        <f t="shared" si="82"/>
        <v>0</v>
      </c>
      <c r="AD97" s="1444">
        <f t="shared" si="82"/>
        <v>0</v>
      </c>
      <c r="AE97" s="1444">
        <f t="shared" si="82"/>
        <v>0</v>
      </c>
      <c r="AF97" s="1444">
        <f t="shared" si="82"/>
        <v>0</v>
      </c>
      <c r="AG97" s="1444">
        <f t="shared" si="82"/>
        <v>0</v>
      </c>
      <c r="AH97" s="1444">
        <f t="shared" si="82"/>
        <v>0</v>
      </c>
      <c r="AI97" s="584"/>
      <c r="AJ97" s="584"/>
      <c r="BL97" s="585"/>
    </row>
    <row r="98" spans="3:64" s="583" customFormat="1">
      <c r="E98" s="586"/>
      <c r="F98" s="584"/>
      <c r="G98" s="583">
        <f t="shared" ref="G98:T98" si="83">SUM(G56:G70)-SUM(G71:G86)-G43</f>
        <v>0</v>
      </c>
      <c r="H98" s="583">
        <f t="shared" si="83"/>
        <v>0</v>
      </c>
      <c r="I98" s="583">
        <f t="shared" si="83"/>
        <v>0</v>
      </c>
      <c r="J98" s="583">
        <f t="shared" si="83"/>
        <v>0</v>
      </c>
      <c r="K98" s="583">
        <f t="shared" si="83"/>
        <v>0</v>
      </c>
      <c r="L98" s="583">
        <f t="shared" si="83"/>
        <v>0</v>
      </c>
      <c r="M98" s="583">
        <f t="shared" si="83"/>
        <v>0</v>
      </c>
      <c r="N98" s="583">
        <f t="shared" si="83"/>
        <v>0</v>
      </c>
      <c r="O98" s="583">
        <f t="shared" si="83"/>
        <v>0</v>
      </c>
      <c r="P98" s="583">
        <f t="shared" si="83"/>
        <v>0</v>
      </c>
      <c r="Q98" s="583">
        <f t="shared" si="83"/>
        <v>0</v>
      </c>
      <c r="R98" s="583">
        <f t="shared" si="83"/>
        <v>0</v>
      </c>
      <c r="S98" s="583">
        <f t="shared" si="83"/>
        <v>1.1368683772161603E-13</v>
      </c>
      <c r="T98" s="583">
        <f t="shared" si="83"/>
        <v>4.5474735088646412E-13</v>
      </c>
      <c r="V98" s="583">
        <f t="shared" ref="V98:AH98" si="84">SUM(V56:V70)-SUM(V71:V86)-V43</f>
        <v>0</v>
      </c>
      <c r="W98" s="583">
        <f t="shared" si="84"/>
        <v>0</v>
      </c>
      <c r="X98" s="583">
        <f t="shared" si="84"/>
        <v>0</v>
      </c>
      <c r="Y98" s="583">
        <f t="shared" si="84"/>
        <v>0</v>
      </c>
      <c r="Z98" s="583">
        <f t="shared" si="84"/>
        <v>0</v>
      </c>
      <c r="AA98" s="583">
        <f t="shared" si="84"/>
        <v>0</v>
      </c>
      <c r="AB98" s="583">
        <f t="shared" si="84"/>
        <v>0</v>
      </c>
      <c r="AC98" s="583">
        <f t="shared" si="84"/>
        <v>0</v>
      </c>
      <c r="AD98" s="583">
        <f t="shared" si="84"/>
        <v>0</v>
      </c>
      <c r="AE98" s="583">
        <f t="shared" si="84"/>
        <v>0</v>
      </c>
      <c r="AF98" s="583">
        <f t="shared" si="84"/>
        <v>0</v>
      </c>
      <c r="AG98" s="583">
        <f t="shared" si="84"/>
        <v>0</v>
      </c>
      <c r="AH98" s="583">
        <f t="shared" si="84"/>
        <v>0</v>
      </c>
      <c r="AI98" s="584"/>
      <c r="AJ98" s="584"/>
      <c r="BL98" s="585"/>
    </row>
    <row r="99" spans="3:64" s="587" customFormat="1">
      <c r="E99" s="588"/>
      <c r="F99" s="589"/>
      <c r="G99" s="583">
        <f t="shared" ref="G99:T99" si="85">SUM(G56:G70)-G23</f>
        <v>0</v>
      </c>
      <c r="H99" s="583">
        <f t="shared" si="85"/>
        <v>0</v>
      </c>
      <c r="I99" s="583">
        <f t="shared" si="85"/>
        <v>0</v>
      </c>
      <c r="J99" s="583">
        <f t="shared" si="85"/>
        <v>0</v>
      </c>
      <c r="K99" s="583">
        <f t="shared" si="85"/>
        <v>0</v>
      </c>
      <c r="L99" s="583">
        <f t="shared" si="85"/>
        <v>0</v>
      </c>
      <c r="M99" s="583">
        <f t="shared" si="85"/>
        <v>0</v>
      </c>
      <c r="N99" s="583">
        <f t="shared" si="85"/>
        <v>0</v>
      </c>
      <c r="O99" s="583">
        <f t="shared" si="85"/>
        <v>0</v>
      </c>
      <c r="P99" s="583">
        <f t="shared" si="85"/>
        <v>0</v>
      </c>
      <c r="Q99" s="583">
        <f t="shared" si="85"/>
        <v>0</v>
      </c>
      <c r="R99" s="583">
        <f t="shared" si="85"/>
        <v>0</v>
      </c>
      <c r="S99" s="583">
        <f t="shared" si="85"/>
        <v>0</v>
      </c>
      <c r="T99" s="583">
        <f t="shared" si="85"/>
        <v>0</v>
      </c>
      <c r="U99" s="583"/>
      <c r="V99" s="583">
        <f t="shared" ref="V99:AH99" si="86">SUM(V56:V70)-V23</f>
        <v>0</v>
      </c>
      <c r="W99" s="583">
        <f t="shared" si="86"/>
        <v>0</v>
      </c>
      <c r="X99" s="583">
        <f t="shared" si="86"/>
        <v>0</v>
      </c>
      <c r="Y99" s="583">
        <f t="shared" si="86"/>
        <v>0</v>
      </c>
      <c r="Z99" s="583">
        <f t="shared" si="86"/>
        <v>0</v>
      </c>
      <c r="AA99" s="583">
        <f t="shared" si="86"/>
        <v>0</v>
      </c>
      <c r="AB99" s="583">
        <f t="shared" si="86"/>
        <v>0</v>
      </c>
      <c r="AC99" s="583">
        <f t="shared" si="86"/>
        <v>0</v>
      </c>
      <c r="AD99" s="583">
        <f t="shared" si="86"/>
        <v>0</v>
      </c>
      <c r="AE99" s="583">
        <f t="shared" si="86"/>
        <v>0</v>
      </c>
      <c r="AF99" s="583">
        <f t="shared" si="86"/>
        <v>0</v>
      </c>
      <c r="AG99" s="583">
        <f t="shared" si="86"/>
        <v>0</v>
      </c>
      <c r="AH99" s="583">
        <f t="shared" si="86"/>
        <v>0</v>
      </c>
      <c r="AI99" s="589"/>
      <c r="AJ99" s="584"/>
      <c r="AK99" s="583"/>
      <c r="AL99" s="583"/>
      <c r="AM99" s="583"/>
      <c r="AN99" s="583"/>
      <c r="AO99" s="583"/>
      <c r="AP99" s="583"/>
      <c r="AQ99" s="583"/>
      <c r="AR99" s="583"/>
      <c r="AS99" s="583"/>
      <c r="AT99" s="583"/>
      <c r="AU99" s="583"/>
      <c r="AV99" s="583"/>
      <c r="AW99" s="583"/>
      <c r="AX99" s="583"/>
      <c r="AY99" s="583"/>
      <c r="AZ99" s="583"/>
      <c r="BA99" s="583"/>
      <c r="BB99" s="583"/>
      <c r="BC99" s="583"/>
      <c r="BD99" s="583"/>
      <c r="BE99" s="583"/>
      <c r="BF99" s="583"/>
      <c r="BG99" s="583"/>
      <c r="BH99" s="583"/>
      <c r="BI99" s="583"/>
      <c r="BJ99" s="583"/>
      <c r="BK99" s="583"/>
      <c r="BL99" s="585"/>
    </row>
    <row r="100" spans="3:64" s="587" customFormat="1">
      <c r="E100" s="588"/>
      <c r="F100" s="589"/>
      <c r="G100" s="583">
        <f t="shared" ref="G100:T100" si="87">SUM(G71:G86)-G41</f>
        <v>0</v>
      </c>
      <c r="H100" s="583">
        <f t="shared" si="87"/>
        <v>0</v>
      </c>
      <c r="I100" s="583">
        <f t="shared" si="87"/>
        <v>0</v>
      </c>
      <c r="J100" s="583">
        <f t="shared" si="87"/>
        <v>0</v>
      </c>
      <c r="K100" s="583">
        <f t="shared" si="87"/>
        <v>0</v>
      </c>
      <c r="L100" s="583">
        <f t="shared" si="87"/>
        <v>0</v>
      </c>
      <c r="M100" s="583">
        <f t="shared" si="87"/>
        <v>0</v>
      </c>
      <c r="N100" s="583">
        <f t="shared" si="87"/>
        <v>0</v>
      </c>
      <c r="O100" s="583">
        <f t="shared" si="87"/>
        <v>0</v>
      </c>
      <c r="P100" s="583">
        <f t="shared" si="87"/>
        <v>0</v>
      </c>
      <c r="Q100" s="583">
        <f t="shared" si="87"/>
        <v>0</v>
      </c>
      <c r="R100" s="583">
        <f t="shared" si="87"/>
        <v>0</v>
      </c>
      <c r="S100" s="583">
        <f t="shared" si="87"/>
        <v>0</v>
      </c>
      <c r="T100" s="583">
        <f t="shared" si="87"/>
        <v>0</v>
      </c>
      <c r="U100" s="583"/>
      <c r="V100" s="583">
        <f t="shared" ref="V100:AH100" si="88">SUM(V71:V86)-V41</f>
        <v>0</v>
      </c>
      <c r="W100" s="583">
        <f t="shared" si="88"/>
        <v>0</v>
      </c>
      <c r="X100" s="583">
        <f t="shared" si="88"/>
        <v>0</v>
      </c>
      <c r="Y100" s="583">
        <f t="shared" si="88"/>
        <v>0</v>
      </c>
      <c r="Z100" s="583">
        <f t="shared" si="88"/>
        <v>0</v>
      </c>
      <c r="AA100" s="583">
        <f t="shared" si="88"/>
        <v>0</v>
      </c>
      <c r="AB100" s="583">
        <f t="shared" si="88"/>
        <v>0</v>
      </c>
      <c r="AC100" s="583">
        <f t="shared" si="88"/>
        <v>0</v>
      </c>
      <c r="AD100" s="583">
        <f t="shared" si="88"/>
        <v>0</v>
      </c>
      <c r="AE100" s="583">
        <f t="shared" si="88"/>
        <v>0</v>
      </c>
      <c r="AF100" s="583">
        <f t="shared" si="88"/>
        <v>0</v>
      </c>
      <c r="AG100" s="583">
        <f t="shared" si="88"/>
        <v>0</v>
      </c>
      <c r="AH100" s="583">
        <f t="shared" si="88"/>
        <v>0</v>
      </c>
      <c r="AI100" s="589"/>
      <c r="AJ100" s="584"/>
      <c r="AK100" s="583"/>
      <c r="AL100" s="583"/>
      <c r="AM100" s="583"/>
      <c r="AN100" s="583"/>
      <c r="AO100" s="583"/>
      <c r="AP100" s="583"/>
      <c r="AQ100" s="583"/>
      <c r="AR100" s="583"/>
      <c r="AS100" s="583"/>
      <c r="AT100" s="583"/>
      <c r="AU100" s="583"/>
      <c r="AV100" s="583"/>
      <c r="AW100" s="583"/>
      <c r="AX100" s="583"/>
      <c r="AY100" s="583"/>
      <c r="AZ100" s="583"/>
      <c r="BA100" s="583"/>
      <c r="BB100" s="583"/>
      <c r="BC100" s="583"/>
      <c r="BD100" s="583"/>
      <c r="BE100" s="583"/>
      <c r="BF100" s="583"/>
      <c r="BG100" s="583"/>
      <c r="BH100" s="583"/>
      <c r="BI100" s="583"/>
      <c r="BJ100" s="583"/>
      <c r="BK100" s="583"/>
      <c r="BL100" s="585"/>
    </row>
    <row r="101" spans="3:64" s="590" customFormat="1">
      <c r="D101" s="591"/>
      <c r="E101" s="588"/>
      <c r="F101" s="589"/>
      <c r="G101" s="592"/>
      <c r="H101" s="592"/>
      <c r="I101" s="592"/>
      <c r="J101" s="592"/>
      <c r="K101" s="592"/>
      <c r="L101" s="592"/>
      <c r="M101" s="592"/>
      <c r="N101" s="592"/>
      <c r="O101" s="592"/>
      <c r="P101" s="592"/>
      <c r="Q101" s="592"/>
      <c r="R101" s="592"/>
      <c r="S101" s="592"/>
      <c r="T101" s="592"/>
      <c r="U101" s="589"/>
      <c r="V101" s="592"/>
      <c r="W101" s="592"/>
      <c r="X101" s="592"/>
      <c r="Y101" s="592"/>
      <c r="Z101" s="592"/>
      <c r="AA101" s="592"/>
      <c r="AB101" s="592"/>
      <c r="AC101" s="592"/>
      <c r="AD101" s="592"/>
      <c r="AE101" s="592"/>
      <c r="AF101" s="592"/>
      <c r="AG101" s="592"/>
      <c r="AH101" s="592"/>
      <c r="AI101" s="589"/>
      <c r="AJ101" s="584"/>
      <c r="AK101" s="583"/>
      <c r="AL101" s="583"/>
      <c r="AM101" s="583"/>
      <c r="AN101" s="583"/>
      <c r="AO101" s="583"/>
      <c r="AP101" s="583"/>
      <c r="AR101" s="583"/>
      <c r="AS101" s="583"/>
      <c r="AT101" s="583"/>
      <c r="AU101" s="583"/>
      <c r="AV101" s="583"/>
      <c r="AW101" s="583"/>
      <c r="AX101" s="583"/>
      <c r="AY101" s="583"/>
      <c r="AZ101" s="583"/>
      <c r="BA101" s="583"/>
      <c r="BB101" s="583"/>
      <c r="BC101" s="583"/>
      <c r="BD101" s="583"/>
      <c r="BE101" s="583"/>
      <c r="BF101" s="583"/>
      <c r="BG101" s="583"/>
      <c r="BH101" s="583"/>
      <c r="BI101" s="583"/>
      <c r="BJ101" s="583"/>
      <c r="BK101" s="583"/>
      <c r="BL101" s="585"/>
    </row>
    <row r="102" spans="3:64" s="590" customFormat="1" ht="6" customHeight="1">
      <c r="C102" s="593"/>
      <c r="D102" s="591"/>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2"/>
      <c r="AF102" s="592"/>
      <c r="AG102" s="592"/>
      <c r="AH102" s="592"/>
      <c r="AI102" s="589"/>
      <c r="AJ102" s="584"/>
      <c r="AK102" s="583"/>
      <c r="AL102" s="583"/>
      <c r="AM102" s="583"/>
      <c r="AN102" s="583"/>
      <c r="AO102" s="583"/>
      <c r="AP102" s="583"/>
      <c r="AR102" s="583"/>
      <c r="AS102" s="583"/>
      <c r="AT102" s="583"/>
      <c r="AU102" s="583"/>
      <c r="AV102" s="583"/>
      <c r="AW102" s="583"/>
      <c r="AX102" s="583"/>
      <c r="AY102" s="583"/>
      <c r="AZ102" s="583"/>
      <c r="BA102" s="583"/>
      <c r="BB102" s="583"/>
      <c r="BC102" s="583"/>
      <c r="BD102" s="583"/>
      <c r="BE102" s="583"/>
      <c r="BF102" s="583"/>
      <c r="BG102" s="583"/>
      <c r="BH102" s="583"/>
      <c r="BI102" s="583"/>
      <c r="BJ102" s="583"/>
      <c r="BK102" s="583"/>
      <c r="BL102" s="585"/>
    </row>
    <row r="103" spans="3:64" s="590" customFormat="1">
      <c r="C103" s="590" t="s">
        <v>16</v>
      </c>
      <c r="D103" s="591"/>
      <c r="E103" s="592"/>
      <c r="F103" s="592"/>
      <c r="G103" s="592"/>
      <c r="H103" s="592"/>
      <c r="I103" s="592"/>
      <c r="J103" s="592"/>
      <c r="K103" s="592"/>
      <c r="L103" s="592"/>
      <c r="M103" s="592"/>
      <c r="N103" s="592"/>
      <c r="O103" s="592"/>
      <c r="P103" s="592"/>
      <c r="Q103" s="592"/>
      <c r="R103" s="592"/>
      <c r="S103" s="592"/>
      <c r="T103" s="592"/>
      <c r="U103" s="592"/>
      <c r="V103" s="592"/>
      <c r="W103" s="592"/>
      <c r="X103" s="592"/>
      <c r="Y103" s="592"/>
      <c r="Z103" s="592"/>
      <c r="AA103" s="592"/>
      <c r="AB103" s="592"/>
      <c r="AC103" s="592"/>
      <c r="AD103" s="592"/>
      <c r="AE103" s="592"/>
      <c r="AF103" s="592"/>
      <c r="AG103" s="592"/>
      <c r="AH103" s="592"/>
      <c r="AI103" s="589"/>
      <c r="AJ103" s="584"/>
      <c r="AK103" s="583"/>
      <c r="AL103" s="583"/>
      <c r="AM103" s="583"/>
      <c r="AN103" s="583"/>
      <c r="AO103" s="583"/>
      <c r="AP103" s="583"/>
      <c r="AR103" s="583"/>
      <c r="AS103" s="583"/>
      <c r="AT103" s="583"/>
      <c r="AU103" s="583"/>
      <c r="AV103" s="583"/>
      <c r="AW103" s="583"/>
      <c r="AX103" s="583"/>
      <c r="AY103" s="583"/>
      <c r="AZ103" s="583"/>
      <c r="BA103" s="583"/>
      <c r="BB103" s="583"/>
      <c r="BC103" s="583"/>
      <c r="BD103" s="583"/>
      <c r="BE103" s="583"/>
      <c r="BF103" s="583"/>
      <c r="BG103" s="583"/>
      <c r="BH103" s="583"/>
      <c r="BI103" s="583"/>
      <c r="BJ103" s="583"/>
      <c r="BK103" s="583"/>
      <c r="BL103" s="585"/>
    </row>
    <row r="104" spans="3:64" s="590" customFormat="1">
      <c r="C104" s="590" t="s">
        <v>17</v>
      </c>
      <c r="D104" s="591"/>
      <c r="E104" s="592"/>
      <c r="F104" s="592"/>
      <c r="G104" s="592"/>
      <c r="H104" s="592"/>
      <c r="I104" s="592"/>
      <c r="J104" s="592"/>
      <c r="K104" s="592"/>
      <c r="L104" s="592"/>
      <c r="M104" s="592"/>
      <c r="N104" s="592"/>
      <c r="O104" s="592"/>
      <c r="P104" s="592"/>
      <c r="Q104" s="592"/>
      <c r="R104" s="592"/>
      <c r="S104" s="592"/>
      <c r="T104" s="592"/>
      <c r="U104" s="592"/>
      <c r="V104" s="592"/>
      <c r="W104" s="592"/>
      <c r="X104" s="592"/>
      <c r="Y104" s="592"/>
      <c r="Z104" s="592"/>
      <c r="AA104" s="592"/>
      <c r="AB104" s="592"/>
      <c r="AC104" s="592"/>
      <c r="AD104" s="592"/>
      <c r="AE104" s="592"/>
      <c r="AF104" s="592"/>
      <c r="AG104" s="592"/>
      <c r="AH104" s="592"/>
      <c r="AI104" s="589"/>
      <c r="AJ104" s="584"/>
      <c r="AK104" s="583"/>
      <c r="AL104" s="583"/>
      <c r="AM104" s="583"/>
      <c r="AN104" s="583"/>
      <c r="AO104" s="583"/>
      <c r="AP104" s="583"/>
      <c r="AR104" s="583"/>
      <c r="AS104" s="583"/>
      <c r="AT104" s="583"/>
      <c r="AU104" s="583"/>
      <c r="AV104" s="583"/>
      <c r="AW104" s="583"/>
      <c r="AX104" s="583"/>
      <c r="AY104" s="583"/>
      <c r="AZ104" s="583"/>
      <c r="BA104" s="583"/>
      <c r="BB104" s="583"/>
      <c r="BC104" s="583"/>
      <c r="BD104" s="583"/>
      <c r="BE104" s="583"/>
      <c r="BF104" s="583"/>
      <c r="BG104" s="583"/>
      <c r="BH104" s="583"/>
      <c r="BI104" s="583"/>
      <c r="BJ104" s="583"/>
      <c r="BK104" s="583"/>
      <c r="BL104" s="585"/>
    </row>
    <row r="105" spans="3:64" s="590" customFormat="1">
      <c r="C105" s="590" t="s">
        <v>18</v>
      </c>
      <c r="D105" s="591"/>
      <c r="E105" s="592"/>
      <c r="F105" s="592"/>
      <c r="G105" s="592"/>
      <c r="H105" s="592"/>
      <c r="I105" s="592"/>
      <c r="J105" s="592"/>
      <c r="K105" s="592"/>
      <c r="L105" s="592"/>
      <c r="M105" s="592"/>
      <c r="N105" s="592"/>
      <c r="O105" s="592"/>
      <c r="P105" s="592"/>
      <c r="Q105" s="592"/>
      <c r="R105" s="592"/>
      <c r="S105" s="592"/>
      <c r="T105" s="592"/>
      <c r="U105" s="592"/>
      <c r="V105" s="592"/>
      <c r="W105" s="592"/>
      <c r="X105" s="592"/>
      <c r="Y105" s="592"/>
      <c r="Z105" s="592"/>
      <c r="AA105" s="592"/>
      <c r="AB105" s="592"/>
      <c r="AC105" s="592"/>
      <c r="AD105" s="592"/>
      <c r="AE105" s="592"/>
      <c r="AF105" s="592"/>
      <c r="AG105" s="592"/>
      <c r="AH105" s="592"/>
      <c r="AI105" s="589"/>
      <c r="AJ105" s="584"/>
      <c r="AK105" s="583"/>
      <c r="AL105" s="583"/>
      <c r="AM105" s="583"/>
      <c r="AN105" s="583"/>
      <c r="AO105" s="583"/>
      <c r="AP105" s="583"/>
      <c r="AR105" s="583"/>
      <c r="AS105" s="583"/>
      <c r="AT105" s="583"/>
      <c r="AU105" s="583"/>
      <c r="AV105" s="583"/>
      <c r="AW105" s="583"/>
      <c r="AX105" s="583"/>
      <c r="AY105" s="583"/>
      <c r="AZ105" s="583"/>
      <c r="BA105" s="583"/>
      <c r="BB105" s="583"/>
      <c r="BC105" s="583"/>
      <c r="BD105" s="583"/>
      <c r="BE105" s="583"/>
      <c r="BF105" s="583"/>
      <c r="BG105" s="583"/>
      <c r="BH105" s="583"/>
      <c r="BI105" s="583"/>
      <c r="BJ105" s="583"/>
      <c r="BK105" s="583"/>
      <c r="BL105" s="585"/>
    </row>
    <row r="106" spans="3:64" s="590" customFormat="1">
      <c r="C106" s="590" t="s">
        <v>19</v>
      </c>
      <c r="D106" s="591"/>
      <c r="E106" s="592"/>
      <c r="F106" s="592"/>
      <c r="G106" s="592"/>
      <c r="H106" s="592"/>
      <c r="I106" s="592"/>
      <c r="J106" s="592"/>
      <c r="K106" s="592"/>
      <c r="L106" s="592"/>
      <c r="M106" s="592"/>
      <c r="N106" s="592"/>
      <c r="O106" s="592"/>
      <c r="P106" s="592"/>
      <c r="Q106" s="592"/>
      <c r="R106" s="592"/>
      <c r="S106" s="592"/>
      <c r="T106" s="592"/>
      <c r="U106" s="592"/>
      <c r="V106" s="592"/>
      <c r="W106" s="592"/>
      <c r="X106" s="592"/>
      <c r="Y106" s="592"/>
      <c r="Z106" s="592"/>
      <c r="AA106" s="592"/>
      <c r="AB106" s="592"/>
      <c r="AC106" s="592"/>
      <c r="AD106" s="592"/>
      <c r="AE106" s="592"/>
      <c r="AF106" s="592"/>
      <c r="AG106" s="592"/>
      <c r="AH106" s="592"/>
      <c r="AI106" s="589"/>
      <c r="AJ106" s="584"/>
      <c r="AK106" s="583"/>
      <c r="AL106" s="583"/>
      <c r="AM106" s="583"/>
      <c r="AN106" s="583"/>
      <c r="AO106" s="583"/>
      <c r="AP106" s="583"/>
      <c r="AR106" s="583"/>
      <c r="AS106" s="583"/>
      <c r="AT106" s="583"/>
      <c r="AU106" s="583"/>
      <c r="AV106" s="583"/>
      <c r="AW106" s="583"/>
      <c r="AX106" s="583"/>
      <c r="AY106" s="583"/>
      <c r="AZ106" s="583"/>
      <c r="BA106" s="583"/>
      <c r="BB106" s="583"/>
      <c r="BC106" s="583"/>
      <c r="BD106" s="583"/>
      <c r="BE106" s="583"/>
      <c r="BF106" s="583"/>
      <c r="BG106" s="583"/>
      <c r="BH106" s="583"/>
      <c r="BI106" s="583"/>
      <c r="BJ106" s="583"/>
      <c r="BK106" s="583"/>
      <c r="BL106" s="585"/>
    </row>
    <row r="107" spans="3:64" s="590" customFormat="1">
      <c r="C107" s="590" t="s">
        <v>20</v>
      </c>
      <c r="D107" s="591"/>
      <c r="E107" s="592"/>
      <c r="F107" s="592"/>
      <c r="G107" s="592"/>
      <c r="H107" s="592"/>
      <c r="I107" s="592"/>
      <c r="J107" s="592"/>
      <c r="K107" s="592"/>
      <c r="L107" s="592"/>
      <c r="M107" s="592"/>
      <c r="N107" s="592"/>
      <c r="O107" s="592"/>
      <c r="P107" s="592"/>
      <c r="Q107" s="592"/>
      <c r="R107" s="592"/>
      <c r="S107" s="592"/>
      <c r="T107" s="592"/>
      <c r="U107" s="592"/>
      <c r="V107" s="592"/>
      <c r="W107" s="592"/>
      <c r="X107" s="592"/>
      <c r="Y107" s="592"/>
      <c r="Z107" s="592"/>
      <c r="AA107" s="592"/>
      <c r="AB107" s="592"/>
      <c r="AC107" s="592"/>
      <c r="AD107" s="592"/>
      <c r="AE107" s="592"/>
      <c r="AF107" s="592"/>
      <c r="AG107" s="592"/>
      <c r="AH107" s="592"/>
      <c r="AI107" s="589"/>
      <c r="AJ107" s="584"/>
      <c r="AK107" s="583"/>
      <c r="AL107" s="583"/>
      <c r="AM107" s="583"/>
      <c r="AN107" s="583"/>
      <c r="AO107" s="583"/>
      <c r="AP107" s="583"/>
      <c r="AR107" s="583"/>
      <c r="AS107" s="583"/>
      <c r="AT107" s="583"/>
      <c r="AU107" s="583"/>
      <c r="AV107" s="583"/>
      <c r="AW107" s="583"/>
      <c r="AX107" s="583"/>
      <c r="AY107" s="583"/>
      <c r="AZ107" s="583"/>
      <c r="BA107" s="583"/>
      <c r="BB107" s="583"/>
      <c r="BC107" s="583"/>
      <c r="BD107" s="583"/>
      <c r="BE107" s="583"/>
      <c r="BF107" s="583"/>
      <c r="BG107" s="583"/>
      <c r="BH107" s="583"/>
      <c r="BI107" s="583"/>
      <c r="BJ107" s="583"/>
      <c r="BK107" s="583"/>
      <c r="BL107" s="585"/>
    </row>
    <row r="108" spans="3:64" s="590" customFormat="1">
      <c r="C108" s="590" t="s">
        <v>21</v>
      </c>
      <c r="D108" s="591"/>
      <c r="E108" s="592"/>
      <c r="F108" s="592"/>
      <c r="G108" s="592"/>
      <c r="H108" s="592"/>
      <c r="I108" s="592"/>
      <c r="J108" s="592"/>
      <c r="K108" s="592"/>
      <c r="L108" s="592"/>
      <c r="M108" s="592"/>
      <c r="N108" s="592"/>
      <c r="O108" s="592"/>
      <c r="P108" s="592"/>
      <c r="Q108" s="592"/>
      <c r="R108" s="592"/>
      <c r="S108" s="592"/>
      <c r="T108" s="592"/>
      <c r="U108" s="592"/>
      <c r="V108" s="592"/>
      <c r="W108" s="592"/>
      <c r="X108" s="592"/>
      <c r="Y108" s="592"/>
      <c r="Z108" s="592"/>
      <c r="AA108" s="592"/>
      <c r="AB108" s="592"/>
      <c r="AC108" s="592"/>
      <c r="AD108" s="592"/>
      <c r="AE108" s="592"/>
      <c r="AF108" s="592"/>
      <c r="AG108" s="592"/>
      <c r="AH108" s="592"/>
      <c r="AI108" s="589"/>
      <c r="AJ108" s="584"/>
      <c r="AK108" s="583"/>
      <c r="AL108" s="583"/>
      <c r="AM108" s="583"/>
      <c r="AN108" s="583"/>
      <c r="AO108" s="583"/>
      <c r="AP108" s="583"/>
      <c r="AR108" s="583"/>
      <c r="AS108" s="583"/>
      <c r="AT108" s="583"/>
      <c r="AU108" s="583"/>
      <c r="AV108" s="583"/>
      <c r="AW108" s="583"/>
      <c r="AX108" s="583"/>
      <c r="AY108" s="583"/>
      <c r="AZ108" s="583"/>
      <c r="BA108" s="583"/>
      <c r="BB108" s="583"/>
      <c r="BC108" s="583"/>
      <c r="BD108" s="583"/>
      <c r="BE108" s="583"/>
      <c r="BF108" s="583"/>
      <c r="BG108" s="583"/>
      <c r="BH108" s="583"/>
      <c r="BI108" s="583"/>
      <c r="BJ108" s="583"/>
      <c r="BK108" s="583"/>
      <c r="BL108" s="585"/>
    </row>
    <row r="109" spans="3:64" s="590" customFormat="1">
      <c r="C109" s="590" t="s">
        <v>58</v>
      </c>
      <c r="D109" s="591"/>
      <c r="E109" s="592"/>
      <c r="F109" s="592"/>
      <c r="G109" s="592"/>
      <c r="H109" s="592"/>
      <c r="I109" s="592"/>
      <c r="J109" s="592"/>
      <c r="K109" s="592"/>
      <c r="L109" s="592"/>
      <c r="M109" s="592"/>
      <c r="N109" s="592"/>
      <c r="O109" s="592"/>
      <c r="P109" s="592"/>
      <c r="Q109" s="592"/>
      <c r="R109" s="592"/>
      <c r="S109" s="592"/>
      <c r="T109" s="592"/>
      <c r="U109" s="592"/>
      <c r="V109" s="592"/>
      <c r="W109" s="592"/>
      <c r="X109" s="592"/>
      <c r="Y109" s="592"/>
      <c r="Z109" s="592"/>
      <c r="AA109" s="592"/>
      <c r="AB109" s="592"/>
      <c r="AC109" s="592"/>
      <c r="AD109" s="592"/>
      <c r="AE109" s="592"/>
      <c r="AF109" s="592"/>
      <c r="AG109" s="592"/>
      <c r="AH109" s="592"/>
      <c r="AI109" s="589"/>
      <c r="AJ109" s="584"/>
      <c r="AK109" s="583"/>
      <c r="AL109" s="583"/>
      <c r="AM109" s="583"/>
      <c r="AN109" s="583"/>
      <c r="AO109" s="583"/>
      <c r="AP109" s="583"/>
      <c r="AR109" s="583"/>
      <c r="AS109" s="583"/>
      <c r="AT109" s="583"/>
      <c r="AU109" s="583"/>
      <c r="AV109" s="583"/>
      <c r="AW109" s="583"/>
      <c r="AX109" s="583"/>
      <c r="AY109" s="583"/>
      <c r="AZ109" s="583"/>
      <c r="BA109" s="583"/>
      <c r="BB109" s="583"/>
      <c r="BC109" s="583"/>
      <c r="BD109" s="583"/>
      <c r="BE109" s="583"/>
      <c r="BF109" s="583"/>
      <c r="BG109" s="583"/>
      <c r="BH109" s="583"/>
      <c r="BI109" s="583"/>
      <c r="BJ109" s="583"/>
      <c r="BK109" s="583"/>
      <c r="BL109" s="585"/>
    </row>
    <row r="110" spans="3:64" s="590" customFormat="1">
      <c r="C110" s="590" t="s">
        <v>22</v>
      </c>
      <c r="D110" s="591"/>
      <c r="E110" s="592"/>
      <c r="F110" s="592"/>
      <c r="G110" s="592"/>
      <c r="H110" s="592"/>
      <c r="I110" s="592"/>
      <c r="J110" s="592"/>
      <c r="K110" s="592"/>
      <c r="L110" s="592"/>
      <c r="M110" s="592"/>
      <c r="N110" s="592"/>
      <c r="O110" s="592"/>
      <c r="P110" s="592"/>
      <c r="Q110" s="592"/>
      <c r="R110" s="592"/>
      <c r="S110" s="592"/>
      <c r="T110" s="592"/>
      <c r="U110" s="592"/>
      <c r="V110" s="592"/>
      <c r="W110" s="592"/>
      <c r="X110" s="592"/>
      <c r="Y110" s="592"/>
      <c r="Z110" s="592"/>
      <c r="AA110" s="592"/>
      <c r="AB110" s="592"/>
      <c r="AC110" s="592"/>
      <c r="AD110" s="592"/>
      <c r="AE110" s="592"/>
      <c r="AF110" s="592"/>
      <c r="AG110" s="592"/>
      <c r="AH110" s="592"/>
      <c r="AI110" s="589"/>
      <c r="AJ110" s="584"/>
      <c r="AK110" s="583"/>
      <c r="AL110" s="583"/>
      <c r="AM110" s="583"/>
      <c r="AN110" s="583"/>
      <c r="AO110" s="583"/>
      <c r="AP110" s="583"/>
      <c r="AR110" s="583"/>
      <c r="AS110" s="583"/>
      <c r="AT110" s="583"/>
      <c r="AU110" s="583"/>
      <c r="AV110" s="583"/>
      <c r="AW110" s="583"/>
      <c r="AX110" s="583"/>
      <c r="AY110" s="583"/>
      <c r="AZ110" s="583"/>
      <c r="BA110" s="583"/>
      <c r="BB110" s="583"/>
      <c r="BC110" s="583"/>
      <c r="BD110" s="583"/>
      <c r="BE110" s="583"/>
      <c r="BF110" s="583"/>
      <c r="BG110" s="583"/>
      <c r="BH110" s="583"/>
      <c r="BI110" s="583"/>
      <c r="BJ110" s="583"/>
      <c r="BK110" s="583"/>
      <c r="BL110" s="585"/>
    </row>
    <row r="111" spans="3:64" s="590" customFormat="1">
      <c r="C111" s="590" t="s">
        <v>23</v>
      </c>
      <c r="D111" s="591"/>
      <c r="E111" s="592"/>
      <c r="F111" s="592"/>
      <c r="G111" s="592"/>
      <c r="H111" s="592"/>
      <c r="I111" s="592"/>
      <c r="J111" s="592"/>
      <c r="K111" s="592"/>
      <c r="L111" s="592"/>
      <c r="M111" s="592"/>
      <c r="N111" s="592"/>
      <c r="O111" s="592"/>
      <c r="P111" s="592"/>
      <c r="Q111" s="592"/>
      <c r="R111" s="592"/>
      <c r="S111" s="592"/>
      <c r="T111" s="592"/>
      <c r="U111" s="592"/>
      <c r="V111" s="592"/>
      <c r="W111" s="592"/>
      <c r="X111" s="592"/>
      <c r="Y111" s="592"/>
      <c r="Z111" s="592"/>
      <c r="AA111" s="592"/>
      <c r="AB111" s="592"/>
      <c r="AC111" s="592"/>
      <c r="AD111" s="592"/>
      <c r="AE111" s="592"/>
      <c r="AF111" s="592"/>
      <c r="AG111" s="592"/>
      <c r="AH111" s="592"/>
      <c r="AI111" s="589"/>
      <c r="AJ111" s="584"/>
      <c r="AK111" s="583"/>
      <c r="AL111" s="583"/>
      <c r="AM111" s="583"/>
      <c r="AN111" s="583"/>
      <c r="AO111" s="583"/>
      <c r="AP111" s="583"/>
      <c r="AR111" s="583"/>
      <c r="AS111" s="583"/>
      <c r="AT111" s="583"/>
      <c r="AU111" s="583"/>
      <c r="AV111" s="583"/>
      <c r="AW111" s="583"/>
      <c r="AX111" s="583"/>
      <c r="AY111" s="583"/>
      <c r="AZ111" s="583"/>
      <c r="BA111" s="583"/>
      <c r="BB111" s="583"/>
      <c r="BC111" s="583"/>
      <c r="BD111" s="583"/>
      <c r="BE111" s="583"/>
      <c r="BF111" s="583"/>
      <c r="BG111" s="583"/>
      <c r="BH111" s="583"/>
      <c r="BI111" s="583"/>
      <c r="BJ111" s="583"/>
      <c r="BK111" s="583"/>
      <c r="BL111" s="585"/>
    </row>
    <row r="112" spans="3:64" s="590" customFormat="1">
      <c r="C112" s="590" t="s">
        <v>24</v>
      </c>
      <c r="D112" s="591"/>
      <c r="E112" s="592"/>
      <c r="F112" s="592"/>
      <c r="G112" s="592"/>
      <c r="H112" s="592"/>
      <c r="I112" s="592"/>
      <c r="J112" s="592"/>
      <c r="K112" s="592"/>
      <c r="L112" s="592"/>
      <c r="M112" s="592"/>
      <c r="N112" s="592"/>
      <c r="O112" s="592"/>
      <c r="P112" s="592"/>
      <c r="Q112" s="592"/>
      <c r="R112" s="592"/>
      <c r="S112" s="592"/>
      <c r="T112" s="592"/>
      <c r="U112" s="592"/>
      <c r="V112" s="592"/>
      <c r="W112" s="592"/>
      <c r="X112" s="592"/>
      <c r="Y112" s="592"/>
      <c r="Z112" s="592"/>
      <c r="AA112" s="592"/>
      <c r="AB112" s="592"/>
      <c r="AC112" s="592"/>
      <c r="AD112" s="592"/>
      <c r="AE112" s="592"/>
      <c r="AF112" s="592"/>
      <c r="AG112" s="592"/>
      <c r="AH112" s="592"/>
      <c r="AI112" s="589"/>
      <c r="AJ112" s="584"/>
      <c r="AK112" s="583"/>
      <c r="AL112" s="583"/>
      <c r="AM112" s="583"/>
      <c r="AN112" s="583"/>
      <c r="AO112" s="583"/>
      <c r="AP112" s="583"/>
      <c r="AR112" s="583"/>
      <c r="AS112" s="583"/>
      <c r="AT112" s="583"/>
      <c r="AU112" s="583"/>
      <c r="AV112" s="583"/>
      <c r="AW112" s="583"/>
      <c r="AX112" s="583"/>
      <c r="AY112" s="583"/>
      <c r="AZ112" s="583"/>
      <c r="BA112" s="583"/>
      <c r="BB112" s="583"/>
      <c r="BC112" s="583"/>
      <c r="BD112" s="583"/>
      <c r="BE112" s="583"/>
      <c r="BF112" s="583"/>
      <c r="BG112" s="583"/>
      <c r="BH112" s="583"/>
      <c r="BI112" s="583"/>
      <c r="BJ112" s="583"/>
      <c r="BK112" s="583"/>
      <c r="BL112" s="585"/>
    </row>
    <row r="113" spans="3:64" s="590" customFormat="1">
      <c r="C113" s="590" t="s">
        <v>25</v>
      </c>
      <c r="D113" s="591"/>
      <c r="E113" s="592"/>
      <c r="F113" s="592"/>
      <c r="G113" s="592"/>
      <c r="H113" s="592"/>
      <c r="I113" s="592"/>
      <c r="J113" s="592"/>
      <c r="K113" s="592"/>
      <c r="L113" s="592"/>
      <c r="M113" s="592"/>
      <c r="N113" s="592"/>
      <c r="O113" s="592"/>
      <c r="P113" s="592"/>
      <c r="Q113" s="592"/>
      <c r="R113" s="592"/>
      <c r="S113" s="592"/>
      <c r="T113" s="592"/>
      <c r="U113" s="592"/>
      <c r="V113" s="592"/>
      <c r="W113" s="592"/>
      <c r="X113" s="592"/>
      <c r="Y113" s="592"/>
      <c r="Z113" s="592"/>
      <c r="AA113" s="592"/>
      <c r="AB113" s="592"/>
      <c r="AC113" s="592"/>
      <c r="AD113" s="592"/>
      <c r="AE113" s="592"/>
      <c r="AF113" s="592"/>
      <c r="AG113" s="592"/>
      <c r="AH113" s="592"/>
      <c r="AI113" s="589"/>
      <c r="AJ113" s="584"/>
      <c r="AK113" s="583"/>
      <c r="AL113" s="583"/>
      <c r="AM113" s="583"/>
      <c r="AN113" s="583"/>
      <c r="AO113" s="583"/>
      <c r="AP113" s="583"/>
      <c r="AR113" s="583"/>
      <c r="AS113" s="583"/>
      <c r="AT113" s="583"/>
      <c r="AU113" s="583"/>
      <c r="AV113" s="583"/>
      <c r="AW113" s="583"/>
      <c r="AX113" s="583"/>
      <c r="AY113" s="583"/>
      <c r="AZ113" s="583"/>
      <c r="BA113" s="583"/>
      <c r="BB113" s="583"/>
      <c r="BC113" s="583"/>
      <c r="BD113" s="583"/>
      <c r="BE113" s="583"/>
      <c r="BF113" s="583"/>
      <c r="BG113" s="583"/>
      <c r="BH113" s="583"/>
      <c r="BI113" s="583"/>
      <c r="BJ113" s="583"/>
      <c r="BK113" s="583"/>
      <c r="BL113" s="585"/>
    </row>
    <row r="114" spans="3:64" s="590" customFormat="1">
      <c r="C114" s="590" t="s">
        <v>26</v>
      </c>
      <c r="D114" s="591"/>
      <c r="E114" s="592"/>
      <c r="F114" s="592"/>
      <c r="G114" s="592"/>
      <c r="H114" s="592"/>
      <c r="I114" s="592"/>
      <c r="J114" s="592"/>
      <c r="K114" s="592"/>
      <c r="L114" s="592"/>
      <c r="M114" s="592"/>
      <c r="N114" s="592"/>
      <c r="O114" s="592"/>
      <c r="P114" s="592"/>
      <c r="Q114" s="592"/>
      <c r="R114" s="592"/>
      <c r="S114" s="592"/>
      <c r="T114" s="592"/>
      <c r="U114" s="592"/>
      <c r="V114" s="592"/>
      <c r="W114" s="592"/>
      <c r="X114" s="592"/>
      <c r="Y114" s="592"/>
      <c r="Z114" s="592"/>
      <c r="AA114" s="592"/>
      <c r="AB114" s="592"/>
      <c r="AC114" s="592"/>
      <c r="AD114" s="592"/>
      <c r="AE114" s="592"/>
      <c r="AF114" s="592"/>
      <c r="AG114" s="592"/>
      <c r="AH114" s="592"/>
      <c r="AI114" s="589"/>
      <c r="AJ114" s="584"/>
      <c r="AK114" s="583"/>
      <c r="AL114" s="583"/>
      <c r="AM114" s="583"/>
      <c r="AN114" s="583"/>
      <c r="AO114" s="583"/>
      <c r="AP114" s="583"/>
      <c r="AR114" s="583"/>
      <c r="AS114" s="583"/>
      <c r="AT114" s="583"/>
      <c r="AU114" s="583"/>
      <c r="AV114" s="583"/>
      <c r="AW114" s="583"/>
      <c r="AX114" s="583"/>
      <c r="AY114" s="583"/>
      <c r="AZ114" s="583"/>
      <c r="BA114" s="583"/>
      <c r="BB114" s="583"/>
      <c r="BC114" s="583"/>
      <c r="BD114" s="583"/>
      <c r="BE114" s="583"/>
      <c r="BF114" s="583"/>
      <c r="BG114" s="583"/>
      <c r="BH114" s="583"/>
      <c r="BI114" s="583"/>
      <c r="BJ114" s="583"/>
      <c r="BK114" s="583"/>
      <c r="BL114" s="585"/>
    </row>
    <row r="115" spans="3:64" s="590" customFormat="1">
      <c r="C115" s="590" t="s">
        <v>27</v>
      </c>
      <c r="D115" s="591"/>
      <c r="E115" s="592"/>
      <c r="F115" s="592"/>
      <c r="G115" s="592"/>
      <c r="H115" s="592"/>
      <c r="I115" s="592"/>
      <c r="J115" s="592"/>
      <c r="K115" s="592"/>
      <c r="L115" s="592"/>
      <c r="M115" s="592"/>
      <c r="N115" s="592"/>
      <c r="O115" s="592"/>
      <c r="P115" s="592"/>
      <c r="Q115" s="592"/>
      <c r="R115" s="592"/>
      <c r="S115" s="592"/>
      <c r="T115" s="592"/>
      <c r="U115" s="592"/>
      <c r="V115" s="592"/>
      <c r="W115" s="592"/>
      <c r="X115" s="592"/>
      <c r="Y115" s="592"/>
      <c r="Z115" s="592"/>
      <c r="AA115" s="592"/>
      <c r="AB115" s="592"/>
      <c r="AC115" s="592"/>
      <c r="AD115" s="592"/>
      <c r="AE115" s="592"/>
      <c r="AF115" s="592"/>
      <c r="AG115" s="592"/>
      <c r="AH115" s="592"/>
      <c r="AI115" s="589"/>
      <c r="AJ115" s="584"/>
      <c r="AK115" s="583"/>
      <c r="AL115" s="583"/>
      <c r="AM115" s="583"/>
      <c r="AN115" s="583"/>
      <c r="AO115" s="583"/>
      <c r="AP115" s="583"/>
      <c r="AR115" s="583"/>
      <c r="AS115" s="583"/>
      <c r="AT115" s="583"/>
      <c r="AU115" s="583"/>
      <c r="AV115" s="583"/>
      <c r="AW115" s="583"/>
      <c r="AX115" s="583"/>
      <c r="AY115" s="583"/>
      <c r="AZ115" s="583"/>
      <c r="BA115" s="583"/>
      <c r="BB115" s="583"/>
      <c r="BC115" s="583"/>
      <c r="BD115" s="583"/>
      <c r="BE115" s="583"/>
      <c r="BF115" s="583"/>
      <c r="BG115" s="583"/>
      <c r="BH115" s="583"/>
      <c r="BI115" s="583"/>
      <c r="BJ115" s="583"/>
      <c r="BK115" s="583"/>
      <c r="BL115" s="585"/>
    </row>
    <row r="116" spans="3:64" s="590" customFormat="1">
      <c r="C116" s="590" t="s">
        <v>28</v>
      </c>
      <c r="D116" s="591"/>
      <c r="E116" s="592"/>
      <c r="F116" s="592"/>
      <c r="G116" s="592"/>
      <c r="H116" s="592"/>
      <c r="I116" s="592"/>
      <c r="J116" s="592"/>
      <c r="K116" s="592"/>
      <c r="L116" s="592"/>
      <c r="M116" s="592"/>
      <c r="N116" s="592"/>
      <c r="O116" s="592"/>
      <c r="P116" s="592"/>
      <c r="Q116" s="592"/>
      <c r="R116" s="592"/>
      <c r="S116" s="592"/>
      <c r="T116" s="592"/>
      <c r="U116" s="592"/>
      <c r="V116" s="592"/>
      <c r="W116" s="592"/>
      <c r="X116" s="592"/>
      <c r="Y116" s="592"/>
      <c r="Z116" s="592"/>
      <c r="AA116" s="592"/>
      <c r="AB116" s="592"/>
      <c r="AC116" s="592"/>
      <c r="AD116" s="592"/>
      <c r="AE116" s="592"/>
      <c r="AF116" s="592"/>
      <c r="AG116" s="592"/>
      <c r="AH116" s="592"/>
      <c r="AI116" s="589"/>
      <c r="AJ116" s="584"/>
      <c r="AK116" s="583"/>
      <c r="AL116" s="583"/>
      <c r="AM116" s="583"/>
      <c r="AN116" s="583"/>
      <c r="AO116" s="583"/>
      <c r="AP116" s="583"/>
      <c r="AR116" s="583"/>
      <c r="AS116" s="583"/>
      <c r="AT116" s="583"/>
      <c r="AU116" s="583"/>
      <c r="AV116" s="583"/>
      <c r="AW116" s="583"/>
      <c r="AX116" s="583"/>
      <c r="AY116" s="583"/>
      <c r="AZ116" s="583"/>
      <c r="BA116" s="583"/>
      <c r="BB116" s="583"/>
      <c r="BC116" s="583"/>
      <c r="BD116" s="583"/>
      <c r="BE116" s="583"/>
      <c r="BF116" s="583"/>
      <c r="BG116" s="583"/>
      <c r="BH116" s="583"/>
      <c r="BI116" s="583"/>
      <c r="BJ116" s="583"/>
      <c r="BK116" s="583"/>
      <c r="BL116" s="585"/>
    </row>
    <row r="117" spans="3:64" s="590" customFormat="1">
      <c r="C117" s="590" t="s">
        <v>29</v>
      </c>
      <c r="D117" s="591"/>
      <c r="E117" s="592"/>
      <c r="F117" s="592"/>
      <c r="G117" s="592"/>
      <c r="H117" s="592"/>
      <c r="I117" s="592"/>
      <c r="J117" s="592"/>
      <c r="K117" s="592"/>
      <c r="L117" s="592"/>
      <c r="M117" s="592"/>
      <c r="N117" s="592"/>
      <c r="O117" s="592"/>
      <c r="P117" s="592"/>
      <c r="Q117" s="592"/>
      <c r="R117" s="592"/>
      <c r="S117" s="592"/>
      <c r="T117" s="592"/>
      <c r="U117" s="592"/>
      <c r="V117" s="592"/>
      <c r="W117" s="592"/>
      <c r="X117" s="592"/>
      <c r="Y117" s="592"/>
      <c r="Z117" s="592"/>
      <c r="AA117" s="592"/>
      <c r="AB117" s="592"/>
      <c r="AC117" s="592"/>
      <c r="AD117" s="592"/>
      <c r="AE117" s="592"/>
      <c r="AF117" s="592"/>
      <c r="AG117" s="592"/>
      <c r="AH117" s="592"/>
      <c r="AI117" s="589"/>
      <c r="AJ117" s="584"/>
      <c r="AK117" s="583"/>
      <c r="AL117" s="583"/>
      <c r="AM117" s="583"/>
      <c r="AN117" s="583"/>
      <c r="AO117" s="583"/>
      <c r="AP117" s="583"/>
      <c r="AR117" s="583"/>
      <c r="AS117" s="583"/>
      <c r="AT117" s="583"/>
      <c r="AU117" s="583"/>
      <c r="AV117" s="583"/>
      <c r="AW117" s="583"/>
      <c r="AX117" s="583"/>
      <c r="AY117" s="583"/>
      <c r="AZ117" s="583"/>
      <c r="BA117" s="583"/>
      <c r="BB117" s="583"/>
      <c r="BC117" s="583"/>
      <c r="BD117" s="583"/>
      <c r="BE117" s="583"/>
      <c r="BF117" s="583"/>
      <c r="BG117" s="583"/>
      <c r="BH117" s="583"/>
      <c r="BI117" s="583"/>
      <c r="BJ117" s="583"/>
      <c r="BK117" s="583"/>
      <c r="BL117" s="585"/>
    </row>
    <row r="118" spans="3:64" s="590" customFormat="1">
      <c r="C118" s="590" t="s">
        <v>30</v>
      </c>
      <c r="D118" s="591"/>
      <c r="E118" s="592"/>
      <c r="F118" s="592"/>
      <c r="G118" s="592"/>
      <c r="H118" s="592"/>
      <c r="I118" s="592"/>
      <c r="J118" s="592"/>
      <c r="K118" s="592"/>
      <c r="L118" s="592"/>
      <c r="M118" s="592"/>
      <c r="N118" s="592"/>
      <c r="O118" s="592"/>
      <c r="P118" s="592"/>
      <c r="Q118" s="592"/>
      <c r="R118" s="592"/>
      <c r="S118" s="592"/>
      <c r="T118" s="592"/>
      <c r="U118" s="592"/>
      <c r="V118" s="592"/>
      <c r="W118" s="592"/>
      <c r="X118" s="592"/>
      <c r="Y118" s="592"/>
      <c r="Z118" s="592"/>
      <c r="AA118" s="592"/>
      <c r="AB118" s="592"/>
      <c r="AC118" s="592"/>
      <c r="AD118" s="592"/>
      <c r="AE118" s="592"/>
      <c r="AF118" s="592"/>
      <c r="AG118" s="592"/>
      <c r="AH118" s="592"/>
      <c r="AI118" s="589"/>
      <c r="AJ118" s="584"/>
      <c r="AK118" s="583"/>
      <c r="AL118" s="583"/>
      <c r="AM118" s="583"/>
      <c r="AN118" s="583"/>
      <c r="AO118" s="583"/>
      <c r="AP118" s="583"/>
      <c r="AR118" s="583"/>
      <c r="AS118" s="583"/>
      <c r="AT118" s="583"/>
      <c r="AU118" s="583"/>
      <c r="AV118" s="583"/>
      <c r="AW118" s="583"/>
      <c r="AX118" s="583"/>
      <c r="AY118" s="583"/>
      <c r="AZ118" s="583"/>
      <c r="BA118" s="583"/>
      <c r="BB118" s="583"/>
      <c r="BC118" s="583"/>
      <c r="BD118" s="583"/>
      <c r="BE118" s="583"/>
      <c r="BF118" s="583"/>
      <c r="BG118" s="583"/>
      <c r="BH118" s="583"/>
      <c r="BI118" s="583"/>
      <c r="BJ118" s="583"/>
      <c r="BK118" s="583"/>
      <c r="BL118" s="585"/>
    </row>
    <row r="119" spans="3:64" s="590" customFormat="1">
      <c r="C119" s="590" t="s">
        <v>86</v>
      </c>
      <c r="D119" s="591"/>
      <c r="E119" s="592"/>
      <c r="F119" s="592"/>
      <c r="G119" s="592"/>
      <c r="H119" s="592"/>
      <c r="I119" s="592"/>
      <c r="J119" s="592"/>
      <c r="K119" s="592"/>
      <c r="L119" s="592"/>
      <c r="M119" s="592"/>
      <c r="N119" s="592"/>
      <c r="O119" s="592"/>
      <c r="P119" s="592"/>
      <c r="Q119" s="592"/>
      <c r="R119" s="592"/>
      <c r="S119" s="592"/>
      <c r="T119" s="592"/>
      <c r="U119" s="592"/>
      <c r="V119" s="592"/>
      <c r="W119" s="592"/>
      <c r="X119" s="592"/>
      <c r="Y119" s="592"/>
      <c r="Z119" s="592"/>
      <c r="AA119" s="592"/>
      <c r="AB119" s="592"/>
      <c r="AC119" s="592"/>
      <c r="AD119" s="592"/>
      <c r="AE119" s="592"/>
      <c r="AF119" s="592"/>
      <c r="AG119" s="592"/>
      <c r="AH119" s="592"/>
      <c r="AI119" s="589"/>
      <c r="AJ119" s="584"/>
      <c r="AK119" s="583"/>
      <c r="AL119" s="583"/>
      <c r="AM119" s="583"/>
      <c r="AN119" s="583"/>
      <c r="AO119" s="583"/>
      <c r="AP119" s="583"/>
      <c r="AR119" s="583"/>
      <c r="AS119" s="583"/>
      <c r="AT119" s="583"/>
      <c r="AU119" s="583"/>
      <c r="AV119" s="583"/>
      <c r="AW119" s="583"/>
      <c r="AX119" s="583"/>
      <c r="AY119" s="583"/>
      <c r="AZ119" s="583"/>
      <c r="BA119" s="583"/>
      <c r="BB119" s="583"/>
      <c r="BC119" s="583"/>
      <c r="BD119" s="583"/>
      <c r="BE119" s="583"/>
      <c r="BF119" s="583"/>
      <c r="BG119" s="583"/>
      <c r="BH119" s="583"/>
      <c r="BI119" s="583"/>
      <c r="BJ119" s="583"/>
      <c r="BK119" s="583"/>
      <c r="BL119" s="585"/>
    </row>
    <row r="120" spans="3:64" s="590" customFormat="1">
      <c r="C120" s="590" t="s">
        <v>31</v>
      </c>
      <c r="D120" s="591"/>
      <c r="E120" s="592"/>
      <c r="F120" s="592"/>
      <c r="G120" s="592"/>
      <c r="H120" s="592"/>
      <c r="I120" s="592"/>
      <c r="J120" s="592"/>
      <c r="K120" s="592"/>
      <c r="L120" s="592"/>
      <c r="M120" s="592"/>
      <c r="N120" s="592"/>
      <c r="O120" s="592"/>
      <c r="P120" s="592"/>
      <c r="Q120" s="592"/>
      <c r="R120" s="592"/>
      <c r="S120" s="592"/>
      <c r="T120" s="592"/>
      <c r="U120" s="592"/>
      <c r="V120" s="592"/>
      <c r="W120" s="592"/>
      <c r="X120" s="592"/>
      <c r="Y120" s="592"/>
      <c r="Z120" s="592"/>
      <c r="AA120" s="592"/>
      <c r="AB120" s="592"/>
      <c r="AC120" s="592"/>
      <c r="AD120" s="592"/>
      <c r="AE120" s="592"/>
      <c r="AF120" s="592"/>
      <c r="AG120" s="592"/>
      <c r="AH120" s="592"/>
      <c r="AI120" s="589"/>
      <c r="AJ120" s="584"/>
      <c r="AK120" s="583"/>
      <c r="AL120" s="583"/>
      <c r="AM120" s="583"/>
      <c r="AN120" s="583"/>
      <c r="AO120" s="583"/>
      <c r="AP120" s="583"/>
      <c r="AR120" s="583"/>
      <c r="AS120" s="583"/>
      <c r="AT120" s="583"/>
      <c r="AU120" s="583"/>
      <c r="AV120" s="583"/>
      <c r="AW120" s="583"/>
      <c r="AX120" s="583"/>
      <c r="AY120" s="583"/>
      <c r="AZ120" s="583"/>
      <c r="BA120" s="583"/>
      <c r="BB120" s="583"/>
      <c r="BC120" s="583"/>
      <c r="BD120" s="583"/>
      <c r="BE120" s="583"/>
      <c r="BF120" s="583"/>
      <c r="BG120" s="583"/>
      <c r="BH120" s="583"/>
      <c r="BI120" s="583"/>
      <c r="BJ120" s="583"/>
      <c r="BK120" s="583"/>
      <c r="BL120" s="585"/>
    </row>
    <row r="121" spans="3:64" s="590" customFormat="1">
      <c r="C121" s="590" t="s">
        <v>32</v>
      </c>
      <c r="D121" s="591"/>
      <c r="E121" s="592"/>
      <c r="F121" s="592"/>
      <c r="G121" s="592"/>
      <c r="H121" s="592"/>
      <c r="I121" s="592"/>
      <c r="J121" s="592"/>
      <c r="K121" s="592"/>
      <c r="L121" s="592"/>
      <c r="M121" s="592"/>
      <c r="N121" s="592"/>
      <c r="O121" s="592"/>
      <c r="P121" s="592"/>
      <c r="Q121" s="592"/>
      <c r="R121" s="592"/>
      <c r="S121" s="592"/>
      <c r="T121" s="592"/>
      <c r="U121" s="592"/>
      <c r="V121" s="592"/>
      <c r="W121" s="592"/>
      <c r="X121" s="592"/>
      <c r="Y121" s="592"/>
      <c r="Z121" s="592"/>
      <c r="AA121" s="592"/>
      <c r="AB121" s="592"/>
      <c r="AC121" s="592"/>
      <c r="AD121" s="592"/>
      <c r="AE121" s="592"/>
      <c r="AF121" s="592"/>
      <c r="AG121" s="592"/>
      <c r="AH121" s="592"/>
      <c r="AI121" s="589"/>
      <c r="AJ121" s="584"/>
      <c r="AK121" s="583"/>
      <c r="AL121" s="583"/>
      <c r="AM121" s="583"/>
      <c r="AN121" s="583"/>
      <c r="AO121" s="583"/>
      <c r="AP121" s="583"/>
      <c r="AR121" s="583"/>
      <c r="AS121" s="583"/>
      <c r="AT121" s="583"/>
      <c r="AU121" s="583"/>
      <c r="AV121" s="583"/>
      <c r="AW121" s="583"/>
      <c r="AX121" s="583"/>
      <c r="AY121" s="583"/>
      <c r="AZ121" s="583"/>
      <c r="BA121" s="583"/>
      <c r="BB121" s="583"/>
      <c r="BC121" s="583"/>
      <c r="BD121" s="583"/>
      <c r="BE121" s="583"/>
      <c r="BF121" s="583"/>
      <c r="BG121" s="583"/>
      <c r="BH121" s="583"/>
      <c r="BI121" s="583"/>
      <c r="BJ121" s="583"/>
      <c r="BK121" s="583"/>
      <c r="BL121" s="585"/>
    </row>
    <row r="122" spans="3:64" s="590" customFormat="1">
      <c r="C122" s="590" t="s">
        <v>33</v>
      </c>
      <c r="D122" s="591"/>
      <c r="E122" s="592"/>
      <c r="F122" s="592"/>
      <c r="G122" s="592"/>
      <c r="H122" s="592"/>
      <c r="I122" s="592"/>
      <c r="J122" s="592"/>
      <c r="K122" s="592"/>
      <c r="L122" s="592"/>
      <c r="M122" s="592"/>
      <c r="N122" s="592"/>
      <c r="O122" s="592"/>
      <c r="P122" s="592"/>
      <c r="Q122" s="592"/>
      <c r="R122" s="592"/>
      <c r="S122" s="592"/>
      <c r="T122" s="592"/>
      <c r="U122" s="592"/>
      <c r="V122" s="592"/>
      <c r="W122" s="592"/>
      <c r="X122" s="592"/>
      <c r="Y122" s="592"/>
      <c r="Z122" s="592"/>
      <c r="AA122" s="592"/>
      <c r="AB122" s="592"/>
      <c r="AC122" s="592"/>
      <c r="AD122" s="592"/>
      <c r="AE122" s="592"/>
      <c r="AF122" s="592"/>
      <c r="AG122" s="592"/>
      <c r="AH122" s="592"/>
      <c r="AI122" s="589"/>
      <c r="AJ122" s="584"/>
      <c r="AK122" s="583"/>
      <c r="AL122" s="583"/>
      <c r="AM122" s="583"/>
      <c r="AN122" s="583"/>
      <c r="AO122" s="583"/>
      <c r="AP122" s="583"/>
      <c r="AR122" s="583"/>
      <c r="AS122" s="583"/>
      <c r="AT122" s="583"/>
      <c r="AU122" s="583"/>
      <c r="AV122" s="583"/>
      <c r="AW122" s="583"/>
      <c r="AX122" s="583"/>
      <c r="AY122" s="583"/>
      <c r="AZ122" s="583"/>
      <c r="BA122" s="583"/>
      <c r="BB122" s="583"/>
      <c r="BC122" s="583"/>
      <c r="BD122" s="583"/>
      <c r="BE122" s="583"/>
      <c r="BF122" s="583"/>
      <c r="BG122" s="583"/>
      <c r="BH122" s="583"/>
      <c r="BI122" s="583"/>
      <c r="BJ122" s="583"/>
      <c r="BK122" s="583"/>
      <c r="BL122" s="585"/>
    </row>
    <row r="123" spans="3:64" s="590" customFormat="1">
      <c r="C123" s="590" t="s">
        <v>34</v>
      </c>
      <c r="D123" s="591"/>
      <c r="E123" s="592"/>
      <c r="F123" s="592"/>
      <c r="G123" s="592"/>
      <c r="H123" s="592"/>
      <c r="I123" s="592"/>
      <c r="J123" s="592"/>
      <c r="K123" s="592"/>
      <c r="L123" s="592"/>
      <c r="M123" s="592"/>
      <c r="N123" s="592"/>
      <c r="O123" s="592"/>
      <c r="P123" s="592"/>
      <c r="Q123" s="592"/>
      <c r="R123" s="592"/>
      <c r="S123" s="592"/>
      <c r="T123" s="592"/>
      <c r="U123" s="592"/>
      <c r="V123" s="592"/>
      <c r="W123" s="592"/>
      <c r="X123" s="592"/>
      <c r="Y123" s="592"/>
      <c r="Z123" s="592"/>
      <c r="AA123" s="592"/>
      <c r="AB123" s="592"/>
      <c r="AC123" s="592"/>
      <c r="AD123" s="592"/>
      <c r="AE123" s="592"/>
      <c r="AF123" s="592"/>
      <c r="AG123" s="592"/>
      <c r="AH123" s="592"/>
      <c r="AI123" s="589"/>
      <c r="AJ123" s="584"/>
      <c r="AK123" s="583"/>
      <c r="AL123" s="583"/>
      <c r="AM123" s="583"/>
      <c r="AN123" s="583"/>
      <c r="AO123" s="583"/>
      <c r="AP123" s="583"/>
      <c r="AR123" s="583"/>
      <c r="AS123" s="583"/>
      <c r="AT123" s="583"/>
      <c r="AU123" s="583"/>
      <c r="AV123" s="583"/>
      <c r="AW123" s="583"/>
      <c r="AX123" s="583"/>
      <c r="AY123" s="583"/>
      <c r="AZ123" s="583"/>
      <c r="BA123" s="583"/>
      <c r="BB123" s="583"/>
      <c r="BC123" s="583"/>
      <c r="BD123" s="583"/>
      <c r="BE123" s="583"/>
      <c r="BF123" s="583"/>
      <c r="BG123" s="583"/>
      <c r="BH123" s="583"/>
      <c r="BI123" s="583"/>
      <c r="BJ123" s="583"/>
      <c r="BK123" s="583"/>
      <c r="BL123" s="585"/>
    </row>
    <row r="124" spans="3:64" s="590" customFormat="1">
      <c r="C124" s="590" t="s">
        <v>35</v>
      </c>
      <c r="D124" s="591"/>
      <c r="E124" s="592"/>
      <c r="F124" s="592"/>
      <c r="G124" s="592"/>
      <c r="H124" s="592"/>
      <c r="I124" s="592"/>
      <c r="J124" s="592"/>
      <c r="K124" s="592"/>
      <c r="L124" s="592"/>
      <c r="M124" s="592"/>
      <c r="N124" s="592"/>
      <c r="O124" s="592"/>
      <c r="P124" s="592"/>
      <c r="Q124" s="592"/>
      <c r="R124" s="592"/>
      <c r="S124" s="592"/>
      <c r="T124" s="592"/>
      <c r="U124" s="592"/>
      <c r="V124" s="592"/>
      <c r="W124" s="592"/>
      <c r="X124" s="592"/>
      <c r="Y124" s="592"/>
      <c r="Z124" s="592"/>
      <c r="AA124" s="592"/>
      <c r="AB124" s="592"/>
      <c r="AC124" s="592"/>
      <c r="AD124" s="592"/>
      <c r="AE124" s="592"/>
      <c r="AF124" s="592"/>
      <c r="AG124" s="592"/>
      <c r="AH124" s="592"/>
      <c r="AI124" s="589"/>
      <c r="AJ124" s="584"/>
      <c r="AK124" s="583"/>
      <c r="AL124" s="583"/>
      <c r="AM124" s="583"/>
      <c r="AN124" s="583"/>
      <c r="AO124" s="583"/>
      <c r="AP124" s="583"/>
      <c r="AR124" s="583"/>
      <c r="AS124" s="583"/>
      <c r="AT124" s="583"/>
      <c r="AU124" s="583"/>
      <c r="AV124" s="583"/>
      <c r="AW124" s="583"/>
      <c r="AX124" s="583"/>
      <c r="AY124" s="583"/>
      <c r="AZ124" s="583"/>
      <c r="BA124" s="583"/>
      <c r="BB124" s="583"/>
      <c r="BC124" s="583"/>
      <c r="BD124" s="583"/>
      <c r="BE124" s="583"/>
      <c r="BF124" s="583"/>
      <c r="BG124" s="583"/>
      <c r="BH124" s="583"/>
      <c r="BI124" s="583"/>
      <c r="BJ124" s="583"/>
      <c r="BK124" s="583"/>
      <c r="BL124" s="585"/>
    </row>
    <row r="125" spans="3:64" s="590" customFormat="1">
      <c r="C125" s="590" t="s">
        <v>36</v>
      </c>
      <c r="D125" s="591"/>
      <c r="E125" s="592"/>
      <c r="F125" s="592"/>
      <c r="G125" s="592"/>
      <c r="H125" s="592"/>
      <c r="I125" s="592"/>
      <c r="J125" s="592"/>
      <c r="K125" s="592"/>
      <c r="L125" s="592"/>
      <c r="M125" s="592"/>
      <c r="N125" s="592"/>
      <c r="O125" s="592"/>
      <c r="P125" s="592"/>
      <c r="Q125" s="592"/>
      <c r="R125" s="592"/>
      <c r="S125" s="592"/>
      <c r="T125" s="592"/>
      <c r="U125" s="592"/>
      <c r="V125" s="592"/>
      <c r="W125" s="592"/>
      <c r="X125" s="592"/>
      <c r="Y125" s="592"/>
      <c r="Z125" s="592"/>
      <c r="AA125" s="592"/>
      <c r="AB125" s="592"/>
      <c r="AC125" s="592"/>
      <c r="AD125" s="592"/>
      <c r="AE125" s="592"/>
      <c r="AF125" s="592"/>
      <c r="AG125" s="592"/>
      <c r="AH125" s="592"/>
      <c r="AI125" s="589"/>
      <c r="AJ125" s="584"/>
      <c r="AK125" s="583"/>
      <c r="AL125" s="583"/>
      <c r="AM125" s="583"/>
      <c r="AN125" s="583"/>
      <c r="AO125" s="583"/>
      <c r="AP125" s="583"/>
      <c r="AR125" s="583"/>
      <c r="AS125" s="583"/>
      <c r="AT125" s="583"/>
      <c r="AU125" s="583"/>
      <c r="AV125" s="583"/>
      <c r="AW125" s="583"/>
      <c r="AX125" s="583"/>
      <c r="AY125" s="583"/>
      <c r="AZ125" s="583"/>
      <c r="BA125" s="583"/>
      <c r="BB125" s="583"/>
      <c r="BC125" s="583"/>
      <c r="BD125" s="583"/>
      <c r="BE125" s="583"/>
      <c r="BF125" s="583"/>
      <c r="BG125" s="583"/>
      <c r="BH125" s="583"/>
      <c r="BI125" s="583"/>
      <c r="BJ125" s="583"/>
      <c r="BK125" s="583"/>
      <c r="BL125" s="585"/>
    </row>
    <row r="126" spans="3:64" s="590" customFormat="1">
      <c r="C126" s="590" t="s">
        <v>37</v>
      </c>
      <c r="D126" s="591"/>
      <c r="E126" s="592"/>
      <c r="F126" s="592"/>
      <c r="G126" s="592"/>
      <c r="H126" s="592"/>
      <c r="I126" s="592"/>
      <c r="J126" s="592"/>
      <c r="K126" s="592"/>
      <c r="L126" s="592"/>
      <c r="M126" s="592"/>
      <c r="N126" s="592"/>
      <c r="O126" s="592"/>
      <c r="P126" s="592"/>
      <c r="Q126" s="592"/>
      <c r="R126" s="592"/>
      <c r="S126" s="592"/>
      <c r="T126" s="592"/>
      <c r="U126" s="592"/>
      <c r="V126" s="592"/>
      <c r="W126" s="592"/>
      <c r="X126" s="592"/>
      <c r="Y126" s="592"/>
      <c r="Z126" s="592"/>
      <c r="AA126" s="592"/>
      <c r="AB126" s="592"/>
      <c r="AC126" s="592"/>
      <c r="AD126" s="592"/>
      <c r="AE126" s="592"/>
      <c r="AF126" s="592"/>
      <c r="AG126" s="592"/>
      <c r="AH126" s="592"/>
      <c r="AI126" s="589"/>
      <c r="AJ126" s="584"/>
      <c r="AK126" s="583"/>
      <c r="AL126" s="583"/>
      <c r="AM126" s="583"/>
      <c r="AN126" s="583"/>
      <c r="AO126" s="583"/>
      <c r="AP126" s="583"/>
      <c r="AR126" s="583"/>
      <c r="AS126" s="583"/>
      <c r="AT126" s="583"/>
      <c r="AU126" s="583"/>
      <c r="AV126" s="583"/>
      <c r="AW126" s="583"/>
      <c r="AX126" s="583"/>
      <c r="AY126" s="583"/>
      <c r="AZ126" s="583"/>
      <c r="BA126" s="583"/>
      <c r="BB126" s="583"/>
      <c r="BC126" s="583"/>
      <c r="BD126" s="583"/>
      <c r="BE126" s="583"/>
      <c r="BF126" s="583"/>
      <c r="BG126" s="583"/>
      <c r="BH126" s="583"/>
      <c r="BI126" s="583"/>
      <c r="BJ126" s="583"/>
      <c r="BK126" s="583"/>
      <c r="BL126" s="585"/>
    </row>
    <row r="127" spans="3:64" s="590" customFormat="1">
      <c r="C127" s="590" t="s">
        <v>38</v>
      </c>
      <c r="D127" s="591"/>
      <c r="E127" s="592"/>
      <c r="F127" s="592"/>
      <c r="G127" s="592"/>
      <c r="H127" s="592"/>
      <c r="I127" s="592"/>
      <c r="J127" s="592"/>
      <c r="K127" s="592"/>
      <c r="L127" s="592"/>
      <c r="M127" s="592"/>
      <c r="N127" s="592"/>
      <c r="O127" s="592"/>
      <c r="P127" s="592"/>
      <c r="Q127" s="592"/>
      <c r="R127" s="592"/>
      <c r="S127" s="592"/>
      <c r="T127" s="592"/>
      <c r="U127" s="592"/>
      <c r="V127" s="592"/>
      <c r="W127" s="592"/>
      <c r="X127" s="592"/>
      <c r="Y127" s="592"/>
      <c r="Z127" s="592"/>
      <c r="AA127" s="592"/>
      <c r="AB127" s="592"/>
      <c r="AC127" s="592"/>
      <c r="AD127" s="592"/>
      <c r="AE127" s="592"/>
      <c r="AF127" s="592"/>
      <c r="AG127" s="592"/>
      <c r="AH127" s="592"/>
      <c r="AI127" s="589"/>
      <c r="AJ127" s="584"/>
      <c r="AK127" s="583"/>
      <c r="AL127" s="583"/>
      <c r="AM127" s="583"/>
      <c r="AN127" s="583"/>
      <c r="AO127" s="583"/>
      <c r="AP127" s="583"/>
      <c r="AR127" s="583"/>
      <c r="AS127" s="583"/>
      <c r="AT127" s="583"/>
      <c r="AU127" s="583"/>
      <c r="AV127" s="583"/>
      <c r="AW127" s="583"/>
      <c r="AX127" s="583"/>
      <c r="AY127" s="583"/>
      <c r="AZ127" s="583"/>
      <c r="BA127" s="583"/>
      <c r="BB127" s="583"/>
      <c r="BC127" s="583"/>
      <c r="BD127" s="583"/>
      <c r="BE127" s="583"/>
      <c r="BF127" s="583"/>
      <c r="BG127" s="583"/>
      <c r="BH127" s="583"/>
      <c r="BI127" s="583"/>
      <c r="BJ127" s="583"/>
      <c r="BK127" s="583"/>
      <c r="BL127" s="585"/>
    </row>
    <row r="128" spans="3:64" s="573" customFormat="1" ht="6" customHeight="1">
      <c r="C128" s="579"/>
      <c r="D128" s="577"/>
      <c r="E128" s="578"/>
      <c r="F128" s="578"/>
      <c r="G128" s="578"/>
      <c r="H128" s="578"/>
      <c r="I128" s="578"/>
      <c r="J128" s="578"/>
      <c r="K128" s="578"/>
      <c r="L128" s="578"/>
      <c r="M128" s="578"/>
      <c r="N128" s="578"/>
      <c r="O128" s="578"/>
      <c r="P128" s="578"/>
      <c r="Q128" s="578"/>
      <c r="R128" s="578"/>
      <c r="S128" s="578"/>
      <c r="T128" s="578"/>
      <c r="U128" s="578"/>
      <c r="V128" s="578"/>
      <c r="W128" s="578"/>
      <c r="X128" s="578"/>
      <c r="Y128" s="578"/>
      <c r="Z128" s="578"/>
      <c r="AA128" s="578"/>
      <c r="AB128" s="578"/>
      <c r="AC128" s="578"/>
      <c r="AD128" s="578"/>
      <c r="AE128" s="578"/>
      <c r="AF128" s="578"/>
      <c r="AG128" s="578"/>
      <c r="AH128" s="578"/>
      <c r="AI128" s="576"/>
      <c r="AJ128" s="574"/>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75"/>
    </row>
    <row r="129" spans="3:64" s="573" customFormat="1" ht="6" customHeight="1">
      <c r="C129" s="579"/>
      <c r="D129" s="577"/>
      <c r="E129" s="578"/>
      <c r="F129" s="578"/>
      <c r="G129" s="578"/>
      <c r="H129" s="578"/>
      <c r="I129" s="578"/>
      <c r="J129" s="578"/>
      <c r="K129" s="578"/>
      <c r="L129" s="578"/>
      <c r="M129" s="578"/>
      <c r="N129" s="578"/>
      <c r="O129" s="578"/>
      <c r="P129" s="578"/>
      <c r="Q129" s="578"/>
      <c r="R129" s="578"/>
      <c r="S129" s="578"/>
      <c r="T129" s="578"/>
      <c r="U129" s="578"/>
      <c r="V129" s="578"/>
      <c r="W129" s="578"/>
      <c r="X129" s="578"/>
      <c r="Y129" s="578"/>
      <c r="Z129" s="578"/>
      <c r="AA129" s="578"/>
      <c r="AB129" s="578"/>
      <c r="AC129" s="578"/>
      <c r="AD129" s="578"/>
      <c r="AE129" s="578"/>
      <c r="AF129" s="578"/>
      <c r="AG129" s="578"/>
      <c r="AH129" s="578"/>
      <c r="AI129" s="576"/>
      <c r="AJ129" s="574"/>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75"/>
    </row>
    <row r="130" spans="3:64" s="590" customFormat="1">
      <c r="C130" s="590" t="s">
        <v>87</v>
      </c>
      <c r="D130" s="591"/>
      <c r="E130" s="592"/>
      <c r="F130" s="592"/>
      <c r="G130" s="592"/>
      <c r="H130" s="592"/>
      <c r="I130" s="592"/>
      <c r="J130" s="592"/>
      <c r="K130" s="592"/>
      <c r="L130" s="592"/>
      <c r="M130" s="592"/>
      <c r="N130" s="592"/>
      <c r="O130" s="592"/>
      <c r="P130" s="592"/>
      <c r="Q130" s="592"/>
      <c r="R130" s="592"/>
      <c r="S130" s="592"/>
      <c r="T130" s="592"/>
      <c r="U130" s="592"/>
      <c r="V130" s="592"/>
      <c r="W130" s="592"/>
      <c r="X130" s="592"/>
      <c r="Y130" s="592"/>
      <c r="Z130" s="592"/>
      <c r="AA130" s="592"/>
      <c r="AB130" s="592"/>
      <c r="AC130" s="592"/>
      <c r="AD130" s="592"/>
      <c r="AE130" s="592"/>
      <c r="AF130" s="592"/>
      <c r="AG130" s="592"/>
      <c r="AH130" s="592"/>
      <c r="AI130" s="589"/>
      <c r="AJ130" s="584"/>
      <c r="AK130" s="583"/>
      <c r="AL130" s="583"/>
      <c r="AM130" s="583"/>
      <c r="AN130" s="583"/>
      <c r="AO130" s="583"/>
      <c r="AP130" s="583"/>
      <c r="AR130" s="583"/>
      <c r="AS130" s="583"/>
      <c r="AT130" s="583"/>
      <c r="AU130" s="583"/>
      <c r="AV130" s="583"/>
      <c r="AW130" s="583"/>
      <c r="AX130" s="583"/>
      <c r="AY130" s="583"/>
      <c r="AZ130" s="583"/>
      <c r="BA130" s="583"/>
      <c r="BB130" s="583"/>
      <c r="BC130" s="583"/>
      <c r="BD130" s="583"/>
      <c r="BE130" s="583"/>
      <c r="BF130" s="583"/>
      <c r="BG130" s="583"/>
      <c r="BH130" s="583"/>
      <c r="BI130" s="583"/>
      <c r="BJ130" s="583"/>
      <c r="BK130" s="583"/>
      <c r="BL130" s="585"/>
    </row>
    <row r="131" spans="3:64" s="590" customFormat="1">
      <c r="C131" s="590" t="s">
        <v>91</v>
      </c>
      <c r="D131" s="591"/>
      <c r="E131" s="592"/>
      <c r="F131" s="592"/>
      <c r="G131" s="592"/>
      <c r="H131" s="592"/>
      <c r="I131" s="592"/>
      <c r="J131" s="592"/>
      <c r="K131" s="592"/>
      <c r="L131" s="592"/>
      <c r="M131" s="592"/>
      <c r="N131" s="592"/>
      <c r="O131" s="592"/>
      <c r="P131" s="592"/>
      <c r="Q131" s="592"/>
      <c r="R131" s="592"/>
      <c r="S131" s="592"/>
      <c r="T131" s="592"/>
      <c r="U131" s="592"/>
      <c r="V131" s="592"/>
      <c r="W131" s="592"/>
      <c r="X131" s="592"/>
      <c r="Y131" s="592"/>
      <c r="Z131" s="592"/>
      <c r="AA131" s="592"/>
      <c r="AB131" s="592"/>
      <c r="AC131" s="592"/>
      <c r="AD131" s="592"/>
      <c r="AE131" s="592"/>
      <c r="AF131" s="592"/>
      <c r="AG131" s="592"/>
      <c r="AH131" s="592"/>
      <c r="AI131" s="589"/>
      <c r="AJ131" s="584"/>
      <c r="AK131" s="583"/>
      <c r="AL131" s="583"/>
      <c r="AM131" s="583"/>
      <c r="AN131" s="583"/>
      <c r="AO131" s="583"/>
      <c r="AP131" s="583"/>
      <c r="AR131" s="583"/>
      <c r="AS131" s="583"/>
      <c r="AT131" s="583"/>
      <c r="AU131" s="583"/>
      <c r="AV131" s="583"/>
      <c r="AW131" s="583"/>
      <c r="AX131" s="583"/>
      <c r="AY131" s="583"/>
      <c r="AZ131" s="583"/>
      <c r="BA131" s="583"/>
      <c r="BB131" s="583"/>
      <c r="BC131" s="583"/>
      <c r="BD131" s="583"/>
      <c r="BE131" s="583"/>
      <c r="BF131" s="583"/>
      <c r="BG131" s="583"/>
      <c r="BH131" s="583"/>
      <c r="BI131" s="583"/>
      <c r="BJ131" s="583"/>
      <c r="BK131" s="583"/>
      <c r="BL131" s="585"/>
    </row>
    <row r="132" spans="3:64" s="590" customFormat="1" ht="6" customHeight="1">
      <c r="C132" s="593"/>
      <c r="D132" s="591"/>
      <c r="E132" s="592"/>
      <c r="F132" s="592"/>
      <c r="G132" s="592"/>
      <c r="H132" s="592"/>
      <c r="I132" s="592"/>
      <c r="J132" s="592"/>
      <c r="K132" s="592"/>
      <c r="L132" s="592"/>
      <c r="M132" s="592"/>
      <c r="N132" s="592"/>
      <c r="O132" s="592"/>
      <c r="P132" s="592"/>
      <c r="Q132" s="592"/>
      <c r="R132" s="592"/>
      <c r="S132" s="592"/>
      <c r="T132" s="592"/>
      <c r="U132" s="592"/>
      <c r="V132" s="592"/>
      <c r="W132" s="592"/>
      <c r="X132" s="592"/>
      <c r="Y132" s="592"/>
      <c r="Z132" s="592"/>
      <c r="AA132" s="592"/>
      <c r="AB132" s="592"/>
      <c r="AC132" s="592"/>
      <c r="AD132" s="592"/>
      <c r="AE132" s="592"/>
      <c r="AF132" s="592"/>
      <c r="AG132" s="592"/>
      <c r="AH132" s="592"/>
      <c r="AI132" s="589"/>
      <c r="AJ132" s="584"/>
      <c r="AK132" s="583"/>
      <c r="AL132" s="583"/>
      <c r="AM132" s="583"/>
      <c r="AN132" s="583"/>
      <c r="AO132" s="583"/>
      <c r="AP132" s="583"/>
      <c r="AR132" s="583"/>
      <c r="AS132" s="583"/>
      <c r="AT132" s="583"/>
      <c r="AU132" s="583"/>
      <c r="AV132" s="583"/>
      <c r="AW132" s="583"/>
      <c r="AX132" s="583"/>
      <c r="AY132" s="583"/>
      <c r="AZ132" s="583"/>
      <c r="BA132" s="583"/>
      <c r="BB132" s="583"/>
      <c r="BC132" s="583"/>
      <c r="BD132" s="583"/>
      <c r="BE132" s="583"/>
      <c r="BF132" s="583"/>
      <c r="BG132" s="583"/>
      <c r="BH132" s="583"/>
      <c r="BI132" s="583"/>
      <c r="BJ132" s="583"/>
      <c r="BK132" s="583"/>
      <c r="BL132" s="585"/>
    </row>
    <row r="133" spans="3:64" s="590" customFormat="1">
      <c r="C133" s="590" t="s">
        <v>72</v>
      </c>
      <c r="D133" s="591"/>
      <c r="E133" s="592"/>
      <c r="F133" s="592"/>
      <c r="G133" s="592"/>
      <c r="H133" s="592"/>
      <c r="I133" s="592"/>
      <c r="J133" s="592"/>
      <c r="K133" s="592"/>
      <c r="L133" s="592"/>
      <c r="M133" s="592"/>
      <c r="N133" s="592"/>
      <c r="O133" s="592"/>
      <c r="P133" s="592"/>
      <c r="Q133" s="592"/>
      <c r="R133" s="592"/>
      <c r="S133" s="592"/>
      <c r="T133" s="592"/>
      <c r="U133" s="592"/>
      <c r="V133" s="592"/>
      <c r="W133" s="592"/>
      <c r="X133" s="592"/>
      <c r="Y133" s="592"/>
      <c r="Z133" s="592"/>
      <c r="AA133" s="592"/>
      <c r="AB133" s="592"/>
      <c r="AC133" s="592"/>
      <c r="AD133" s="592"/>
      <c r="AE133" s="592"/>
      <c r="AF133" s="592"/>
      <c r="AG133" s="592"/>
      <c r="AH133" s="592"/>
      <c r="AI133" s="589"/>
      <c r="AJ133" s="584"/>
      <c r="AK133" s="583"/>
      <c r="AL133" s="583"/>
      <c r="AM133" s="583"/>
      <c r="AN133" s="583"/>
      <c r="AO133" s="583"/>
      <c r="AP133" s="583"/>
      <c r="AR133" s="583"/>
      <c r="AS133" s="583"/>
      <c r="AT133" s="583"/>
      <c r="AU133" s="583"/>
      <c r="AV133" s="583"/>
      <c r="AW133" s="583"/>
      <c r="AX133" s="583"/>
      <c r="AY133" s="583"/>
      <c r="AZ133" s="583"/>
      <c r="BA133" s="583"/>
      <c r="BB133" s="583"/>
      <c r="BC133" s="583"/>
      <c r="BD133" s="583"/>
      <c r="BE133" s="583"/>
      <c r="BF133" s="583"/>
      <c r="BG133" s="583"/>
      <c r="BH133" s="583"/>
      <c r="BI133" s="583"/>
      <c r="BJ133" s="583"/>
      <c r="BK133" s="583"/>
      <c r="BL133" s="585"/>
    </row>
    <row r="134" spans="3:64" s="590" customFormat="1">
      <c r="C134" s="590" t="s">
        <v>73</v>
      </c>
      <c r="D134" s="591"/>
      <c r="E134" s="592"/>
      <c r="F134" s="592"/>
      <c r="G134" s="592"/>
      <c r="H134" s="592"/>
      <c r="I134" s="592"/>
      <c r="J134" s="592"/>
      <c r="K134" s="592"/>
      <c r="L134" s="592"/>
      <c r="M134" s="592"/>
      <c r="N134" s="592"/>
      <c r="O134" s="592"/>
      <c r="P134" s="592"/>
      <c r="Q134" s="592"/>
      <c r="R134" s="592"/>
      <c r="S134" s="592"/>
      <c r="T134" s="592"/>
      <c r="U134" s="592"/>
      <c r="V134" s="592"/>
      <c r="W134" s="592"/>
      <c r="X134" s="592"/>
      <c r="Y134" s="592"/>
      <c r="Z134" s="592"/>
      <c r="AA134" s="592"/>
      <c r="AB134" s="592"/>
      <c r="AC134" s="592"/>
      <c r="AD134" s="592"/>
      <c r="AE134" s="592"/>
      <c r="AF134" s="592"/>
      <c r="AG134" s="592"/>
      <c r="AH134" s="592"/>
      <c r="AI134" s="589"/>
      <c r="AJ134" s="584"/>
      <c r="AK134" s="583"/>
      <c r="AL134" s="583"/>
      <c r="AM134" s="583"/>
      <c r="AN134" s="583"/>
      <c r="AO134" s="583"/>
      <c r="AP134" s="583"/>
      <c r="AR134" s="583"/>
      <c r="AS134" s="583"/>
      <c r="AT134" s="583"/>
      <c r="AU134" s="583"/>
      <c r="AV134" s="583"/>
      <c r="AW134" s="583"/>
      <c r="AX134" s="583"/>
      <c r="AY134" s="583"/>
      <c r="AZ134" s="583"/>
      <c r="BA134" s="583"/>
      <c r="BB134" s="583"/>
      <c r="BC134" s="583"/>
      <c r="BD134" s="583"/>
      <c r="BE134" s="583"/>
      <c r="BF134" s="583"/>
      <c r="BG134" s="583"/>
      <c r="BH134" s="583"/>
      <c r="BI134" s="583"/>
      <c r="BJ134" s="583"/>
      <c r="BK134" s="583"/>
      <c r="BL134" s="585"/>
    </row>
    <row r="135" spans="3:64" s="590" customFormat="1" ht="6" customHeight="1">
      <c r="C135" s="593"/>
      <c r="D135" s="591"/>
      <c r="E135" s="592"/>
      <c r="F135" s="592"/>
      <c r="G135" s="592"/>
      <c r="H135" s="592"/>
      <c r="I135" s="592"/>
      <c r="J135" s="592"/>
      <c r="K135" s="592"/>
      <c r="L135" s="592"/>
      <c r="M135" s="592"/>
      <c r="N135" s="592"/>
      <c r="O135" s="592"/>
      <c r="P135" s="592"/>
      <c r="Q135" s="592"/>
      <c r="R135" s="592"/>
      <c r="S135" s="592"/>
      <c r="T135" s="592"/>
      <c r="U135" s="592"/>
      <c r="V135" s="592"/>
      <c r="W135" s="592"/>
      <c r="X135" s="592"/>
      <c r="Y135" s="592"/>
      <c r="Z135" s="592"/>
      <c r="AA135" s="592"/>
      <c r="AB135" s="592"/>
      <c r="AC135" s="592"/>
      <c r="AD135" s="592"/>
      <c r="AE135" s="592"/>
      <c r="AF135" s="592"/>
      <c r="AG135" s="592"/>
      <c r="AH135" s="592"/>
      <c r="AI135" s="589"/>
      <c r="AJ135" s="584"/>
      <c r="AK135" s="583"/>
      <c r="AL135" s="583"/>
      <c r="AM135" s="583"/>
      <c r="AN135" s="583"/>
      <c r="AO135" s="583"/>
      <c r="AP135" s="583"/>
      <c r="AR135" s="583"/>
      <c r="AS135" s="583"/>
      <c r="AT135" s="583"/>
      <c r="AU135" s="583"/>
      <c r="AV135" s="583"/>
      <c r="AW135" s="583"/>
      <c r="AX135" s="583"/>
      <c r="AY135" s="583"/>
      <c r="AZ135" s="583"/>
      <c r="BA135" s="583"/>
      <c r="BB135" s="583"/>
      <c r="BC135" s="583"/>
      <c r="BD135" s="583"/>
      <c r="BE135" s="583"/>
      <c r="BF135" s="583"/>
      <c r="BG135" s="583"/>
      <c r="BH135" s="583"/>
      <c r="BI135" s="583"/>
      <c r="BJ135" s="583"/>
      <c r="BK135" s="583"/>
      <c r="BL135" s="585"/>
    </row>
    <row r="136" spans="3:64" s="590" customFormat="1">
      <c r="C136" s="593" t="s">
        <v>80</v>
      </c>
      <c r="D136" s="591"/>
      <c r="E136" s="592"/>
      <c r="F136" s="592"/>
      <c r="G136" s="592"/>
      <c r="H136" s="592"/>
      <c r="I136" s="592"/>
      <c r="J136" s="592"/>
      <c r="K136" s="592"/>
      <c r="L136" s="592"/>
      <c r="M136" s="592"/>
      <c r="N136" s="592"/>
      <c r="O136" s="592"/>
      <c r="P136" s="592"/>
      <c r="Q136" s="592"/>
      <c r="R136" s="592"/>
      <c r="S136" s="592"/>
      <c r="T136" s="592"/>
      <c r="U136" s="592"/>
      <c r="V136" s="592"/>
      <c r="W136" s="592"/>
      <c r="X136" s="592"/>
      <c r="Y136" s="592"/>
      <c r="Z136" s="592"/>
      <c r="AA136" s="592"/>
      <c r="AB136" s="592"/>
      <c r="AC136" s="592"/>
      <c r="AD136" s="592"/>
      <c r="AE136" s="592"/>
      <c r="AF136" s="592"/>
      <c r="AG136" s="592"/>
      <c r="AH136" s="592"/>
      <c r="AI136" s="589"/>
      <c r="AJ136" s="584"/>
      <c r="AK136" s="583"/>
      <c r="AL136" s="583"/>
      <c r="AM136" s="583"/>
      <c r="AN136" s="583"/>
      <c r="AO136" s="583"/>
      <c r="AP136" s="583"/>
      <c r="AR136" s="583"/>
      <c r="AS136" s="583"/>
      <c r="AT136" s="583"/>
      <c r="AU136" s="583"/>
      <c r="AV136" s="583"/>
      <c r="AW136" s="583"/>
      <c r="AX136" s="583"/>
      <c r="AY136" s="583"/>
      <c r="AZ136" s="583"/>
      <c r="BA136" s="583"/>
      <c r="BB136" s="583"/>
      <c r="BC136" s="583"/>
      <c r="BD136" s="583"/>
      <c r="BE136" s="583"/>
      <c r="BF136" s="583"/>
      <c r="BG136" s="583"/>
      <c r="BH136" s="583"/>
      <c r="BI136" s="583"/>
      <c r="BJ136" s="583"/>
      <c r="BK136" s="583"/>
      <c r="BL136" s="585"/>
    </row>
    <row r="137" spans="3:64" s="590" customFormat="1">
      <c r="C137" s="590" t="s">
        <v>71</v>
      </c>
      <c r="D137" s="591"/>
      <c r="E137" s="592"/>
      <c r="F137" s="592"/>
      <c r="G137" s="592"/>
      <c r="H137" s="592"/>
      <c r="I137" s="592"/>
      <c r="J137" s="592"/>
      <c r="K137" s="592"/>
      <c r="L137" s="592"/>
      <c r="M137" s="592"/>
      <c r="N137" s="592"/>
      <c r="O137" s="592"/>
      <c r="P137" s="592"/>
      <c r="Q137" s="592"/>
      <c r="R137" s="592"/>
      <c r="S137" s="592"/>
      <c r="T137" s="592"/>
      <c r="U137" s="592"/>
      <c r="V137" s="592"/>
      <c r="W137" s="592"/>
      <c r="X137" s="592"/>
      <c r="Y137" s="592"/>
      <c r="Z137" s="592"/>
      <c r="AA137" s="592"/>
      <c r="AB137" s="592"/>
      <c r="AC137" s="592"/>
      <c r="AD137" s="592"/>
      <c r="AE137" s="592"/>
      <c r="AF137" s="592"/>
      <c r="AG137" s="592"/>
      <c r="AH137" s="592"/>
      <c r="AI137" s="589"/>
      <c r="AJ137" s="584"/>
      <c r="AK137" s="583"/>
      <c r="AL137" s="583"/>
      <c r="AM137" s="583"/>
      <c r="AN137" s="583"/>
      <c r="AO137" s="583"/>
      <c r="AP137" s="583"/>
      <c r="AR137" s="583"/>
      <c r="AS137" s="583"/>
      <c r="AT137" s="583"/>
      <c r="AU137" s="583"/>
      <c r="AV137" s="583"/>
      <c r="AW137" s="583"/>
      <c r="AX137" s="583"/>
      <c r="AY137" s="583"/>
      <c r="AZ137" s="583"/>
      <c r="BA137" s="583"/>
      <c r="BB137" s="583"/>
      <c r="BC137" s="583"/>
      <c r="BD137" s="583"/>
      <c r="BE137" s="583"/>
      <c r="BF137" s="583"/>
      <c r="BG137" s="583"/>
      <c r="BH137" s="583"/>
      <c r="BI137" s="583"/>
      <c r="BJ137" s="583"/>
      <c r="BK137" s="583"/>
      <c r="BL137" s="585"/>
    </row>
    <row r="138" spans="3:64" s="590" customFormat="1" ht="6" customHeight="1">
      <c r="C138" s="593"/>
      <c r="D138" s="591"/>
      <c r="E138" s="592"/>
      <c r="F138" s="592"/>
      <c r="G138" s="592"/>
      <c r="H138" s="592"/>
      <c r="I138" s="592"/>
      <c r="J138" s="592"/>
      <c r="K138" s="592"/>
      <c r="L138" s="592"/>
      <c r="M138" s="592"/>
      <c r="N138" s="592"/>
      <c r="O138" s="592"/>
      <c r="P138" s="592"/>
      <c r="Q138" s="592"/>
      <c r="R138" s="592"/>
      <c r="S138" s="592"/>
      <c r="T138" s="592"/>
      <c r="U138" s="592"/>
      <c r="V138" s="592"/>
      <c r="W138" s="592"/>
      <c r="X138" s="592"/>
      <c r="Y138" s="592"/>
      <c r="Z138" s="592"/>
      <c r="AA138" s="592"/>
      <c r="AB138" s="592"/>
      <c r="AC138" s="592"/>
      <c r="AD138" s="592"/>
      <c r="AE138" s="592"/>
      <c r="AF138" s="592"/>
      <c r="AG138" s="592"/>
      <c r="AH138" s="592"/>
      <c r="AI138" s="589"/>
      <c r="AJ138" s="584"/>
      <c r="AK138" s="583"/>
      <c r="AL138" s="583"/>
      <c r="AM138" s="583"/>
      <c r="AN138" s="583"/>
      <c r="AO138" s="583"/>
      <c r="AP138" s="583"/>
      <c r="AR138" s="583"/>
      <c r="AS138" s="583"/>
      <c r="AT138" s="583"/>
      <c r="AU138" s="583"/>
      <c r="AV138" s="583"/>
      <c r="AW138" s="583"/>
      <c r="AX138" s="583"/>
      <c r="AY138" s="583"/>
      <c r="AZ138" s="583"/>
      <c r="BA138" s="583"/>
      <c r="BB138" s="583"/>
      <c r="BC138" s="583"/>
      <c r="BD138" s="583"/>
      <c r="BE138" s="583"/>
      <c r="BF138" s="583"/>
      <c r="BG138" s="583"/>
      <c r="BH138" s="583"/>
      <c r="BI138" s="583"/>
      <c r="BJ138" s="583"/>
      <c r="BK138" s="583"/>
      <c r="BL138" s="585"/>
    </row>
    <row r="139" spans="3:64" s="590" customFormat="1">
      <c r="C139" s="590" t="s">
        <v>82</v>
      </c>
      <c r="D139" s="591"/>
      <c r="E139" s="592"/>
      <c r="F139" s="592"/>
      <c r="G139" s="592"/>
      <c r="H139" s="592"/>
      <c r="I139" s="592"/>
      <c r="J139" s="592"/>
      <c r="K139" s="592"/>
      <c r="L139" s="592"/>
      <c r="M139" s="592"/>
      <c r="N139" s="592"/>
      <c r="O139" s="592"/>
      <c r="P139" s="592"/>
      <c r="Q139" s="592"/>
      <c r="R139" s="592"/>
      <c r="S139" s="592"/>
      <c r="T139" s="592"/>
      <c r="U139" s="592"/>
      <c r="V139" s="592"/>
      <c r="W139" s="592"/>
      <c r="X139" s="592"/>
      <c r="Y139" s="592"/>
      <c r="Z139" s="592"/>
      <c r="AA139" s="592"/>
      <c r="AB139" s="592"/>
      <c r="AC139" s="592"/>
      <c r="AD139" s="592"/>
      <c r="AE139" s="592"/>
      <c r="AF139" s="592"/>
      <c r="AG139" s="592"/>
      <c r="AH139" s="592"/>
      <c r="AI139" s="589"/>
      <c r="AJ139" s="584"/>
      <c r="AK139" s="583"/>
      <c r="AL139" s="583"/>
      <c r="AM139" s="583"/>
      <c r="AN139" s="583"/>
      <c r="AO139" s="583"/>
      <c r="AP139" s="583"/>
      <c r="AR139" s="583"/>
      <c r="AS139" s="583"/>
      <c r="AT139" s="583"/>
      <c r="AU139" s="583"/>
      <c r="AV139" s="583"/>
      <c r="AW139" s="583"/>
      <c r="AX139" s="583"/>
      <c r="AY139" s="583"/>
      <c r="AZ139" s="583"/>
      <c r="BA139" s="583"/>
      <c r="BB139" s="583"/>
      <c r="BC139" s="583"/>
      <c r="BD139" s="583"/>
      <c r="BE139" s="583"/>
      <c r="BF139" s="583"/>
      <c r="BG139" s="583"/>
      <c r="BH139" s="583"/>
      <c r="BI139" s="583"/>
      <c r="BJ139" s="583"/>
      <c r="BK139" s="583"/>
      <c r="BL139" s="585"/>
    </row>
    <row r="140" spans="3:64" s="590" customFormat="1">
      <c r="C140" s="590" t="s">
        <v>83</v>
      </c>
      <c r="D140" s="591"/>
      <c r="E140" s="592"/>
      <c r="F140" s="592"/>
      <c r="G140" s="592"/>
      <c r="H140" s="592"/>
      <c r="I140" s="592"/>
      <c r="J140" s="592"/>
      <c r="K140" s="592"/>
      <c r="L140" s="592"/>
      <c r="M140" s="592"/>
      <c r="N140" s="592"/>
      <c r="O140" s="592"/>
      <c r="P140" s="592"/>
      <c r="Q140" s="592"/>
      <c r="R140" s="592"/>
      <c r="S140" s="592"/>
      <c r="T140" s="592"/>
      <c r="U140" s="592"/>
      <c r="V140" s="592"/>
      <c r="W140" s="592"/>
      <c r="X140" s="592"/>
      <c r="Y140" s="592"/>
      <c r="Z140" s="592"/>
      <c r="AA140" s="592"/>
      <c r="AB140" s="592"/>
      <c r="AC140" s="592"/>
      <c r="AD140" s="592"/>
      <c r="AE140" s="592"/>
      <c r="AF140" s="592"/>
      <c r="AG140" s="592"/>
      <c r="AH140" s="592"/>
      <c r="AI140" s="589"/>
      <c r="AJ140" s="584"/>
      <c r="AK140" s="583"/>
      <c r="AL140" s="583"/>
      <c r="AM140" s="583"/>
      <c r="AN140" s="583"/>
      <c r="AO140" s="583"/>
      <c r="AP140" s="583"/>
      <c r="AR140" s="583"/>
      <c r="AS140" s="583"/>
      <c r="AT140" s="583"/>
      <c r="AU140" s="583"/>
      <c r="AV140" s="583"/>
      <c r="AW140" s="583"/>
      <c r="AX140" s="583"/>
      <c r="AY140" s="583"/>
      <c r="AZ140" s="583"/>
      <c r="BA140" s="583"/>
      <c r="BB140" s="583"/>
      <c r="BC140" s="583"/>
      <c r="BD140" s="583"/>
      <c r="BE140" s="583"/>
      <c r="BF140" s="583"/>
      <c r="BG140" s="583"/>
      <c r="BH140" s="583"/>
      <c r="BI140" s="583"/>
      <c r="BJ140" s="583"/>
      <c r="BK140" s="583"/>
      <c r="BL140" s="585"/>
    </row>
    <row r="141" spans="3:64" s="573" customFormat="1" ht="6" customHeight="1">
      <c r="C141" s="579"/>
      <c r="D141" s="577"/>
      <c r="E141" s="578"/>
      <c r="F141" s="578"/>
      <c r="G141" s="578"/>
      <c r="H141" s="578"/>
      <c r="I141" s="578"/>
      <c r="J141" s="578"/>
      <c r="K141" s="578"/>
      <c r="L141" s="578"/>
      <c r="M141" s="578"/>
      <c r="N141" s="578"/>
      <c r="O141" s="578"/>
      <c r="P141" s="578"/>
      <c r="Q141" s="578"/>
      <c r="R141" s="578"/>
      <c r="S141" s="578"/>
      <c r="T141" s="578"/>
      <c r="U141" s="578"/>
      <c r="V141" s="578"/>
      <c r="W141" s="578"/>
      <c r="X141" s="578"/>
      <c r="Y141" s="578"/>
      <c r="Z141" s="578"/>
      <c r="AA141" s="578"/>
      <c r="AB141" s="578"/>
      <c r="AC141" s="578"/>
      <c r="AD141" s="578"/>
      <c r="AE141" s="578"/>
      <c r="AF141" s="578"/>
      <c r="AG141" s="578"/>
      <c r="AH141" s="578"/>
      <c r="AI141" s="576"/>
      <c r="AJ141" s="574"/>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75"/>
    </row>
    <row r="142" spans="3:64" s="590" customFormat="1">
      <c r="C142" s="590" t="s">
        <v>507</v>
      </c>
      <c r="D142" s="591"/>
      <c r="E142" s="592"/>
      <c r="F142" s="592"/>
      <c r="G142" s="592"/>
      <c r="H142" s="592"/>
      <c r="I142" s="592"/>
      <c r="J142" s="592"/>
      <c r="K142" s="592"/>
      <c r="L142" s="592"/>
      <c r="M142" s="592"/>
      <c r="N142" s="592"/>
      <c r="O142" s="592"/>
      <c r="P142" s="592"/>
      <c r="Q142" s="592"/>
      <c r="R142" s="592"/>
      <c r="S142" s="592"/>
      <c r="T142" s="592"/>
      <c r="U142" s="592"/>
      <c r="V142" s="592"/>
      <c r="W142" s="592"/>
      <c r="X142" s="592"/>
      <c r="Y142" s="592"/>
      <c r="Z142" s="592"/>
      <c r="AA142" s="592"/>
      <c r="AB142" s="592"/>
      <c r="AC142" s="592"/>
      <c r="AD142" s="592"/>
      <c r="AE142" s="592"/>
      <c r="AF142" s="592"/>
      <c r="AG142" s="592"/>
      <c r="AH142" s="592"/>
      <c r="AI142" s="589"/>
      <c r="AJ142" s="584"/>
      <c r="AK142" s="583"/>
      <c r="AL142" s="583"/>
      <c r="AM142" s="583"/>
      <c r="AN142" s="583"/>
      <c r="AO142" s="583"/>
      <c r="AP142" s="583"/>
      <c r="AR142" s="583"/>
      <c r="AS142" s="583"/>
      <c r="AT142" s="583"/>
      <c r="AU142" s="583"/>
      <c r="AV142" s="583"/>
      <c r="AW142" s="583"/>
      <c r="AX142" s="583"/>
      <c r="AY142" s="583"/>
      <c r="AZ142" s="583"/>
      <c r="BA142" s="583"/>
      <c r="BB142" s="583"/>
      <c r="BC142" s="583"/>
      <c r="BD142" s="583"/>
      <c r="BE142" s="583"/>
      <c r="BF142" s="583"/>
      <c r="BG142" s="583"/>
      <c r="BH142" s="583"/>
      <c r="BI142" s="583"/>
      <c r="BJ142" s="583"/>
      <c r="BK142" s="583"/>
      <c r="BL142" s="585"/>
    </row>
    <row r="143" spans="3:64" s="573" customFormat="1">
      <c r="C143" s="590" t="s">
        <v>508</v>
      </c>
      <c r="D143" s="577"/>
      <c r="E143" s="578"/>
      <c r="F143" s="578"/>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6"/>
      <c r="AJ143" s="574"/>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75"/>
    </row>
    <row r="144" spans="3:64" s="573" customFormat="1" ht="6" customHeight="1">
      <c r="C144" s="579"/>
      <c r="D144" s="577"/>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6"/>
      <c r="AJ144" s="574"/>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75"/>
    </row>
    <row r="145" spans="3:64" s="590" customFormat="1" ht="6" customHeight="1">
      <c r="C145" s="593"/>
      <c r="D145" s="591"/>
      <c r="E145" s="592"/>
      <c r="F145" s="592"/>
      <c r="G145" s="592"/>
      <c r="H145" s="592"/>
      <c r="I145" s="592"/>
      <c r="J145" s="592"/>
      <c r="K145" s="592"/>
      <c r="L145" s="592"/>
      <c r="M145" s="592"/>
      <c r="N145" s="592"/>
      <c r="O145" s="592"/>
      <c r="P145" s="592"/>
      <c r="Q145" s="592"/>
      <c r="R145" s="592"/>
      <c r="S145" s="592"/>
      <c r="T145" s="592"/>
      <c r="U145" s="592"/>
      <c r="V145" s="592"/>
      <c r="W145" s="592"/>
      <c r="X145" s="592"/>
      <c r="Y145" s="592"/>
      <c r="Z145" s="592"/>
      <c r="AA145" s="592"/>
      <c r="AB145" s="592"/>
      <c r="AC145" s="592"/>
      <c r="AD145" s="592"/>
      <c r="AE145" s="592"/>
      <c r="AF145" s="592"/>
      <c r="AG145" s="592"/>
      <c r="AH145" s="592"/>
      <c r="AI145" s="589"/>
      <c r="AJ145" s="584"/>
      <c r="AK145" s="583"/>
      <c r="AL145" s="583"/>
      <c r="AM145" s="583"/>
      <c r="AN145" s="583"/>
      <c r="AO145" s="583"/>
      <c r="AP145" s="583"/>
      <c r="AR145" s="583"/>
      <c r="AS145" s="583"/>
      <c r="AT145" s="583"/>
      <c r="AU145" s="583"/>
      <c r="AV145" s="583"/>
      <c r="AW145" s="583"/>
      <c r="AX145" s="583"/>
      <c r="AY145" s="583"/>
      <c r="AZ145" s="583"/>
      <c r="BA145" s="583"/>
      <c r="BB145" s="583"/>
      <c r="BC145" s="583"/>
      <c r="BD145" s="583"/>
      <c r="BE145" s="583"/>
      <c r="BF145" s="583"/>
      <c r="BG145" s="583"/>
      <c r="BH145" s="583"/>
      <c r="BI145" s="583"/>
      <c r="BJ145" s="583"/>
      <c r="BK145" s="583"/>
      <c r="BL145" s="585"/>
    </row>
    <row r="146" spans="3:64" s="590" customFormat="1">
      <c r="C146" s="590" t="s">
        <v>88</v>
      </c>
      <c r="D146" s="591"/>
      <c r="E146" s="592"/>
      <c r="F146" s="592"/>
      <c r="G146" s="592"/>
      <c r="H146" s="592"/>
      <c r="I146" s="592"/>
      <c r="J146" s="592"/>
      <c r="K146" s="592"/>
      <c r="L146" s="592"/>
      <c r="M146" s="592"/>
      <c r="N146" s="592"/>
      <c r="O146" s="592"/>
      <c r="P146" s="592"/>
      <c r="Q146" s="592"/>
      <c r="R146" s="592"/>
      <c r="S146" s="592"/>
      <c r="T146" s="592"/>
      <c r="U146" s="592"/>
      <c r="V146" s="592"/>
      <c r="W146" s="592"/>
      <c r="X146" s="592"/>
      <c r="Y146" s="592"/>
      <c r="Z146" s="592"/>
      <c r="AA146" s="592"/>
      <c r="AB146" s="592"/>
      <c r="AC146" s="592"/>
      <c r="AD146" s="592"/>
      <c r="AE146" s="592"/>
      <c r="AF146" s="592"/>
      <c r="AG146" s="592"/>
      <c r="AH146" s="592"/>
      <c r="AI146" s="589"/>
      <c r="AJ146" s="584"/>
      <c r="AK146" s="583"/>
      <c r="AL146" s="583"/>
      <c r="AM146" s="583"/>
      <c r="AN146" s="583"/>
      <c r="AO146" s="583"/>
      <c r="AP146" s="583"/>
      <c r="AR146" s="583"/>
      <c r="AS146" s="583"/>
      <c r="AT146" s="583"/>
      <c r="AU146" s="583"/>
      <c r="AV146" s="583"/>
      <c r="AW146" s="583"/>
      <c r="AX146" s="583"/>
      <c r="AY146" s="583"/>
      <c r="AZ146" s="583"/>
      <c r="BA146" s="583"/>
      <c r="BB146" s="583"/>
      <c r="BC146" s="583"/>
      <c r="BD146" s="583"/>
      <c r="BE146" s="583"/>
      <c r="BF146" s="583"/>
      <c r="BG146" s="583"/>
      <c r="BH146" s="583"/>
      <c r="BI146" s="583"/>
      <c r="BJ146" s="583"/>
      <c r="BK146" s="583"/>
      <c r="BL146" s="585"/>
    </row>
    <row r="147" spans="3:64" s="590" customFormat="1">
      <c r="C147" s="590" t="s">
        <v>92</v>
      </c>
      <c r="D147" s="591"/>
      <c r="E147" s="592"/>
      <c r="F147" s="592"/>
      <c r="G147" s="592"/>
      <c r="H147" s="592"/>
      <c r="I147" s="592"/>
      <c r="J147" s="592"/>
      <c r="K147" s="592"/>
      <c r="L147" s="592"/>
      <c r="M147" s="592"/>
      <c r="N147" s="592"/>
      <c r="O147" s="592"/>
      <c r="P147" s="592"/>
      <c r="Q147" s="592"/>
      <c r="R147" s="592"/>
      <c r="S147" s="592"/>
      <c r="T147" s="592"/>
      <c r="U147" s="592"/>
      <c r="V147" s="592"/>
      <c r="W147" s="592"/>
      <c r="X147" s="592"/>
      <c r="Y147" s="592"/>
      <c r="Z147" s="592"/>
      <c r="AA147" s="592"/>
      <c r="AB147" s="592"/>
      <c r="AC147" s="592"/>
      <c r="AD147" s="592"/>
      <c r="AE147" s="592"/>
      <c r="AF147" s="592"/>
      <c r="AG147" s="592"/>
      <c r="AH147" s="592"/>
      <c r="AI147" s="589"/>
      <c r="AJ147" s="584"/>
      <c r="AK147" s="583"/>
      <c r="AL147" s="583"/>
      <c r="AM147" s="583"/>
      <c r="AN147" s="583"/>
      <c r="AO147" s="583"/>
      <c r="AP147" s="583"/>
      <c r="AR147" s="583"/>
      <c r="AS147" s="583"/>
      <c r="AT147" s="583"/>
      <c r="AU147" s="583"/>
      <c r="AV147" s="583"/>
      <c r="AW147" s="583"/>
      <c r="AX147" s="583"/>
      <c r="AY147" s="583"/>
      <c r="AZ147" s="583"/>
      <c r="BA147" s="583"/>
      <c r="BB147" s="583"/>
      <c r="BC147" s="583"/>
      <c r="BD147" s="583"/>
      <c r="BE147" s="583"/>
      <c r="BF147" s="583"/>
      <c r="BG147" s="583"/>
      <c r="BH147" s="583"/>
      <c r="BI147" s="583"/>
      <c r="BJ147" s="583"/>
      <c r="BK147" s="583"/>
      <c r="BL147" s="585"/>
    </row>
    <row r="148" spans="3:64" s="590" customFormat="1" ht="6" customHeight="1">
      <c r="C148" s="593"/>
      <c r="D148" s="591"/>
      <c r="E148" s="592"/>
      <c r="F148" s="592"/>
      <c r="G148" s="592"/>
      <c r="H148" s="592"/>
      <c r="I148" s="592"/>
      <c r="J148" s="592"/>
      <c r="K148" s="592"/>
      <c r="L148" s="592"/>
      <c r="M148" s="592"/>
      <c r="N148" s="592"/>
      <c r="O148" s="592"/>
      <c r="P148" s="592"/>
      <c r="Q148" s="592"/>
      <c r="R148" s="592"/>
      <c r="S148" s="592"/>
      <c r="T148" s="592"/>
      <c r="U148" s="592"/>
      <c r="V148" s="592"/>
      <c r="W148" s="592"/>
      <c r="X148" s="592"/>
      <c r="Y148" s="592"/>
      <c r="Z148" s="592"/>
      <c r="AA148" s="592"/>
      <c r="AB148" s="592"/>
      <c r="AC148" s="592"/>
      <c r="AD148" s="592"/>
      <c r="AE148" s="592"/>
      <c r="AF148" s="592"/>
      <c r="AG148" s="592"/>
      <c r="AH148" s="592"/>
      <c r="AI148" s="589"/>
      <c r="AJ148" s="584"/>
      <c r="AK148" s="583"/>
      <c r="AL148" s="583"/>
      <c r="AM148" s="583"/>
      <c r="AN148" s="583"/>
      <c r="AO148" s="583"/>
      <c r="AP148" s="583"/>
      <c r="AR148" s="583"/>
      <c r="AS148" s="583"/>
      <c r="AT148" s="583"/>
      <c r="AU148" s="583"/>
      <c r="AV148" s="583"/>
      <c r="AW148" s="583"/>
      <c r="AX148" s="583"/>
      <c r="AY148" s="583"/>
      <c r="AZ148" s="583"/>
      <c r="BA148" s="583"/>
      <c r="BB148" s="583"/>
      <c r="BC148" s="583"/>
      <c r="BD148" s="583"/>
      <c r="BE148" s="583"/>
      <c r="BF148" s="583"/>
      <c r="BG148" s="583"/>
      <c r="BH148" s="583"/>
      <c r="BI148" s="583"/>
      <c r="BJ148" s="583"/>
      <c r="BK148" s="583"/>
      <c r="BL148" s="585"/>
    </row>
    <row r="149" spans="3:64" s="590" customFormat="1">
      <c r="C149" s="593" t="s">
        <v>84</v>
      </c>
      <c r="D149" s="591"/>
      <c r="E149" s="592"/>
      <c r="F149" s="592"/>
      <c r="G149" s="592"/>
      <c r="H149" s="592"/>
      <c r="I149" s="592"/>
      <c r="J149" s="592"/>
      <c r="K149" s="592"/>
      <c r="L149" s="592"/>
      <c r="M149" s="592"/>
      <c r="N149" s="592"/>
      <c r="O149" s="592"/>
      <c r="P149" s="592"/>
      <c r="Q149" s="592"/>
      <c r="R149" s="592"/>
      <c r="S149" s="592"/>
      <c r="T149" s="592"/>
      <c r="U149" s="592"/>
      <c r="V149" s="592"/>
      <c r="W149" s="592"/>
      <c r="X149" s="592"/>
      <c r="Y149" s="592"/>
      <c r="Z149" s="592"/>
      <c r="AA149" s="592"/>
      <c r="AB149" s="592"/>
      <c r="AC149" s="592"/>
      <c r="AD149" s="592"/>
      <c r="AE149" s="592"/>
      <c r="AF149" s="592"/>
      <c r="AG149" s="592"/>
      <c r="AH149" s="592"/>
      <c r="AI149" s="589"/>
      <c r="AJ149" s="584"/>
      <c r="AK149" s="583"/>
      <c r="AL149" s="583"/>
      <c r="AM149" s="583"/>
      <c r="AN149" s="583"/>
      <c r="AO149" s="583"/>
      <c r="AP149" s="583"/>
      <c r="AR149" s="583"/>
      <c r="AS149" s="583"/>
      <c r="AT149" s="583"/>
      <c r="AU149" s="583"/>
      <c r="AV149" s="583"/>
      <c r="AW149" s="583"/>
      <c r="AX149" s="583"/>
      <c r="AY149" s="583"/>
      <c r="AZ149" s="583"/>
      <c r="BA149" s="583"/>
      <c r="BB149" s="583"/>
      <c r="BC149" s="583"/>
      <c r="BD149" s="583"/>
      <c r="BE149" s="583"/>
      <c r="BF149" s="583"/>
      <c r="BG149" s="583"/>
      <c r="BH149" s="583"/>
      <c r="BI149" s="583"/>
      <c r="BJ149" s="583"/>
      <c r="BK149" s="583"/>
      <c r="BL149" s="585"/>
    </row>
    <row r="150" spans="3:64" s="590" customFormat="1">
      <c r="C150" s="590" t="s">
        <v>85</v>
      </c>
      <c r="D150" s="591"/>
      <c r="E150" s="592"/>
      <c r="F150" s="592"/>
      <c r="G150" s="592"/>
      <c r="H150" s="592"/>
      <c r="I150" s="592"/>
      <c r="J150" s="592"/>
      <c r="K150" s="592"/>
      <c r="L150" s="592"/>
      <c r="M150" s="592"/>
      <c r="N150" s="592"/>
      <c r="O150" s="592"/>
      <c r="P150" s="592"/>
      <c r="Q150" s="592"/>
      <c r="R150" s="592"/>
      <c r="S150" s="592"/>
      <c r="T150" s="592"/>
      <c r="U150" s="592"/>
      <c r="V150" s="592"/>
      <c r="W150" s="592"/>
      <c r="X150" s="592"/>
      <c r="Y150" s="592"/>
      <c r="Z150" s="592"/>
      <c r="AA150" s="592"/>
      <c r="AB150" s="592"/>
      <c r="AC150" s="592"/>
      <c r="AD150" s="592"/>
      <c r="AE150" s="592"/>
      <c r="AF150" s="592"/>
      <c r="AG150" s="592"/>
      <c r="AH150" s="592"/>
      <c r="AI150" s="589"/>
      <c r="AJ150" s="584"/>
      <c r="AK150" s="583"/>
      <c r="AL150" s="583"/>
      <c r="AM150" s="583"/>
      <c r="AN150" s="583"/>
      <c r="AO150" s="583"/>
      <c r="AP150" s="583"/>
      <c r="AR150" s="583"/>
      <c r="AS150" s="583"/>
      <c r="AT150" s="583"/>
      <c r="AU150" s="583"/>
      <c r="AV150" s="583"/>
      <c r="AW150" s="583"/>
      <c r="AX150" s="583"/>
      <c r="AY150" s="583"/>
      <c r="AZ150" s="583"/>
      <c r="BA150" s="583"/>
      <c r="BB150" s="583"/>
      <c r="BC150" s="583"/>
      <c r="BD150" s="583"/>
      <c r="BE150" s="583"/>
      <c r="BF150" s="583"/>
      <c r="BG150" s="583"/>
      <c r="BH150" s="583"/>
      <c r="BI150" s="583"/>
      <c r="BJ150" s="583"/>
      <c r="BK150" s="583"/>
      <c r="BL150" s="585"/>
    </row>
    <row r="151" spans="3:64" s="590" customFormat="1" ht="6" customHeight="1">
      <c r="C151" s="593"/>
      <c r="D151" s="591"/>
      <c r="E151" s="592"/>
      <c r="F151" s="592"/>
      <c r="G151" s="592"/>
      <c r="H151" s="592"/>
      <c r="I151" s="592"/>
      <c r="J151" s="592"/>
      <c r="K151" s="592"/>
      <c r="L151" s="592"/>
      <c r="M151" s="592"/>
      <c r="N151" s="592"/>
      <c r="O151" s="592"/>
      <c r="P151" s="592"/>
      <c r="Q151" s="592"/>
      <c r="R151" s="592"/>
      <c r="S151" s="592"/>
      <c r="T151" s="592"/>
      <c r="U151" s="592"/>
      <c r="V151" s="592"/>
      <c r="W151" s="592"/>
      <c r="X151" s="592"/>
      <c r="Y151" s="592"/>
      <c r="Z151" s="592"/>
      <c r="AA151" s="592"/>
      <c r="AB151" s="592"/>
      <c r="AC151" s="592"/>
      <c r="AD151" s="592"/>
      <c r="AE151" s="592"/>
      <c r="AF151" s="592"/>
      <c r="AG151" s="592"/>
      <c r="AH151" s="592"/>
      <c r="AI151" s="589"/>
      <c r="AJ151" s="584"/>
      <c r="AK151" s="583"/>
      <c r="AL151" s="583"/>
      <c r="AM151" s="583"/>
      <c r="AN151" s="583"/>
      <c r="AO151" s="583"/>
      <c r="AP151" s="583"/>
      <c r="AR151" s="583"/>
      <c r="AS151" s="583"/>
      <c r="AT151" s="583"/>
      <c r="AU151" s="583"/>
      <c r="AV151" s="583"/>
      <c r="AW151" s="583"/>
      <c r="AX151" s="583"/>
      <c r="AY151" s="583"/>
      <c r="AZ151" s="583"/>
      <c r="BA151" s="583"/>
      <c r="BB151" s="583"/>
      <c r="BC151" s="583"/>
      <c r="BD151" s="583"/>
      <c r="BE151" s="583"/>
      <c r="BF151" s="583"/>
      <c r="BG151" s="583"/>
      <c r="BH151" s="583"/>
      <c r="BI151" s="583"/>
      <c r="BJ151" s="583"/>
      <c r="BK151" s="583"/>
      <c r="BL151" s="585"/>
    </row>
    <row r="152" spans="3:64" s="590" customFormat="1">
      <c r="C152" s="593" t="s">
        <v>89</v>
      </c>
      <c r="D152" s="591"/>
      <c r="E152" s="592"/>
      <c r="F152" s="592"/>
      <c r="G152" s="592"/>
      <c r="H152" s="592"/>
      <c r="I152" s="592"/>
      <c r="J152" s="592"/>
      <c r="K152" s="592"/>
      <c r="L152" s="592"/>
      <c r="M152" s="592"/>
      <c r="N152" s="592"/>
      <c r="O152" s="592"/>
      <c r="P152" s="592"/>
      <c r="Q152" s="592"/>
      <c r="R152" s="592"/>
      <c r="S152" s="592"/>
      <c r="T152" s="592"/>
      <c r="U152" s="592"/>
      <c r="V152" s="592"/>
      <c r="W152" s="592"/>
      <c r="X152" s="592"/>
      <c r="Y152" s="592"/>
      <c r="Z152" s="592"/>
      <c r="AA152" s="592"/>
      <c r="AB152" s="592"/>
      <c r="AC152" s="592"/>
      <c r="AD152" s="592"/>
      <c r="AE152" s="592"/>
      <c r="AF152" s="592"/>
      <c r="AG152" s="592"/>
      <c r="AH152" s="592"/>
      <c r="AI152" s="589"/>
      <c r="AJ152" s="584"/>
      <c r="AK152" s="583"/>
      <c r="AL152" s="583"/>
      <c r="AM152" s="583"/>
      <c r="AN152" s="583"/>
      <c r="AO152" s="583"/>
      <c r="AP152" s="583"/>
      <c r="AR152" s="583"/>
      <c r="AS152" s="583"/>
      <c r="AT152" s="583"/>
      <c r="AU152" s="583"/>
      <c r="AV152" s="583"/>
      <c r="AW152" s="583"/>
      <c r="AX152" s="583"/>
      <c r="AY152" s="583"/>
      <c r="AZ152" s="583"/>
      <c r="BA152" s="583"/>
      <c r="BB152" s="583"/>
      <c r="BC152" s="583"/>
      <c r="BD152" s="583"/>
      <c r="BE152" s="583"/>
      <c r="BF152" s="583"/>
      <c r="BG152" s="583"/>
      <c r="BH152" s="583"/>
      <c r="BI152" s="583"/>
      <c r="BJ152" s="583"/>
      <c r="BK152" s="583"/>
      <c r="BL152" s="585"/>
    </row>
    <row r="153" spans="3:64" s="590" customFormat="1">
      <c r="C153" s="590" t="s">
        <v>90</v>
      </c>
      <c r="D153" s="591"/>
      <c r="E153" s="592"/>
      <c r="F153" s="592"/>
      <c r="G153" s="592"/>
      <c r="H153" s="592"/>
      <c r="I153" s="592"/>
      <c r="J153" s="592"/>
      <c r="K153" s="592"/>
      <c r="L153" s="592"/>
      <c r="M153" s="592"/>
      <c r="N153" s="592"/>
      <c r="O153" s="592"/>
      <c r="P153" s="592"/>
      <c r="Q153" s="592"/>
      <c r="R153" s="592"/>
      <c r="S153" s="592"/>
      <c r="T153" s="592"/>
      <c r="U153" s="592"/>
      <c r="V153" s="592"/>
      <c r="W153" s="592"/>
      <c r="X153" s="592"/>
      <c r="Y153" s="592"/>
      <c r="Z153" s="592"/>
      <c r="AA153" s="592"/>
      <c r="AB153" s="592"/>
      <c r="AC153" s="592"/>
      <c r="AD153" s="592"/>
      <c r="AE153" s="592"/>
      <c r="AF153" s="592"/>
      <c r="AG153" s="592"/>
      <c r="AH153" s="592"/>
      <c r="AI153" s="589"/>
      <c r="AJ153" s="584"/>
      <c r="AK153" s="583"/>
      <c r="AL153" s="583"/>
      <c r="AM153" s="583"/>
      <c r="AN153" s="583"/>
      <c r="AO153" s="583"/>
      <c r="AP153" s="583"/>
      <c r="AR153" s="583"/>
      <c r="AS153" s="583"/>
      <c r="AT153" s="583"/>
      <c r="AU153" s="583"/>
      <c r="AV153" s="583"/>
      <c r="AW153" s="583"/>
      <c r="AX153" s="583"/>
      <c r="AY153" s="583"/>
      <c r="AZ153" s="583"/>
      <c r="BA153" s="583"/>
      <c r="BB153" s="583"/>
      <c r="BC153" s="583"/>
      <c r="BD153" s="583"/>
      <c r="BE153" s="583"/>
      <c r="BF153" s="583"/>
      <c r="BG153" s="583"/>
      <c r="BH153" s="583"/>
      <c r="BI153" s="583"/>
      <c r="BJ153" s="583"/>
      <c r="BK153" s="583"/>
      <c r="BL153" s="585"/>
    </row>
    <row r="154" spans="3:64" s="590" customFormat="1" ht="6" customHeight="1">
      <c r="C154" s="593"/>
      <c r="D154" s="591"/>
      <c r="E154" s="592"/>
      <c r="F154" s="592"/>
      <c r="G154" s="592"/>
      <c r="H154" s="592"/>
      <c r="I154" s="592"/>
      <c r="J154" s="592"/>
      <c r="K154" s="592"/>
      <c r="L154" s="592"/>
      <c r="M154" s="592"/>
      <c r="N154" s="592"/>
      <c r="O154" s="592"/>
      <c r="P154" s="592"/>
      <c r="Q154" s="592"/>
      <c r="R154" s="592"/>
      <c r="S154" s="592"/>
      <c r="T154" s="592"/>
      <c r="U154" s="592"/>
      <c r="V154" s="592"/>
      <c r="W154" s="592"/>
      <c r="X154" s="592"/>
      <c r="Y154" s="592"/>
      <c r="Z154" s="592"/>
      <c r="AA154" s="592"/>
      <c r="AB154" s="592"/>
      <c r="AC154" s="592"/>
      <c r="AD154" s="592"/>
      <c r="AE154" s="592"/>
      <c r="AF154" s="592"/>
      <c r="AG154" s="592"/>
      <c r="AH154" s="592"/>
      <c r="AI154" s="589"/>
      <c r="AJ154" s="584"/>
      <c r="AK154" s="583"/>
      <c r="AL154" s="583"/>
      <c r="AM154" s="583"/>
      <c r="AN154" s="583"/>
      <c r="AO154" s="583"/>
      <c r="AP154" s="583"/>
      <c r="AR154" s="583"/>
      <c r="AS154" s="583"/>
      <c r="AT154" s="583"/>
      <c r="AU154" s="583"/>
      <c r="AV154" s="583"/>
      <c r="AW154" s="583"/>
      <c r="AX154" s="583"/>
      <c r="AY154" s="583"/>
      <c r="AZ154" s="583"/>
      <c r="BA154" s="583"/>
      <c r="BB154" s="583"/>
      <c r="BC154" s="583"/>
      <c r="BD154" s="583"/>
      <c r="BE154" s="583"/>
      <c r="BF154" s="583"/>
      <c r="BG154" s="583"/>
      <c r="BH154" s="583"/>
      <c r="BI154" s="583"/>
      <c r="BJ154" s="583"/>
      <c r="BK154" s="583"/>
      <c r="BL154" s="585"/>
    </row>
    <row r="155" spans="3:64" s="587" customFormat="1">
      <c r="C155" s="602" t="s">
        <v>81</v>
      </c>
      <c r="D155" s="591"/>
      <c r="E155" s="588"/>
      <c r="F155" s="592"/>
      <c r="G155" s="592"/>
      <c r="H155" s="592"/>
      <c r="I155" s="592"/>
      <c r="J155" s="592"/>
      <c r="K155" s="592"/>
      <c r="L155" s="592"/>
      <c r="M155" s="592"/>
      <c r="N155" s="592"/>
      <c r="O155" s="592"/>
      <c r="P155" s="592"/>
      <c r="Q155" s="592"/>
      <c r="R155" s="592"/>
      <c r="S155" s="592"/>
      <c r="T155" s="592"/>
      <c r="U155" s="592"/>
      <c r="V155" s="592"/>
      <c r="W155" s="592"/>
      <c r="X155" s="592"/>
      <c r="Y155" s="592"/>
      <c r="Z155" s="592"/>
      <c r="AA155" s="592"/>
      <c r="AB155" s="592"/>
      <c r="AC155" s="592"/>
      <c r="AD155" s="592"/>
      <c r="AE155" s="592"/>
      <c r="AF155" s="592"/>
      <c r="AG155" s="592"/>
      <c r="AH155" s="592"/>
      <c r="AI155" s="589"/>
      <c r="AJ155" s="584"/>
      <c r="AK155" s="583"/>
      <c r="AL155" s="583"/>
      <c r="AM155" s="583"/>
      <c r="AN155" s="583"/>
      <c r="AO155" s="583"/>
      <c r="AP155" s="583"/>
      <c r="AR155" s="583"/>
      <c r="AS155" s="583"/>
      <c r="AT155" s="583"/>
      <c r="AU155" s="583"/>
      <c r="AV155" s="583"/>
      <c r="AW155" s="583"/>
      <c r="AX155" s="583"/>
      <c r="AY155" s="583"/>
      <c r="AZ155" s="583"/>
      <c r="BA155" s="583"/>
      <c r="BB155" s="583"/>
      <c r="BC155" s="583"/>
      <c r="BD155" s="583"/>
      <c r="BE155" s="583"/>
      <c r="BF155" s="583"/>
      <c r="BG155" s="583"/>
      <c r="BH155" s="583"/>
      <c r="BI155" s="583"/>
      <c r="BJ155" s="583"/>
      <c r="BK155" s="583"/>
      <c r="BL155" s="585"/>
    </row>
    <row r="156" spans="3:64" s="590" customFormat="1">
      <c r="C156" s="602" t="s">
        <v>61</v>
      </c>
      <c r="E156" s="603"/>
      <c r="F156" s="589"/>
      <c r="G156" s="604"/>
      <c r="H156" s="604"/>
      <c r="I156" s="604"/>
      <c r="J156" s="604"/>
      <c r="K156" s="604"/>
      <c r="L156" s="604"/>
      <c r="M156" s="604"/>
      <c r="N156" s="604"/>
      <c r="O156" s="604"/>
      <c r="P156" s="604"/>
      <c r="Q156" s="604"/>
      <c r="R156" s="604"/>
      <c r="S156" s="604"/>
      <c r="T156" s="604"/>
      <c r="U156" s="589"/>
      <c r="V156" s="604"/>
      <c r="W156" s="604"/>
      <c r="X156" s="604"/>
      <c r="Y156" s="604"/>
      <c r="Z156" s="604"/>
      <c r="AA156" s="604"/>
      <c r="AB156" s="604"/>
      <c r="AC156" s="604"/>
      <c r="AD156" s="604"/>
      <c r="AE156" s="604"/>
      <c r="AF156" s="604"/>
      <c r="AG156" s="604"/>
      <c r="AH156" s="604"/>
      <c r="AI156" s="589"/>
      <c r="AJ156" s="584"/>
      <c r="AK156" s="583"/>
      <c r="AL156" s="583"/>
      <c r="AM156" s="583"/>
      <c r="AN156" s="583"/>
      <c r="AO156" s="583"/>
      <c r="AP156" s="583"/>
      <c r="AR156" s="583"/>
      <c r="AS156" s="583"/>
      <c r="AT156" s="583"/>
      <c r="AU156" s="583"/>
      <c r="AV156" s="583"/>
      <c r="AW156" s="583"/>
      <c r="AX156" s="583"/>
      <c r="AY156" s="583"/>
      <c r="AZ156" s="583"/>
      <c r="BA156" s="583"/>
      <c r="BB156" s="583"/>
      <c r="BC156" s="583"/>
      <c r="BD156" s="583"/>
      <c r="BE156" s="583"/>
      <c r="BF156" s="583"/>
      <c r="BG156" s="583"/>
      <c r="BH156" s="583"/>
      <c r="BI156" s="583"/>
      <c r="BJ156" s="583"/>
      <c r="BK156" s="583"/>
      <c r="BL156" s="585"/>
    </row>
    <row r="157" spans="3:64" s="573" customFormat="1">
      <c r="C157" s="580"/>
      <c r="E157" s="581"/>
      <c r="F157" s="576"/>
      <c r="U157" s="576"/>
      <c r="AI157" s="576"/>
      <c r="AJ157" s="574"/>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75"/>
    </row>
    <row r="158" spans="3:64" s="573" customFormat="1">
      <c r="C158" s="602" t="s">
        <v>504</v>
      </c>
      <c r="E158" s="581"/>
      <c r="F158" s="576"/>
      <c r="U158" s="576"/>
      <c r="AI158" s="576"/>
      <c r="AJ158" s="574"/>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75"/>
    </row>
    <row r="159" spans="3:64" s="573" customFormat="1">
      <c r="C159" s="602" t="s">
        <v>505</v>
      </c>
      <c r="E159" s="581"/>
      <c r="F159" s="576"/>
      <c r="U159" s="576"/>
      <c r="AI159" s="576"/>
      <c r="AJ159" s="574"/>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75"/>
    </row>
    <row r="160" spans="3:64" s="573" customFormat="1">
      <c r="C160" s="582"/>
      <c r="E160" s="581"/>
      <c r="F160" s="576"/>
      <c r="U160" s="576"/>
      <c r="AI160" s="576"/>
      <c r="AJ160" s="574"/>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75"/>
    </row>
    <row r="161" spans="3:64" s="573" customFormat="1">
      <c r="C161" s="582"/>
      <c r="E161" s="581"/>
      <c r="F161" s="576"/>
      <c r="U161" s="576"/>
      <c r="AI161" s="576"/>
      <c r="AJ161" s="574"/>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75"/>
    </row>
    <row r="162" spans="3:64" s="573" customFormat="1">
      <c r="E162" s="581"/>
      <c r="F162" s="576"/>
      <c r="U162" s="576"/>
      <c r="AI162" s="576"/>
      <c r="AJ162" s="574"/>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75"/>
    </row>
    <row r="163" spans="3:64" s="573" customFormat="1">
      <c r="C163" s="582"/>
      <c r="E163" s="581"/>
      <c r="F163" s="576"/>
      <c r="U163" s="576"/>
      <c r="AI163" s="576"/>
      <c r="AJ163" s="574"/>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75"/>
    </row>
    <row r="164" spans="3:64" s="573" customFormat="1">
      <c r="C164" s="582"/>
      <c r="E164" s="581"/>
      <c r="F164" s="576"/>
      <c r="U164" s="576"/>
      <c r="AI164" s="576"/>
      <c r="AJ164" s="574"/>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75"/>
    </row>
    <row r="165" spans="3:64" s="573" customFormat="1">
      <c r="C165" s="582"/>
      <c r="E165" s="581"/>
      <c r="F165" s="576"/>
      <c r="U165" s="576"/>
      <c r="AI165" s="576"/>
      <c r="AJ165" s="574"/>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75"/>
    </row>
    <row r="166" spans="3:64" s="573" customFormat="1">
      <c r="E166" s="581"/>
      <c r="F166" s="576"/>
      <c r="U166" s="576"/>
      <c r="AI166" s="576"/>
      <c r="AJ166" s="574"/>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75"/>
    </row>
    <row r="167" spans="3:64" s="573" customFormat="1">
      <c r="E167" s="581"/>
      <c r="F167" s="576"/>
      <c r="U167" s="576"/>
      <c r="AI167" s="576"/>
      <c r="AJ167" s="574"/>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75"/>
    </row>
    <row r="168" spans="3:64" s="573" customFormat="1">
      <c r="E168" s="581"/>
      <c r="F168" s="576"/>
      <c r="U168" s="576"/>
      <c r="AI168" s="576"/>
      <c r="AJ168" s="574"/>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75"/>
    </row>
    <row r="169" spans="3:64" s="573" customFormat="1">
      <c r="E169" s="581"/>
      <c r="F169" s="576"/>
      <c r="U169" s="576"/>
      <c r="AI169" s="576"/>
      <c r="AJ169" s="574"/>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75"/>
    </row>
    <row r="170" spans="3:64" s="573" customFormat="1">
      <c r="E170" s="581"/>
      <c r="F170" s="576"/>
      <c r="U170" s="576"/>
      <c r="AI170" s="576"/>
      <c r="AJ170" s="574"/>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75"/>
    </row>
    <row r="171" spans="3:64" s="573" customFormat="1">
      <c r="E171" s="581"/>
      <c r="F171" s="576"/>
      <c r="U171" s="576"/>
      <c r="AI171" s="576"/>
      <c r="AJ171" s="574"/>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75"/>
    </row>
    <row r="172" spans="3:64" s="573" customFormat="1">
      <c r="E172" s="581"/>
      <c r="F172" s="576"/>
      <c r="U172" s="576"/>
      <c r="AI172" s="576"/>
      <c r="AJ172" s="574"/>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75"/>
    </row>
    <row r="173" spans="3:64" s="573" customFormat="1">
      <c r="E173" s="581"/>
      <c r="F173" s="576"/>
      <c r="U173" s="576"/>
      <c r="AI173" s="576"/>
      <c r="AJ173" s="574"/>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75"/>
    </row>
    <row r="174" spans="3:64" s="573" customFormat="1">
      <c r="E174" s="581"/>
      <c r="F174" s="576"/>
      <c r="U174" s="576"/>
      <c r="AI174" s="576"/>
      <c r="AJ174" s="574"/>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75"/>
    </row>
    <row r="175" spans="3:64" s="573" customFormat="1">
      <c r="E175" s="581"/>
      <c r="F175" s="576"/>
      <c r="U175" s="576"/>
      <c r="AI175" s="576"/>
      <c r="AJ175" s="574"/>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75"/>
    </row>
    <row r="176" spans="3:64" s="573" customFormat="1">
      <c r="E176" s="581"/>
      <c r="F176" s="576"/>
      <c r="U176" s="576"/>
      <c r="AI176" s="576"/>
      <c r="AJ176" s="574"/>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75"/>
    </row>
    <row r="177" spans="5:64" s="573" customFormat="1">
      <c r="E177" s="581"/>
      <c r="F177" s="576"/>
      <c r="U177" s="576"/>
      <c r="AI177" s="576"/>
      <c r="AJ177" s="574"/>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75"/>
    </row>
    <row r="178" spans="5:64" s="573" customFormat="1">
      <c r="E178" s="581"/>
      <c r="F178" s="576"/>
      <c r="U178" s="576"/>
      <c r="AI178" s="576"/>
      <c r="AJ178" s="574"/>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75"/>
    </row>
    <row r="179" spans="5:64" s="573" customFormat="1">
      <c r="E179" s="581"/>
      <c r="F179" s="576"/>
      <c r="U179" s="576"/>
      <c r="AI179" s="576"/>
      <c r="AJ179" s="574"/>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75"/>
    </row>
    <row r="180" spans="5:64" s="573" customFormat="1">
      <c r="E180" s="581"/>
      <c r="F180" s="576"/>
      <c r="U180" s="576"/>
      <c r="AI180" s="576"/>
      <c r="AJ180" s="574"/>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75"/>
    </row>
    <row r="181" spans="5:64" s="573" customFormat="1">
      <c r="E181" s="581"/>
      <c r="F181" s="576"/>
      <c r="U181" s="576"/>
      <c r="AI181" s="576"/>
      <c r="AJ181" s="574"/>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75"/>
    </row>
    <row r="182" spans="5:64" s="573" customFormat="1">
      <c r="E182" s="581"/>
      <c r="F182" s="576"/>
      <c r="U182" s="576"/>
      <c r="AI182" s="576"/>
      <c r="AJ182" s="574"/>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75"/>
    </row>
    <row r="183" spans="5:64" s="573" customFormat="1">
      <c r="E183" s="581"/>
      <c r="F183" s="576"/>
      <c r="U183" s="576"/>
      <c r="AI183" s="576"/>
      <c r="AJ183" s="574"/>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75"/>
    </row>
    <row r="184" spans="5:64" s="573" customFormat="1">
      <c r="E184" s="581"/>
      <c r="F184" s="576"/>
      <c r="U184" s="576"/>
      <c r="AI184" s="576"/>
      <c r="AJ184" s="574"/>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75"/>
    </row>
    <row r="185" spans="5:64" s="573" customFormat="1">
      <c r="E185" s="581"/>
      <c r="F185" s="576"/>
      <c r="U185" s="576"/>
      <c r="AI185" s="576"/>
      <c r="AJ185" s="574"/>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75"/>
    </row>
    <row r="186" spans="5:64" s="573" customFormat="1">
      <c r="E186" s="581"/>
      <c r="F186" s="576"/>
      <c r="U186" s="576"/>
      <c r="AI186" s="576"/>
      <c r="AJ186" s="574"/>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75"/>
    </row>
    <row r="187" spans="5:64" s="573" customFormat="1">
      <c r="E187" s="581"/>
      <c r="F187" s="576"/>
      <c r="U187" s="576"/>
      <c r="AI187" s="576"/>
      <c r="AJ187" s="574"/>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75"/>
    </row>
    <row r="188" spans="5:64" s="573" customFormat="1">
      <c r="E188" s="581"/>
      <c r="F188" s="576"/>
      <c r="U188" s="576"/>
      <c r="AI188" s="576"/>
      <c r="AJ188" s="574"/>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75"/>
    </row>
    <row r="189" spans="5:64" s="573" customFormat="1">
      <c r="E189" s="581"/>
      <c r="F189" s="576"/>
      <c r="U189" s="576"/>
      <c r="AI189" s="576"/>
      <c r="AJ189" s="574"/>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75"/>
    </row>
    <row r="190" spans="5:64" s="573" customFormat="1">
      <c r="E190" s="581"/>
      <c r="F190" s="576"/>
      <c r="U190" s="576"/>
      <c r="AI190" s="576"/>
      <c r="AJ190" s="574"/>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75"/>
    </row>
    <row r="191" spans="5:64" s="573" customFormat="1">
      <c r="E191" s="581"/>
      <c r="F191" s="576"/>
      <c r="U191" s="576"/>
      <c r="AI191" s="576"/>
      <c r="AJ191" s="574"/>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75"/>
    </row>
    <row r="192" spans="5:64" s="573" customFormat="1">
      <c r="E192" s="581"/>
      <c r="F192" s="576"/>
      <c r="U192" s="576"/>
      <c r="AI192" s="576"/>
      <c r="AJ192" s="574"/>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75"/>
    </row>
    <row r="193" spans="5:64" s="573" customFormat="1">
      <c r="E193" s="581"/>
      <c r="F193" s="576"/>
      <c r="U193" s="576"/>
      <c r="AI193" s="576"/>
      <c r="AJ193" s="574"/>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75"/>
    </row>
    <row r="194" spans="5:64" s="573" customFormat="1">
      <c r="E194" s="581"/>
      <c r="F194" s="576"/>
      <c r="U194" s="576"/>
      <c r="AI194" s="576"/>
      <c r="AJ194" s="574"/>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75"/>
    </row>
    <row r="195" spans="5:64" s="573" customFormat="1">
      <c r="E195" s="581"/>
      <c r="F195" s="576"/>
      <c r="U195" s="576"/>
      <c r="AI195" s="576"/>
      <c r="AJ195" s="574"/>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75"/>
    </row>
    <row r="196" spans="5:64" s="573" customFormat="1">
      <c r="E196" s="581"/>
      <c r="F196" s="576"/>
      <c r="U196" s="576"/>
      <c r="AI196" s="576"/>
      <c r="AJ196" s="574"/>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75"/>
    </row>
    <row r="197" spans="5:64" s="573" customFormat="1">
      <c r="E197" s="581"/>
      <c r="F197" s="576"/>
      <c r="U197" s="576"/>
      <c r="AI197" s="576"/>
      <c r="AJ197" s="574"/>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75"/>
    </row>
    <row r="198" spans="5:64" s="573" customFormat="1">
      <c r="E198" s="581"/>
      <c r="F198" s="576"/>
      <c r="U198" s="576"/>
      <c r="AI198" s="576"/>
      <c r="AJ198" s="574"/>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75"/>
    </row>
    <row r="199" spans="5:64" s="573" customFormat="1">
      <c r="E199" s="581"/>
      <c r="F199" s="576"/>
      <c r="U199" s="576"/>
      <c r="AI199" s="576"/>
      <c r="AJ199" s="574"/>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75"/>
    </row>
    <row r="200" spans="5:64" s="573" customFormat="1">
      <c r="E200" s="581"/>
      <c r="F200" s="576"/>
      <c r="U200" s="576"/>
      <c r="AI200" s="576"/>
      <c r="AJ200" s="574"/>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75"/>
    </row>
    <row r="201" spans="5:64" s="573" customFormat="1">
      <c r="E201" s="581"/>
      <c r="F201" s="576"/>
      <c r="U201" s="576"/>
      <c r="AI201" s="576"/>
      <c r="AJ201" s="574"/>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75"/>
    </row>
    <row r="202" spans="5:64" s="573" customFormat="1">
      <c r="E202" s="581"/>
      <c r="F202" s="576"/>
      <c r="U202" s="576"/>
      <c r="AI202" s="576"/>
      <c r="AJ202" s="574"/>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75"/>
    </row>
    <row r="203" spans="5:64" s="573" customFormat="1">
      <c r="E203" s="581"/>
      <c r="F203" s="576"/>
      <c r="U203" s="576"/>
      <c r="AI203" s="576"/>
      <c r="AJ203" s="574"/>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75"/>
    </row>
    <row r="204" spans="5:64" s="573" customFormat="1">
      <c r="E204" s="581"/>
      <c r="F204" s="576"/>
      <c r="U204" s="576"/>
      <c r="AI204" s="576"/>
      <c r="AJ204" s="574"/>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75"/>
    </row>
    <row r="205" spans="5:64" s="573" customFormat="1">
      <c r="E205" s="581"/>
      <c r="F205" s="576"/>
      <c r="U205" s="576"/>
      <c r="AI205" s="576"/>
      <c r="AJ205" s="574"/>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75"/>
    </row>
    <row r="206" spans="5:64" s="573" customFormat="1">
      <c r="E206" s="581"/>
      <c r="F206" s="576"/>
      <c r="U206" s="576"/>
      <c r="AI206" s="576"/>
      <c r="AJ206" s="574"/>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75"/>
    </row>
    <row r="207" spans="5:64" s="573" customFormat="1">
      <c r="E207" s="581"/>
      <c r="F207" s="576"/>
      <c r="U207" s="576"/>
      <c r="AI207" s="576"/>
      <c r="AJ207" s="574"/>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75"/>
    </row>
    <row r="208" spans="5:64" s="573" customFormat="1">
      <c r="E208" s="581"/>
      <c r="F208" s="576"/>
      <c r="U208" s="576"/>
      <c r="AI208" s="576"/>
      <c r="AJ208" s="574"/>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75"/>
    </row>
    <row r="209" spans="5:64" s="573" customFormat="1">
      <c r="E209" s="581"/>
      <c r="F209" s="576"/>
      <c r="U209" s="576"/>
      <c r="AI209" s="576"/>
      <c r="AJ209" s="574"/>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75"/>
    </row>
    <row r="210" spans="5:64" s="573" customFormat="1">
      <c r="E210" s="581"/>
      <c r="F210" s="576"/>
      <c r="U210" s="576"/>
      <c r="AI210" s="576"/>
      <c r="AJ210" s="574"/>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75"/>
    </row>
    <row r="211" spans="5:64" s="573" customFormat="1">
      <c r="E211" s="581"/>
      <c r="F211" s="576"/>
      <c r="U211" s="576"/>
      <c r="AI211" s="576"/>
      <c r="AJ211" s="574"/>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75"/>
    </row>
    <row r="212" spans="5:64" s="573" customFormat="1">
      <c r="E212" s="581"/>
      <c r="F212" s="576"/>
      <c r="U212" s="576"/>
      <c r="AI212" s="576"/>
      <c r="AJ212" s="574"/>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75"/>
    </row>
    <row r="213" spans="5:64" s="573" customFormat="1">
      <c r="E213" s="581"/>
      <c r="F213" s="576"/>
      <c r="U213" s="576"/>
      <c r="AI213" s="576"/>
      <c r="AJ213" s="574"/>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75"/>
    </row>
    <row r="214" spans="5:64" s="573" customFormat="1">
      <c r="E214" s="581"/>
      <c r="F214" s="576"/>
      <c r="U214" s="576"/>
      <c r="AI214" s="576"/>
      <c r="AJ214" s="574"/>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75"/>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S57:S70 S72:S8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P227"/>
  <sheetViews>
    <sheetView showGridLines="0" zoomScaleNormal="100" zoomScaleSheetLayoutView="100" workbookViewId="0">
      <selection activeCell="B2" sqref="B2"/>
    </sheetView>
  </sheetViews>
  <sheetFormatPr defaultColWidth="9.1796875" defaultRowHeight="10.5"/>
  <cols>
    <col min="1" max="1" width="2.453125" style="184" customWidth="1"/>
    <col min="2" max="2" width="4.453125" style="184" customWidth="1"/>
    <col min="3" max="3" width="43.54296875" style="184" customWidth="1"/>
    <col min="4" max="4" width="14.453125" style="184" customWidth="1"/>
    <col min="5" max="7" width="13.81640625" style="184" customWidth="1"/>
    <col min="8" max="8" width="2.54296875" style="184" customWidth="1"/>
    <col min="9" max="16384" width="9.1796875" style="184"/>
  </cols>
  <sheetData>
    <row r="1" spans="2:11" s="50" customFormat="1" ht="15" customHeight="1">
      <c r="B1" s="49"/>
      <c r="H1" s="183"/>
    </row>
    <row r="2" spans="2:11"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row>
    <row r="3" spans="2:11" s="186" customFormat="1" ht="15" customHeight="1">
      <c r="B3" s="183"/>
      <c r="C3" s="185"/>
      <c r="H3" s="183"/>
    </row>
    <row r="4" spans="2:11" s="186" customFormat="1" ht="15" customHeight="1">
      <c r="B4" s="183"/>
      <c r="C4" s="187"/>
      <c r="H4" s="183"/>
    </row>
    <row r="5" spans="2:11" s="186" customFormat="1" ht="15" customHeight="1">
      <c r="B5" s="183"/>
      <c r="C5" s="1093" t="str">
        <f>+'5 - Conta AC + SS'!C5</f>
        <v>Período: janeiro a setembro</v>
      </c>
      <c r="D5" s="1094"/>
      <c r="G5" s="1095" t="str">
        <f>IF(Indice_index!$Z$1=1,"€ Milhões","€ Millions")</f>
        <v>€ Milhões</v>
      </c>
      <c r="H5" s="1094"/>
    </row>
    <row r="6" spans="2:11" s="186" customFormat="1" ht="79.5" customHeight="1">
      <c r="B6" s="183"/>
      <c r="C6" s="1096"/>
      <c r="D6" s="1092" t="s">
        <v>77</v>
      </c>
      <c r="E6" s="1092" t="s">
        <v>506</v>
      </c>
      <c r="G6" s="1092" t="s">
        <v>601</v>
      </c>
      <c r="H6" s="1097"/>
    </row>
    <row r="7" spans="2:11" s="186" customFormat="1" ht="15" customHeight="1">
      <c r="B7" s="183"/>
      <c r="C7" s="1098" t="str">
        <f>IF(Indice_index!$Z$1=1,"Receita corrente","Current revenue")</f>
        <v>Receita corrente</v>
      </c>
      <c r="D7" s="1099">
        <f>+D8+D9+D10+D12</f>
        <v>0</v>
      </c>
      <c r="E7" s="1099">
        <f>+E8+E9+E10+E12</f>
        <v>2.2499999999999999E-2</v>
      </c>
      <c r="G7" s="1099">
        <f>+G8+G9+G10+G12</f>
        <v>0</v>
      </c>
      <c r="H7" s="1099"/>
    </row>
    <row r="8" spans="2:11" s="186" customFormat="1" ht="15" customHeight="1">
      <c r="B8" s="183"/>
      <c r="C8" s="777" t="str">
        <f>IF(Indice_index!$Z$1=1,"Receita fiscal","Tax")</f>
        <v>Receita fiscal</v>
      </c>
      <c r="D8" s="1100">
        <v>0</v>
      </c>
      <c r="E8" s="1100">
        <v>0</v>
      </c>
      <c r="G8" s="1100">
        <v>0</v>
      </c>
      <c r="H8" s="1100"/>
      <c r="K8" s="186" t="s">
        <v>39</v>
      </c>
    </row>
    <row r="9" spans="2:11" s="186" customFormat="1" ht="15" customHeight="1">
      <c r="B9" s="183"/>
      <c r="C9" s="746" t="str">
        <f>IF(Indice_index!$Z$1=1,"Contribuições para Segurança Social, CGA e ADSE","Social security, CGA and ADSE contributions")</f>
        <v>Contribuições para Segurança Social, CGA e ADSE</v>
      </c>
      <c r="D9" s="1100">
        <v>0</v>
      </c>
      <c r="E9" s="1100">
        <v>0</v>
      </c>
      <c r="G9" s="1100">
        <v>0</v>
      </c>
      <c r="H9" s="1100"/>
    </row>
    <row r="10" spans="2:11" s="186" customFormat="1" ht="15" customHeight="1">
      <c r="B10" s="183"/>
      <c r="C10" s="746" t="str">
        <f>IF(Indice_index!$Z$1=1,"Transferências correntes","Current transfers")</f>
        <v>Transferências correntes</v>
      </c>
      <c r="D10" s="1100">
        <v>0</v>
      </c>
      <c r="E10" s="1100">
        <v>2.2499999999999999E-2</v>
      </c>
      <c r="G10" s="1100">
        <v>0</v>
      </c>
      <c r="H10" s="1100"/>
    </row>
    <row r="11" spans="2:11" s="186" customFormat="1" ht="15" customHeight="1">
      <c r="B11" s="183"/>
      <c r="C11" s="748" t="str">
        <f>IF(Indice_index!$Z$1=1,"das quais: Administração Central","of which: Central Administration")</f>
        <v>das quais: Administração Central</v>
      </c>
      <c r="D11" s="1100">
        <v>0</v>
      </c>
      <c r="E11" s="1100">
        <v>0</v>
      </c>
      <c r="G11" s="1100">
        <v>0</v>
      </c>
      <c r="H11" s="1100"/>
    </row>
    <row r="12" spans="2:11" s="186" customFormat="1" ht="15" customHeight="1">
      <c r="B12" s="183"/>
      <c r="C12" s="746" t="str">
        <f>IF(Indice_index!$Z$1=1,"Outras receitas correntes","Other current revenue")</f>
        <v>Outras receitas correntes</v>
      </c>
      <c r="D12" s="1100">
        <v>0</v>
      </c>
      <c r="E12" s="1100">
        <v>0</v>
      </c>
      <c r="G12" s="1100">
        <v>0</v>
      </c>
      <c r="H12" s="1100"/>
    </row>
    <row r="13" spans="2:11" s="186" customFormat="1" ht="15" customHeight="1">
      <c r="B13" s="183"/>
      <c r="C13" s="748" t="str">
        <f>IF(Indice_index!$Z$1=1,"das quais: Administração Central","of which: Central Administration")</f>
        <v>das quais: Administração Central</v>
      </c>
      <c r="D13" s="1100">
        <v>0</v>
      </c>
      <c r="E13" s="1100">
        <v>0</v>
      </c>
      <c r="G13" s="1100">
        <v>0</v>
      </c>
      <c r="H13" s="1100"/>
    </row>
    <row r="14" spans="2:11" s="186" customFormat="1" ht="15" customHeight="1">
      <c r="B14" s="183"/>
      <c r="C14" s="748" t="str">
        <f>IF(Indice_index!$Z$1=1,"das quais: das quais: Vendas de bens e serviços / Saúde","of which: Sales of goods and services / Health sector")</f>
        <v>das quais: das quais: Vendas de bens e serviços / Saúde</v>
      </c>
      <c r="D14" s="1100">
        <v>0</v>
      </c>
      <c r="E14" s="1100">
        <v>0</v>
      </c>
      <c r="G14" s="1100">
        <v>0</v>
      </c>
      <c r="H14" s="1100"/>
    </row>
    <row r="15" spans="2:11" s="186" customFormat="1" ht="15" customHeight="1">
      <c r="B15" s="183"/>
      <c r="C15" s="1098" t="str">
        <f>IF(Indice_index!$Z$1=1,"Receita de capital","Capital revenue")</f>
        <v>Receita de capital</v>
      </c>
      <c r="D15" s="1099">
        <f>+D16+D17+D19</f>
        <v>0</v>
      </c>
      <c r="E15" s="1099">
        <f>+E16+E17+E19</f>
        <v>0</v>
      </c>
      <c r="G15" s="1099">
        <f>+G16+G17+G19</f>
        <v>0</v>
      </c>
      <c r="H15" s="1099"/>
    </row>
    <row r="16" spans="2:11" s="186" customFormat="1" ht="15" customHeight="1">
      <c r="B16" s="183"/>
      <c r="C16" s="746" t="str">
        <f>IF(Indice_index!$Z$1=1,"Venda de bens de investimento","Sale of investment goods")</f>
        <v>Venda de bens de investimento</v>
      </c>
      <c r="D16" s="1100">
        <v>0</v>
      </c>
      <c r="E16" s="1100">
        <v>0</v>
      </c>
      <c r="G16" s="1100">
        <v>0</v>
      </c>
      <c r="H16" s="1100"/>
    </row>
    <row r="17" spans="2:8" s="186" customFormat="1" ht="15" customHeight="1">
      <c r="B17" s="183"/>
      <c r="C17" s="746" t="str">
        <f>IF(Indice_index!$Z$1=1,"Transferências de capital","Capital transfers")</f>
        <v>Transferências de capital</v>
      </c>
      <c r="D17" s="1100">
        <v>0</v>
      </c>
      <c r="E17" s="1100">
        <v>0</v>
      </c>
      <c r="G17" s="1100">
        <v>0</v>
      </c>
      <c r="H17" s="1100"/>
    </row>
    <row r="18" spans="2:8" s="186" customFormat="1" ht="15" customHeight="1">
      <c r="B18" s="183"/>
      <c r="C18" s="748" t="str">
        <f>IF(Indice_index!$Z$1=1,"das quais: Administração Central","of which: Central Administration")</f>
        <v>das quais: Administração Central</v>
      </c>
      <c r="D18" s="1100">
        <v>0</v>
      </c>
      <c r="E18" s="1100">
        <v>0</v>
      </c>
      <c r="G18" s="1100">
        <v>0</v>
      </c>
      <c r="H18" s="1100"/>
    </row>
    <row r="19" spans="2:8" s="186" customFormat="1" ht="15" customHeight="1">
      <c r="B19" s="183"/>
      <c r="C19" s="746" t="str">
        <f>IF(Indice_index!$Z$1=1,"Outras receitas de capital","Other capital revenue")</f>
        <v>Outras receitas de capital</v>
      </c>
      <c r="D19" s="1100">
        <v>0</v>
      </c>
      <c r="E19" s="1100">
        <v>0</v>
      </c>
      <c r="G19" s="1100">
        <v>0</v>
      </c>
      <c r="H19" s="1100"/>
    </row>
    <row r="20" spans="2:8" s="186" customFormat="1" ht="15" customHeight="1">
      <c r="B20" s="183"/>
      <c r="C20" s="1098" t="str">
        <f>IF(Indice_index!$Z$1=1,"Receita efetiva","Effective revenue")</f>
        <v>Receita efetiva</v>
      </c>
      <c r="D20" s="1099">
        <f>+D7+D15</f>
        <v>0</v>
      </c>
      <c r="E20" s="1099">
        <f>+E7+E15</f>
        <v>2.2499999999999999E-2</v>
      </c>
      <c r="G20" s="1099">
        <f>+G7+G15</f>
        <v>0</v>
      </c>
      <c r="H20" s="1099"/>
    </row>
    <row r="21" spans="2:8" s="186" customFormat="1" ht="4.5" customHeight="1">
      <c r="B21" s="183"/>
      <c r="C21" s="1098"/>
      <c r="D21" s="1099"/>
      <c r="E21" s="1099"/>
      <c r="G21" s="1099"/>
      <c r="H21" s="1099"/>
    </row>
    <row r="22" spans="2:8" s="186" customFormat="1" ht="15" customHeight="1">
      <c r="B22" s="183"/>
      <c r="C22" s="1098" t="str">
        <f>IF(Indice_index!$Z$1=1,"Despesa corrente","Current expenditure")</f>
        <v>Despesa corrente</v>
      </c>
      <c r="D22" s="1099">
        <f>+D23+D24+D26+D28+D30+D32</f>
        <v>8.2699999999999996E-2</v>
      </c>
      <c r="E22" s="1099">
        <f>+E23+E24+E26+E28+E30+E32</f>
        <v>2.1775000000000003E-2</v>
      </c>
      <c r="G22" s="1099">
        <f>+G23+G24+G26+G28+G30+G32</f>
        <v>13.37890165</v>
      </c>
      <c r="H22" s="1099"/>
    </row>
    <row r="23" spans="2:8" s="186" customFormat="1" ht="15" customHeight="1">
      <c r="B23" s="183"/>
      <c r="C23" s="746" t="str">
        <f>IF(Indice_index!$Z$1=1,"Despesas com o pessoal","Employees")</f>
        <v>Despesas com o pessoal</v>
      </c>
      <c r="D23" s="1100">
        <v>4.9810000000000002E-3</v>
      </c>
      <c r="E23" s="1100">
        <v>0</v>
      </c>
      <c r="G23" s="1100">
        <v>13.273733440000001</v>
      </c>
      <c r="H23" s="1100"/>
    </row>
    <row r="24" spans="2:8" s="186" customFormat="1" ht="15" customHeight="1">
      <c r="B24" s="183"/>
      <c r="C24" s="746" t="str">
        <f>IF(Indice_index!$Z$1=1,"Aquisição de bens e serviços","Purchase of goods and services")</f>
        <v>Aquisição de bens e serviços</v>
      </c>
      <c r="D24" s="1100">
        <v>7.7718999999999996E-2</v>
      </c>
      <c r="E24" s="1100">
        <v>1.1145E-2</v>
      </c>
      <c r="G24" s="1100">
        <v>9.4159449999999908E-2</v>
      </c>
      <c r="H24" s="1100"/>
    </row>
    <row r="25" spans="2:8" s="186" customFormat="1" ht="15" customHeight="1">
      <c r="B25" s="183"/>
      <c r="C25" s="748" t="str">
        <f>IF(Indice_index!$Z$1=1,"das quais: das quais: Aquisição de bens e serviços / Saúde","of which: Purchase of goods and services / Health sector")</f>
        <v>das quais: das quais: Aquisição de bens e serviços / Saúde</v>
      </c>
      <c r="D25" s="1101">
        <v>0</v>
      </c>
      <c r="E25" s="1101">
        <v>0</v>
      </c>
      <c r="G25" s="1101">
        <v>0</v>
      </c>
      <c r="H25" s="1101"/>
    </row>
    <row r="26" spans="2:8" s="186" customFormat="1" ht="15" customHeight="1">
      <c r="B26" s="183"/>
      <c r="C26" s="746" t="str">
        <f>IF(Indice_index!$Z$1=1,"Juros e outros encargos","Interests and other charges")</f>
        <v>Juros e outros encargos</v>
      </c>
      <c r="D26" s="1100">
        <v>0</v>
      </c>
      <c r="E26" s="1100">
        <v>0</v>
      </c>
      <c r="G26" s="1100">
        <v>0</v>
      </c>
      <c r="H26" s="1100"/>
    </row>
    <row r="27" spans="2:8" s="186" customFormat="1" ht="15" customHeight="1">
      <c r="B27" s="183"/>
      <c r="C27" s="748" t="str">
        <f>IF(Indice_index!$Z$1=1,"dos quais: Administração Central","of which: Central Administration")</f>
        <v>dos quais: Administração Central</v>
      </c>
      <c r="D27" s="1100">
        <v>0</v>
      </c>
      <c r="E27" s="1100">
        <v>0</v>
      </c>
      <c r="G27" s="1100">
        <v>0</v>
      </c>
      <c r="H27" s="1100"/>
    </row>
    <row r="28" spans="2:8" s="186" customFormat="1" ht="15" customHeight="1">
      <c r="B28" s="183"/>
      <c r="C28" s="746" t="str">
        <f>IF(Indice_index!$Z$1=1,"Transferências correntes","Current transfers")</f>
        <v>Transferências correntes</v>
      </c>
      <c r="D28" s="1100">
        <v>0</v>
      </c>
      <c r="E28" s="1100">
        <v>1.0630000000000001E-2</v>
      </c>
      <c r="G28" s="1100">
        <v>0</v>
      </c>
      <c r="H28" s="1100"/>
    </row>
    <row r="29" spans="2:8" s="186" customFormat="1" ht="15" customHeight="1">
      <c r="B29" s="183"/>
      <c r="C29" s="748" t="str">
        <f>IF(Indice_index!$Z$1=1,"das quais: Administração Central","of which: Central Administration")</f>
        <v>das quais: Administração Central</v>
      </c>
      <c r="D29" s="1101">
        <v>0</v>
      </c>
      <c r="E29" s="1101">
        <v>0</v>
      </c>
      <c r="G29" s="1101">
        <v>0</v>
      </c>
      <c r="H29" s="1101"/>
    </row>
    <row r="30" spans="2:8" s="186" customFormat="1" ht="15" customHeight="1">
      <c r="B30" s="183"/>
      <c r="C30" s="746" t="str">
        <f>IF(Indice_index!$Z$1=1,"Subsídios","Subsidies")</f>
        <v>Subsídios</v>
      </c>
      <c r="D30" s="1100">
        <v>0</v>
      </c>
      <c r="E30" s="1100">
        <v>0</v>
      </c>
      <c r="G30" s="1100">
        <v>0</v>
      </c>
      <c r="H30" s="1100"/>
    </row>
    <row r="31" spans="2:8" s="186" customFormat="1" ht="15" customHeight="1">
      <c r="B31" s="183"/>
      <c r="C31" s="748" t="str">
        <f>IF(Indice_index!$Z$1=1,"dos quais: Administração Central","of which: Central Administration")</f>
        <v>dos quais: Administração Central</v>
      </c>
      <c r="D31" s="1101">
        <v>0</v>
      </c>
      <c r="E31" s="1101">
        <v>0</v>
      </c>
      <c r="G31" s="1101">
        <v>0</v>
      </c>
      <c r="H31" s="1101"/>
    </row>
    <row r="32" spans="2:8" s="186" customFormat="1" ht="15" customHeight="1">
      <c r="B32" s="183"/>
      <c r="C32" s="746" t="str">
        <f>IF(Indice_index!$Z$1=1,"Outras despesas correntes","Other current expenditure")</f>
        <v>Outras despesas correntes</v>
      </c>
      <c r="D32" s="1100">
        <v>0</v>
      </c>
      <c r="E32" s="1100">
        <v>0</v>
      </c>
      <c r="G32" s="1100">
        <v>1.100875999999998E-2</v>
      </c>
      <c r="H32" s="1100"/>
    </row>
    <row r="33" spans="2:16" s="186" customFormat="1" ht="15" customHeight="1">
      <c r="B33" s="183"/>
      <c r="C33" s="1098" t="str">
        <f>IF(Indice_index!$Z$1=1,"Despesa de capital","Capital expenditure")</f>
        <v>Despesa de capital</v>
      </c>
      <c r="D33" s="1102">
        <f>+D34+D35+D37</f>
        <v>0</v>
      </c>
      <c r="E33" s="1102">
        <f>+E34+E35+E37</f>
        <v>0</v>
      </c>
      <c r="G33" s="1102">
        <f>+G34+G35+G37</f>
        <v>0.5252477500000009</v>
      </c>
      <c r="H33" s="1102"/>
    </row>
    <row r="34" spans="2:16" s="186" customFormat="1" ht="15" customHeight="1">
      <c r="B34" s="183"/>
      <c r="C34" s="746" t="str">
        <f>IF(Indice_index!$Z$1=1,"Investimento","Investment")</f>
        <v>Investimento</v>
      </c>
      <c r="D34" s="1100">
        <v>0</v>
      </c>
      <c r="E34" s="1100">
        <v>0</v>
      </c>
      <c r="G34" s="1100">
        <v>0.5252477500000009</v>
      </c>
      <c r="H34" s="1100"/>
    </row>
    <row r="35" spans="2:16" s="186" customFormat="1" ht="15" customHeight="1">
      <c r="B35" s="183"/>
      <c r="C35" s="746" t="str">
        <f>IF(Indice_index!$Z$1=1,"Transferências de capital","Capital transfers")</f>
        <v>Transferências de capital</v>
      </c>
      <c r="D35" s="1100">
        <v>0</v>
      </c>
      <c r="E35" s="1100">
        <v>0</v>
      </c>
      <c r="G35" s="1100">
        <v>0</v>
      </c>
      <c r="H35" s="1100"/>
    </row>
    <row r="36" spans="2:16" s="186" customFormat="1" ht="15" customHeight="1">
      <c r="B36" s="183"/>
      <c r="C36" s="748" t="str">
        <f>IF(Indice_index!$Z$1=1,"das quais: Administração Central","of which: Central Administration")</f>
        <v>das quais: Administração Central</v>
      </c>
      <c r="D36" s="1101">
        <v>0</v>
      </c>
      <c r="E36" s="1101">
        <v>0</v>
      </c>
      <c r="G36" s="1101">
        <v>0</v>
      </c>
      <c r="H36" s="1101"/>
    </row>
    <row r="37" spans="2:16" s="186" customFormat="1" ht="15" customHeight="1">
      <c r="B37" s="183"/>
      <c r="C37" s="746" t="str">
        <f>IF(Indice_index!$Z$1=1,"Outras despesas de capital","Other capital expenditure")</f>
        <v>Outras despesas de capital</v>
      </c>
      <c r="D37" s="1100">
        <v>0</v>
      </c>
      <c r="E37" s="1100">
        <v>0</v>
      </c>
      <c r="G37" s="1100">
        <v>0</v>
      </c>
      <c r="H37" s="1100"/>
    </row>
    <row r="38" spans="2:16" s="186" customFormat="1" ht="15" customHeight="1">
      <c r="B38" s="183"/>
      <c r="C38" s="1098" t="str">
        <f>IF(Indice_index!$Z$1=1,"Despesa efetiva","Effective expenditure")</f>
        <v>Despesa efetiva</v>
      </c>
      <c r="D38" s="1102">
        <f>+D22+D33</f>
        <v>8.2699999999999996E-2</v>
      </c>
      <c r="E38" s="1102">
        <f t="shared" ref="E38" si="0">+E22+E33</f>
        <v>2.1775000000000003E-2</v>
      </c>
      <c r="G38" s="1102">
        <f>+G22+G33</f>
        <v>13.9041494</v>
      </c>
      <c r="H38" s="1102"/>
    </row>
    <row r="39" spans="2:16" s="186" customFormat="1" ht="4.5" customHeight="1">
      <c r="B39" s="183"/>
      <c r="C39" s="1103"/>
      <c r="D39" s="1102"/>
      <c r="E39" s="1102"/>
      <c r="G39" s="1102"/>
      <c r="H39" s="1102"/>
    </row>
    <row r="40" spans="2:16" s="186" customFormat="1" ht="15" customHeight="1">
      <c r="B40" s="183"/>
      <c r="C40" s="1104" t="str">
        <f>IF(Indice_index!$Z$1=1,"Saldo global","Overall balance")</f>
        <v>Saldo global</v>
      </c>
      <c r="D40" s="1105">
        <f>+D20-D38</f>
        <v>-8.2699999999999996E-2</v>
      </c>
      <c r="E40" s="1105">
        <f>+E20-E38</f>
        <v>7.2499999999999648E-4</v>
      </c>
      <c r="G40" s="1105">
        <f>+G20-G38</f>
        <v>-13.9041494</v>
      </c>
      <c r="H40" s="1106"/>
    </row>
    <row r="41" spans="2:16" s="96" customFormat="1" ht="4.5" customHeight="1">
      <c r="D41" s="1107"/>
      <c r="E41" s="1107"/>
      <c r="G41" s="1107"/>
      <c r="H41" s="1107"/>
      <c r="N41" s="50"/>
      <c r="O41" s="50"/>
      <c r="P41" s="50"/>
    </row>
    <row r="42" spans="2:16" s="186" customFormat="1" ht="41.25" customHeight="1">
      <c r="C42" s="1104" t="str">
        <f>IF(Indice_index!$Z$1=1,"Períodos com ausência de reporte","Months without report")</f>
        <v>Períodos com ausência de reporte</v>
      </c>
      <c r="D42" s="1108" t="str">
        <f>IF(Indice_index!$Z$1=1,"setembro","September")</f>
        <v>setembro</v>
      </c>
      <c r="E42" s="1108" t="str">
        <f>IF(Indice_index!$Z$1=1,"setembro; agosto; julho; junho; maio; ; abril; março","September; August; July; June; May; ; April; March")</f>
        <v>setembro; agosto; julho; junho; maio; ; abril; março</v>
      </c>
      <c r="G42" s="1108" t="str">
        <f>IF(Indice_index!$Z$1=1,"setembro","September")</f>
        <v>setembro</v>
      </c>
      <c r="H42" s="1109"/>
    </row>
    <row r="43" spans="2:16" s="186" customFormat="1" ht="3" customHeight="1">
      <c r="C43" s="1093"/>
    </row>
    <row r="44" spans="2:16" s="186" customFormat="1" ht="4.5" customHeight="1">
      <c r="C44" s="1093"/>
    </row>
    <row r="45" spans="2:16" s="53" customFormat="1" ht="15" customHeight="1">
      <c r="C45" s="766" t="str">
        <f>IF(Indice_index!$Z$1=1,"Notas:","Notes:")</f>
        <v>Notas:</v>
      </c>
      <c r="D45" s="58"/>
      <c r="E45" s="1110"/>
      <c r="F45" s="1110"/>
      <c r="G45" s="1110"/>
      <c r="H45" s="1110"/>
      <c r="M45" s="50"/>
      <c r="N45" s="50"/>
      <c r="O45" s="50"/>
    </row>
    <row r="46" spans="2:16" s="186" customFormat="1" ht="39" customHeight="1">
      <c r="C46" s="1778" t="str">
        <f>IF(Indice_index!$Z$1=1,C95,C96)</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78"/>
      <c r="E46" s="1778"/>
      <c r="F46" s="1778"/>
      <c r="G46" s="1778"/>
      <c r="H46" s="1778"/>
    </row>
    <row r="47" spans="2:16" s="186" customFormat="1" ht="25.5" customHeight="1">
      <c r="C47" s="1778" t="str">
        <f>+'10 - EPR'!C86:J86</f>
        <v>Esta estimativa apenas é utilizada para os meses em que haja falta de reporte. Nos restantes meses, é utilizada a informação efetivamente reportada pelas entidades.</v>
      </c>
      <c r="D47" s="1778"/>
      <c r="E47" s="1778"/>
      <c r="F47" s="1778"/>
      <c r="G47" s="1778"/>
      <c r="H47" s="1778"/>
    </row>
    <row r="48" spans="2:16" s="186" customFormat="1" ht="30" customHeight="1">
      <c r="C48" s="1778" t="str">
        <f>IF(Indice_index!$Z$1=1,"a) Dados disponibilizados pela entidade em causa de modo a suprir faltas de informação respeitantes à execução orçamental de setembro de 2022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Dados disponibilizados pela entidade em causa de modo a suprir faltas de informação respeitantes à execução orçamental de setembro de 2022 devido a motivos de ordem técnica na transposição dos sistemas orçamentais locais para os centrais.</v>
      </c>
      <c r="D48" s="1778"/>
      <c r="E48" s="1778"/>
      <c r="F48" s="1778"/>
      <c r="G48" s="1778"/>
    </row>
    <row r="49" spans="3:8" s="186" customFormat="1" ht="4.5" customHeight="1">
      <c r="C49" s="1778"/>
      <c r="D49" s="1778"/>
      <c r="E49" s="1778"/>
      <c r="F49" s="1778"/>
      <c r="G49" s="1778"/>
      <c r="H49" s="1111"/>
    </row>
    <row r="50" spans="3:8" s="186" customFormat="1" ht="15" customHeight="1">
      <c r="C50" s="1091" t="str">
        <f>IF(Indice_index!$Z$1=1,"Fonte: Direção-Geral do Orçamento","Source: Budget General Directorate")</f>
        <v>Fonte: Direção-Geral do Orçamento</v>
      </c>
      <c r="D50" s="1091"/>
      <c r="E50" s="1091"/>
      <c r="F50" s="1091"/>
      <c r="G50" s="1091"/>
      <c r="H50" s="1091"/>
    </row>
    <row r="51" spans="3:8" s="186" customFormat="1"/>
    <row r="52" spans="3:8" s="186" customFormat="1"/>
    <row r="53" spans="3:8" s="498" customFormat="1"/>
    <row r="54" spans="3:8" s="423" customFormat="1">
      <c r="C54" s="462"/>
    </row>
    <row r="55" spans="3:8" s="423" customFormat="1">
      <c r="C55" s="462"/>
    </row>
    <row r="56" spans="3:8" s="498" customFormat="1">
      <c r="C56" s="462"/>
    </row>
    <row r="57" spans="3:8" s="186" customFormat="1">
      <c r="C57" s="423"/>
    </row>
    <row r="58" spans="3:8" s="186" customFormat="1"/>
    <row r="59" spans="3:8" s="186" customFormat="1"/>
    <row r="60" spans="3:8" s="186" customFormat="1"/>
    <row r="61" spans="3:8" s="186" customFormat="1"/>
    <row r="62" spans="3:8" s="186" customFormat="1"/>
    <row r="63" spans="3:8" s="186" customFormat="1"/>
    <row r="64" spans="3:8" s="186" customFormat="1"/>
    <row r="65" s="186" customFormat="1"/>
    <row r="66" s="186" customFormat="1"/>
    <row r="67" s="186" customFormat="1"/>
    <row r="68" s="186" customFormat="1"/>
    <row r="69" s="186" customFormat="1"/>
    <row r="70" s="186" customFormat="1"/>
    <row r="71" s="186" customFormat="1"/>
    <row r="72" s="186" customFormat="1" ht="12" customHeight="1"/>
    <row r="73" s="186" customFormat="1"/>
    <row r="74" s="186" customFormat="1"/>
    <row r="75" s="186" customFormat="1"/>
    <row r="76" s="186" customFormat="1"/>
    <row r="77" s="186" customFormat="1"/>
    <row r="78" s="186" customFormat="1"/>
    <row r="79" s="186" customFormat="1"/>
    <row r="80"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c r="C95" s="423" t="s">
        <v>78</v>
      </c>
    </row>
    <row r="96" spans="3:3" s="186" customFormat="1">
      <c r="C96" s="423" t="s">
        <v>79</v>
      </c>
    </row>
    <row r="97" s="186" customFormat="1"/>
    <row r="98" s="186" customFormat="1"/>
    <row r="99" s="186" customFormat="1"/>
    <row r="100" s="186" customFormat="1"/>
    <row r="101" s="186" customFormat="1"/>
    <row r="102" s="186" customFormat="1"/>
    <row r="103" s="186" customFormat="1"/>
    <row r="104" s="186" customFormat="1"/>
    <row r="105" s="186" customFormat="1"/>
    <row r="106" s="186" customFormat="1"/>
    <row r="107" s="186" customFormat="1"/>
    <row r="108" s="186" customFormat="1"/>
    <row r="109" s="186" customFormat="1"/>
    <row r="110" s="186" customFormat="1"/>
    <row r="111" s="186" customFormat="1"/>
    <row r="112"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sheetData>
  <mergeCells count="4">
    <mergeCell ref="C49:G49"/>
    <mergeCell ref="C46:H46"/>
    <mergeCell ref="C47:H47"/>
    <mergeCell ref="C48:G48"/>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796875" defaultRowHeight="14.5"/>
  <cols>
    <col min="1" max="1" width="2.453125" style="184" customWidth="1"/>
    <col min="2" max="2" width="3.54296875" style="184" customWidth="1"/>
    <col min="3" max="3" width="9.81640625" style="184" customWidth="1"/>
    <col min="4" max="4" width="33.1796875" style="184" customWidth="1"/>
    <col min="5" max="5" width="70.1796875" style="184" bestFit="1" customWidth="1"/>
    <col min="6" max="6" width="12.54296875" style="184" customWidth="1"/>
    <col min="7" max="7" width="11.54296875" style="184" customWidth="1"/>
    <col min="8" max="8" width="13.453125" bestFit="1" customWidth="1"/>
    <col min="9" max="9" width="10.453125" bestFit="1" customWidth="1"/>
    <col min="11" max="16384" width="9.179687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Utilização condicionada das dotações orçamentais do OE 2022</v>
      </c>
      <c r="D2" s="51"/>
      <c r="E2" s="51"/>
      <c r="F2" s="51"/>
      <c r="K2"/>
    </row>
    <row r="3" spans="2:12" s="186" customFormat="1" ht="30" customHeight="1">
      <c r="B3" s="183"/>
      <c r="C3" s="185"/>
      <c r="D3" s="185"/>
      <c r="H3"/>
      <c r="I3"/>
      <c r="J3"/>
      <c r="K3"/>
    </row>
    <row r="4" spans="2:12" s="186" customFormat="1" ht="15" customHeight="1">
      <c r="B4" s="183"/>
      <c r="C4" s="683" t="str">
        <f>IF(Indice_index!$Z$1=1,"Período: agosto","Period: August")</f>
        <v>Período: agosto</v>
      </c>
      <c r="D4" s="684"/>
      <c r="E4" s="685"/>
      <c r="F4" s="686"/>
      <c r="G4" s="686" t="str">
        <f>IF(Indice_index!$Z$1=1,"€ Milhões","€ Millions")</f>
        <v>€ Milhões</v>
      </c>
      <c r="H4"/>
      <c r="I4"/>
      <c r="J4"/>
      <c r="K4"/>
    </row>
    <row r="5" spans="2:12" s="186" customFormat="1">
      <c r="C5" s="1786" t="str">
        <f>IF(Indice_index!$Z$1=1,"Ministério","Ministry")</f>
        <v>Ministério</v>
      </c>
      <c r="D5" s="1786" t="str">
        <f>IF(Indice_index!$Z$1=1,"Programa Orçamental","Budgetary program")</f>
        <v>Programa Orçamental</v>
      </c>
      <c r="E5" s="1786" t="str">
        <f>IF(Indice_index!$Z$1=1,"Medida","Measure")</f>
        <v>Medida</v>
      </c>
      <c r="F5" s="1782">
        <v>2022</v>
      </c>
      <c r="G5" s="1782"/>
      <c r="H5"/>
      <c r="I5"/>
      <c r="J5"/>
      <c r="K5"/>
    </row>
    <row r="6" spans="2:12" s="186" customFormat="1" ht="30" customHeight="1">
      <c r="C6" s="1787"/>
      <c r="D6" s="1787"/>
      <c r="E6" s="1787"/>
      <c r="F6" s="687" t="str">
        <f>IF(Indice_index!$Z$1=1,"Cativos iniciais","Initial frozen allocations")</f>
        <v>Cativos iniciais</v>
      </c>
      <c r="G6" s="688" t="str">
        <f>IF(Indice_index!$Z$1=1,"Cativos atuais","Current frozen allocations")</f>
        <v>Cativos atuais</v>
      </c>
      <c r="H6"/>
      <c r="I6"/>
      <c r="J6"/>
      <c r="K6"/>
    </row>
    <row r="7" spans="2:12" s="186" customFormat="1">
      <c r="C7" s="1788"/>
      <c r="D7" s="1788"/>
      <c r="E7" s="1788"/>
      <c r="F7" s="689" t="s">
        <v>65</v>
      </c>
      <c r="G7" s="690" t="s">
        <v>64</v>
      </c>
      <c r="H7"/>
      <c r="I7"/>
      <c r="J7"/>
      <c r="K7"/>
    </row>
    <row r="8" spans="2:12" s="186" customFormat="1" ht="15" customHeight="1">
      <c r="C8" s="691" t="str">
        <f>IF(Indice_index!$Z$1=1,"EGE","GCS")</f>
        <v>EGE</v>
      </c>
      <c r="D8" s="691" t="str">
        <f>IF(Indice_index!$Z$1=1,"P001 - Órgãos de Soberania","P001 - Sovereignty Entities")</f>
        <v>P001 - Órgãos de Soberania</v>
      </c>
      <c r="E8" s="692" t="str">
        <f>IF(Indice_index!$Z$1=1,"001 - Serv. Gerais da A.P. - Administração geral","001 - General public services - General Administration")</f>
        <v>001 - Serv. Gerais da A.P. - Administração geral</v>
      </c>
      <c r="F8" s="676">
        <v>9.0237379999999998</v>
      </c>
      <c r="G8" s="676">
        <v>0.39851900000000001</v>
      </c>
      <c r="H8"/>
      <c r="I8"/>
      <c r="J8"/>
      <c r="K8" s="438"/>
      <c r="L8" s="438"/>
    </row>
    <row r="9" spans="2:12" s="186" customFormat="1" ht="15" customHeight="1">
      <c r="C9" s="691"/>
      <c r="D9" s="691"/>
      <c r="E9" s="692" t="str">
        <f>IF(Indice_index!$Z$1=1,"012 - Segurança e ordem públicas - Sistema judiciário","012 - Public safety and order - Judicial system")</f>
        <v>012 - Segurança e ordem públicas - Sistema judiciário</v>
      </c>
      <c r="F9" s="677">
        <v>2.5152519999999998</v>
      </c>
      <c r="G9" s="677">
        <v>1.7703770000000001</v>
      </c>
      <c r="H9"/>
      <c r="I9"/>
      <c r="J9"/>
      <c r="K9" s="438"/>
      <c r="L9" s="438"/>
    </row>
    <row r="10" spans="2:12" s="186" customFormat="1" ht="15" customHeight="1">
      <c r="C10" s="691"/>
      <c r="D10" s="693"/>
      <c r="E10" s="692" t="str">
        <f>IF(Indice_index!$Z$1=1,"038 - Serviços culturais, recreativos e religiosos - Comunicação social","038 - Cultural, recreational and religious services - Media")</f>
        <v>038 - Serviços culturais, recreativos e religiosos - Comunicação social</v>
      </c>
      <c r="F10" s="677">
        <v>0.31443700000000002</v>
      </c>
      <c r="G10" s="677">
        <v>0</v>
      </c>
      <c r="H10"/>
      <c r="I10"/>
      <c r="J10"/>
      <c r="K10" s="438"/>
      <c r="L10" s="438"/>
    </row>
    <row r="11" spans="2:12" s="186" customFormat="1" ht="15" customHeight="1">
      <c r="C11" s="693"/>
      <c r="D11" s="694"/>
      <c r="E11" s="695" t="str">
        <f>D8</f>
        <v>P001 - Órgãos de Soberania</v>
      </c>
      <c r="F11" s="678">
        <f>SUM(F8:F10)</f>
        <v>11.853427</v>
      </c>
      <c r="G11" s="678">
        <f>SUM(G8:G10)</f>
        <v>2.1688960000000002</v>
      </c>
      <c r="H11"/>
      <c r="I11"/>
      <c r="J11"/>
      <c r="K11" s="438"/>
      <c r="L11" s="438"/>
    </row>
    <row r="12" spans="2:12" s="186" customFormat="1" ht="15" customHeight="1">
      <c r="C12" s="691" t="str">
        <f>IF(Indice_index!$Z$1=1,"PCM","PRP")</f>
        <v>PCM</v>
      </c>
      <c r="D12" s="691" t="str">
        <f>IF(Indice_index!$Z$1=1,"P002 - Governação","P002 - Government")</f>
        <v>P002 - Governação</v>
      </c>
      <c r="E12" s="692" t="str">
        <f>IF(Indice_index!$Z$1=1,"001 - Serv. Gerais da A.P. - Administração geral","001 - General public services - General Administration")</f>
        <v>001 - Serv. Gerais da A.P. - Administração geral</v>
      </c>
      <c r="F12" s="676">
        <v>10.137259</v>
      </c>
      <c r="G12" s="676">
        <v>8.7741430000000005</v>
      </c>
      <c r="H12"/>
      <c r="I12"/>
      <c r="J12"/>
      <c r="K12" s="438"/>
      <c r="L12" s="438"/>
    </row>
    <row r="13" spans="2:12" s="186" customFormat="1" ht="15" customHeight="1">
      <c r="C13" s="691"/>
      <c r="D13" s="691"/>
      <c r="E13" s="692" t="str">
        <f>IF(Indice_index!$Z$1=1,"011 - Segurança e ordem públicas - Forças de segurança","011 - Public safety and order - Security forces")</f>
        <v>011 - Segurança e ordem públicas - Forças de segurança</v>
      </c>
      <c r="F13" s="677">
        <v>1.2654069999999999</v>
      </c>
      <c r="G13" s="677">
        <v>0</v>
      </c>
      <c r="H13"/>
      <c r="I13"/>
      <c r="J13"/>
      <c r="K13" s="438"/>
      <c r="L13" s="438"/>
    </row>
    <row r="14" spans="2:12" s="186" customFormat="1" ht="15" customHeight="1">
      <c r="C14" s="691"/>
      <c r="D14" s="691"/>
      <c r="E14" s="692" t="str">
        <f>IF(Indice_index!$Z$1=1,"015 - Educação - Administração e regulamentação","015 - Education - Administration and regulations")</f>
        <v>015 - Educação - Administração e regulamentação</v>
      </c>
      <c r="F14" s="677">
        <v>3.8328000000000001E-2</v>
      </c>
      <c r="G14" s="677">
        <v>3.8328000000000001E-2</v>
      </c>
      <c r="H14"/>
      <c r="I14"/>
      <c r="J14"/>
      <c r="K14" s="438"/>
      <c r="L14" s="438"/>
    </row>
    <row r="15" spans="2:12" s="186" customFormat="1" ht="15" customHeight="1">
      <c r="C15" s="691"/>
      <c r="D15" s="691"/>
      <c r="E15" s="692" t="str">
        <f>IF(Indice_index!$Z$1=1,"024 - Segurança e acção social - Administração e regulamentação","024 - Social Security and Action - Administration and regulations")</f>
        <v>024 - Segurança e acção social - Administração e regulamentação</v>
      </c>
      <c r="F15" s="677">
        <v>2.5396999999999999E-2</v>
      </c>
      <c r="G15" s="677">
        <v>2.5396999999999999E-2</v>
      </c>
      <c r="H15"/>
      <c r="I15"/>
      <c r="J15"/>
      <c r="K15" s="438"/>
      <c r="L15" s="438"/>
    </row>
    <row r="16" spans="2:12" s="186" customFormat="1" ht="15" customHeight="1">
      <c r="C16" s="691"/>
      <c r="D16" s="691"/>
      <c r="E16" s="692" t="str">
        <f>IF(Indice_index!$Z$1=1,"027 - Segurança e acção social - Acção social","027 - Social Security and Action - Social Action")</f>
        <v>027 - Segurança e acção social - Acção social</v>
      </c>
      <c r="F16" s="677">
        <v>4.1508580000000004</v>
      </c>
      <c r="G16" s="677">
        <v>1.291582</v>
      </c>
      <c r="H16"/>
      <c r="I16"/>
      <c r="J16"/>
      <c r="K16" s="438"/>
      <c r="L16" s="438"/>
    </row>
    <row r="17" spans="3:12" s="186" customFormat="1" ht="15" customHeight="1">
      <c r="C17" s="691"/>
      <c r="D17" s="691"/>
      <c r="E17" s="692" t="str">
        <f>IF(Indice_index!$Z$1=1,"037 - Serviços Culturais, Recreativos E Religiosos - Desporto, Recreio e Lazer","037 - Cultural, recreational and religious services - Sports, recreation and leisure")</f>
        <v>037 - Serviços Culturais, Recreativos E Religiosos - Desporto, Recreio e Lazer</v>
      </c>
      <c r="F17" s="677">
        <v>0.74811000000000005</v>
      </c>
      <c r="G17" s="677">
        <v>0.74811000000000005</v>
      </c>
      <c r="H17"/>
      <c r="I17"/>
      <c r="J17"/>
      <c r="K17" s="438"/>
      <c r="L17" s="438"/>
    </row>
    <row r="18" spans="3:12" s="186" customFormat="1" ht="15" customHeight="1">
      <c r="C18" s="691"/>
      <c r="D18" s="691"/>
      <c r="E18" s="692" t="str">
        <f>IF(Indice_index!$Z$1=1,"063 - Outras funções económicas - Administração e regulamentação","063 - Outher economic functions - Administration e regulation")</f>
        <v>063 - Outras funções económicas - Administração e regulamentação</v>
      </c>
      <c r="F18" s="677">
        <v>1.869996</v>
      </c>
      <c r="G18" s="677">
        <v>0.464528</v>
      </c>
      <c r="H18"/>
      <c r="I18"/>
      <c r="J18"/>
      <c r="K18" s="438"/>
      <c r="L18" s="438"/>
    </row>
    <row r="19" spans="3:12" s="186" customFormat="1" ht="15" customHeight="1">
      <c r="C19" s="691"/>
      <c r="D19" s="691"/>
      <c r="E19" s="692" t="str">
        <f>IF(Indice_index!$Z$1=1,"101 - Plano Nacional de Gestão Integrada de Fogos Rurais","101 - National Plan on Integrated Rural Fire Management")</f>
        <v>101 - Plano Nacional de Gestão Integrada de Fogos Rurais</v>
      </c>
      <c r="F19" s="677">
        <v>2.6169519999999999</v>
      </c>
      <c r="G19" s="677">
        <v>2.6169519999999999</v>
      </c>
      <c r="H19"/>
      <c r="I19"/>
      <c r="J19"/>
      <c r="K19" s="438"/>
      <c r="L19" s="438"/>
    </row>
    <row r="20" spans="3:12" s="186" customFormat="1" ht="15" customHeight="1">
      <c r="C20" s="693"/>
      <c r="D20" s="694"/>
      <c r="E20" s="696" t="str">
        <f>C12</f>
        <v>PCM</v>
      </c>
      <c r="F20" s="678">
        <f>SUM(F12:F19)</f>
        <v>20.852307000000003</v>
      </c>
      <c r="G20" s="678">
        <f>SUM(G12:G19)</f>
        <v>13.95904</v>
      </c>
      <c r="H20"/>
      <c r="I20"/>
      <c r="J20"/>
      <c r="K20" s="438"/>
      <c r="L20" s="438"/>
    </row>
    <row r="21" spans="3:12" s="186" customFormat="1" ht="15" customHeight="1">
      <c r="C21" s="693" t="str">
        <f>IF(Indice_index!$Z$1=1,"MCT","MTC")</f>
        <v>MCT</v>
      </c>
      <c r="D21" s="691" t="str">
        <f>IF(Indice_index!$Z$1=1,"P002 - Governação","P002 - Government")</f>
        <v>P002 - Governação</v>
      </c>
      <c r="E21" s="692" t="str">
        <f>IF(Indice_index!$Z$1=1,"001 - Serv. Gerais da A.P. - Administração geral","001 - General public services - General Administration")</f>
        <v>001 - Serv. Gerais da A.P. - Administração geral</v>
      </c>
      <c r="F21" s="677">
        <v>0.69631500000000002</v>
      </c>
      <c r="G21" s="677">
        <v>0.70131500000000002</v>
      </c>
      <c r="H21"/>
      <c r="I21"/>
      <c r="J21"/>
      <c r="K21" s="438"/>
      <c r="L21" s="438"/>
    </row>
    <row r="22" spans="3:12" s="186" customFormat="1" ht="15" customHeight="1">
      <c r="C22" s="693"/>
      <c r="D22" s="691"/>
      <c r="E22" s="697" t="str">
        <f>IF(Indice_index!$Z$1=1,"028 - Habitação e serv. Colectivos - Administração e regulamentação","028 - Housing and Common services - Administration and regulations")</f>
        <v>028 - Habitação e serv. Colectivos - Administração e regulamentação</v>
      </c>
      <c r="F22" s="677">
        <v>3.157985</v>
      </c>
      <c r="G22" s="677">
        <v>3.1657850000000001</v>
      </c>
      <c r="H22"/>
      <c r="I22"/>
      <c r="J22"/>
      <c r="K22" s="438"/>
      <c r="L22" s="438"/>
    </row>
    <row r="23" spans="3:12" s="186" customFormat="1" ht="15" customHeight="1">
      <c r="C23" s="693"/>
      <c r="D23" s="691"/>
      <c r="E23" s="697" t="str">
        <f>IF(Indice_index!$Z$1=1,"031 - Habitação e serv. Colectivos - Ordenamento do território","031 - Housing and Common services - Land-use")</f>
        <v>031 - Habitação e serv. Colectivos - Ordenamento do território</v>
      </c>
      <c r="F23" s="677">
        <v>0.95013700000000001</v>
      </c>
      <c r="G23" s="677">
        <v>0.95013700000000001</v>
      </c>
      <c r="H23"/>
      <c r="I23"/>
      <c r="J23"/>
      <c r="K23" s="438"/>
      <c r="L23" s="438"/>
    </row>
    <row r="24" spans="3:12" s="186" customFormat="1" ht="15" customHeight="1">
      <c r="C24" s="693"/>
      <c r="D24" s="691"/>
      <c r="E24" s="697"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677">
        <v>7.8246999999999997E-2</v>
      </c>
      <c r="G24" s="677">
        <v>7.8246999999999997E-2</v>
      </c>
      <c r="H24"/>
      <c r="I24"/>
      <c r="J24"/>
      <c r="K24" s="438"/>
      <c r="L24" s="438"/>
    </row>
    <row r="25" spans="3:12" s="186" customFormat="1" ht="15" customHeight="1">
      <c r="C25" s="693"/>
      <c r="D25" s="691"/>
      <c r="E25" s="697" t="str">
        <f>IF(Indice_index!$Z$1=1,"063 - Outras funções económicas - Administração e regulamentação","063 - Outher economic functions - Administration e regulation")</f>
        <v>063 - Outras funções económicas - Administração e regulamentação</v>
      </c>
      <c r="F25" s="677">
        <v>0.27668999999999999</v>
      </c>
      <c r="G25" s="677">
        <v>0.27668999999999999</v>
      </c>
      <c r="H25"/>
      <c r="I25"/>
      <c r="J25"/>
      <c r="K25" s="438"/>
      <c r="L25" s="438"/>
    </row>
    <row r="26" spans="3:12" s="186" customFormat="1" ht="15" customHeight="1">
      <c r="C26" s="693"/>
      <c r="D26" s="698"/>
      <c r="E26" s="696" t="str">
        <f>C21</f>
        <v>MCT</v>
      </c>
      <c r="F26" s="678">
        <f>SUM(F21:F25)</f>
        <v>5.1593740000000006</v>
      </c>
      <c r="G26" s="678">
        <f>SUM(G21:G25)</f>
        <v>5.1721740000000009</v>
      </c>
      <c r="H26"/>
      <c r="I26"/>
      <c r="J26"/>
      <c r="K26" s="438"/>
      <c r="L26" s="438"/>
    </row>
    <row r="27" spans="3:12" s="186" customFormat="1" ht="15" customHeight="1">
      <c r="C27" s="693"/>
      <c r="D27" s="694"/>
      <c r="E27" s="699" t="str">
        <f>D21</f>
        <v>P002 - Governação</v>
      </c>
      <c r="F27" s="678">
        <f>SUM(F20,F26)</f>
        <v>26.011681000000003</v>
      </c>
      <c r="G27" s="678">
        <f>SUM(G20,G26)</f>
        <v>19.131214</v>
      </c>
      <c r="H27"/>
      <c r="I27"/>
      <c r="J27"/>
      <c r="K27" s="438"/>
      <c r="L27" s="438"/>
    </row>
    <row r="28" spans="3:12" s="186" customFormat="1" ht="15" customHeight="1">
      <c r="C28" s="693" t="str">
        <f>IF(Indice_index!$Z$1=1,"MNE","MFA")</f>
        <v>MNE</v>
      </c>
      <c r="D28" s="691" t="str">
        <f>IF(Indice_index!$Z$1=1,"P003 - Representação Externa","P003 - Foreign Affairs")</f>
        <v>P003 - Representação Externa</v>
      </c>
      <c r="E28" s="692" t="str">
        <f>IF(Indice_index!$Z$1=1,"002 - Serv. Gerais da A.P. - Negócios estrangeiros","002 - General public services - Foreign affairs")</f>
        <v>002 - Serv. Gerais da A.P. - Negócios estrangeiros</v>
      </c>
      <c r="F28" s="676">
        <v>22.226942000000001</v>
      </c>
      <c r="G28" s="676">
        <v>22.410094000000001</v>
      </c>
      <c r="H28"/>
      <c r="I28"/>
      <c r="J28"/>
      <c r="K28" s="438"/>
      <c r="L28" s="438"/>
    </row>
    <row r="29" spans="3:12" s="186" customFormat="1" ht="15" customHeight="1">
      <c r="C29" s="693"/>
      <c r="D29" s="691"/>
      <c r="E29" s="692" t="str">
        <f>IF(Indice_index!$Z$1=1,"003 - Serv. Gerais da A.P. - Cooperação económica externa","003 - General public services - External economic cooperation")</f>
        <v>003 - Serv. Gerais da A.P. - Cooperação económica externa</v>
      </c>
      <c r="F29" s="677">
        <v>9.4118999999999994E-2</v>
      </c>
      <c r="G29" s="677">
        <v>9.4118999999999994E-2</v>
      </c>
      <c r="H29"/>
      <c r="I29"/>
      <c r="J29"/>
      <c r="K29" s="438"/>
      <c r="L29" s="438"/>
    </row>
    <row r="30" spans="3:12" s="186" customFormat="1" ht="15" customHeight="1">
      <c r="C30" s="693"/>
      <c r="D30" s="691"/>
      <c r="E30" s="692" t="str">
        <f>IF(Indice_index!$Z$1=1,"065 - Outras funções económicas - Diversas não especificadas","065 - Other economic functions - Various unspecified")</f>
        <v>065 - Outras funções económicas - Diversas não especificadas</v>
      </c>
      <c r="F30" s="677">
        <v>7.2282529999999996</v>
      </c>
      <c r="G30" s="677">
        <v>7.2282529999999996</v>
      </c>
      <c r="H30"/>
      <c r="I30"/>
      <c r="J30"/>
      <c r="K30" s="438"/>
      <c r="L30" s="438"/>
    </row>
    <row r="31" spans="3:12" s="186" customFormat="1" ht="15" customHeight="1">
      <c r="C31" s="693"/>
      <c r="D31" s="694"/>
      <c r="E31" s="699" t="str">
        <f>D28</f>
        <v>P003 - Representação Externa</v>
      </c>
      <c r="F31" s="678">
        <f>SUM(F28:F30)</f>
        <v>29.549313999999999</v>
      </c>
      <c r="G31" s="678">
        <f>SUM(G28:G30)</f>
        <v>29.732465999999999</v>
      </c>
      <c r="H31"/>
      <c r="I31"/>
      <c r="J31"/>
      <c r="K31" s="438"/>
      <c r="L31" s="438"/>
    </row>
    <row r="32" spans="3:12" s="186" customFormat="1" ht="15" customHeight="1">
      <c r="C32" s="693" t="str">
        <f>IF(Indice_index!$Z$1=1,"MDN","MND")</f>
        <v>MDN</v>
      </c>
      <c r="D32" s="691" t="str">
        <f>IF(Indice_index!$Z$1=1,"P004 - Defesa","P004 - Defence")</f>
        <v>P004 - Defesa</v>
      </c>
      <c r="E32" s="692" t="str">
        <f>IF(Indice_index!$Z$1=1,"004 - Serv. Gerais da A.P. - Investigação científica de carácter geral","004 - General public services - General scientific research")</f>
        <v>004 - Serv. Gerais da A.P. - Investigação científica de carácter geral</v>
      </c>
      <c r="F32" s="676">
        <v>1.0714E-2</v>
      </c>
      <c r="G32" s="676">
        <v>1.0715000000000001E-2</v>
      </c>
      <c r="H32"/>
      <c r="I32"/>
      <c r="J32"/>
      <c r="K32" s="438"/>
      <c r="L32" s="438"/>
    </row>
    <row r="33" spans="3:12" s="186" customFormat="1" ht="15" customHeight="1">
      <c r="C33" s="693"/>
      <c r="D33" s="691"/>
      <c r="E33" s="692" t="str">
        <f>IF(Indice_index!$Z$1=1,"005 - Defesa Nacional - Administração e regulamentação","005 - National Defence - Administration and regulations")</f>
        <v>005 - Defesa Nacional - Administração e regulamentação</v>
      </c>
      <c r="F33" s="677">
        <v>6.2403370000000002</v>
      </c>
      <c r="G33" s="677">
        <v>6.52081</v>
      </c>
      <c r="H33"/>
      <c r="I33"/>
      <c r="J33"/>
      <c r="K33" s="438"/>
      <c r="L33" s="438"/>
    </row>
    <row r="34" spans="3:12" s="186" customFormat="1" ht="15" customHeight="1">
      <c r="C34" s="693"/>
      <c r="D34" s="691"/>
      <c r="E34" s="692" t="str">
        <f>IF(Indice_index!$Z$1=1,"006 - Defesa Nacional - Investigação","006 - National Defence - Research")</f>
        <v>006 - Defesa Nacional - Investigação</v>
      </c>
      <c r="F34" s="677">
        <v>0.130353</v>
      </c>
      <c r="G34" s="677">
        <v>0.130353</v>
      </c>
      <c r="H34"/>
      <c r="I34"/>
      <c r="J34"/>
      <c r="K34" s="438"/>
      <c r="L34" s="438"/>
    </row>
    <row r="35" spans="3:12" s="186" customFormat="1" ht="15" customHeight="1">
      <c r="C35" s="693"/>
      <c r="D35" s="691"/>
      <c r="E35" s="692" t="str">
        <f>IF(Indice_index!$Z$1=1,"007 - Defesa Nacional - Forças Armadas","007 - National Defence - Armed Forces")</f>
        <v>007 - Defesa Nacional - Forças Armadas</v>
      </c>
      <c r="F35" s="677">
        <v>48.405886000000002</v>
      </c>
      <c r="G35" s="677">
        <v>23.08084865</v>
      </c>
      <c r="H35"/>
      <c r="I35"/>
      <c r="J35"/>
      <c r="K35" s="438"/>
      <c r="L35" s="438"/>
    </row>
    <row r="36" spans="3:12" s="186" customFormat="1" ht="15" customHeight="1">
      <c r="C36" s="693"/>
      <c r="D36" s="691"/>
      <c r="E36" s="692" t="str">
        <f>IF(Indice_index!$Z$1=1,"008 - Defesa Nacional - Cooperação militar externa","008 - National Defence - Foreign military cooperation")</f>
        <v>008 - Defesa Nacional - Cooperação militar externa</v>
      </c>
      <c r="F36" s="677">
        <v>1.2456970000000001</v>
      </c>
      <c r="G36" s="677">
        <v>1.269862</v>
      </c>
      <c r="H36"/>
      <c r="I36"/>
      <c r="J36"/>
      <c r="K36" s="438"/>
      <c r="L36" s="438"/>
    </row>
    <row r="37" spans="3:12" s="186" customFormat="1" ht="15" customHeight="1">
      <c r="C37" s="693"/>
      <c r="D37" s="691"/>
      <c r="E37" s="692" t="str">
        <f>IF(Indice_index!$Z$1=1,"014 - Segurança e ordem públicas - Protecção civil e luta contra incêndios","014 - Public safety and order - Civil Protection and  fire fighting")</f>
        <v>014 - Segurança e ordem públicas - Protecção civil e luta contra incêndios</v>
      </c>
      <c r="F37" s="677">
        <v>14.449267000000001</v>
      </c>
      <c r="G37" s="677">
        <v>4.710731</v>
      </c>
      <c r="H37"/>
      <c r="I37"/>
      <c r="J37"/>
      <c r="K37" s="438"/>
      <c r="L37" s="438"/>
    </row>
    <row r="38" spans="3:12" s="186" customFormat="1" ht="15" customHeight="1">
      <c r="C38" s="693"/>
      <c r="D38" s="691"/>
      <c r="E38" s="692" t="str">
        <f>IF(Indice_index!$Z$1=1,"017 - Educação - Estabelecimentos de ensino não superior","017 - Education - Non higher educations institutions")</f>
        <v>017 - Educação - Estabelecimentos de ensino não superior</v>
      </c>
      <c r="F38" s="677">
        <v>0.14027500000000001</v>
      </c>
      <c r="G38" s="677">
        <v>1.5275E-2</v>
      </c>
      <c r="H38"/>
      <c r="I38"/>
      <c r="J38"/>
      <c r="K38" s="438"/>
      <c r="L38" s="438"/>
    </row>
    <row r="39" spans="3:12" s="186" customFormat="1" ht="15" customHeight="1">
      <c r="C39" s="693"/>
      <c r="D39" s="691"/>
      <c r="E39" s="692" t="str">
        <f>IF(Indice_index!$Z$1=1,"018 - Educação - Estabelecimentos de ensino superior","018 - Education - Higher educations institutions")</f>
        <v>018 - Educação - Estabelecimentos de ensino superior</v>
      </c>
      <c r="F39" s="677">
        <v>1.5900000000000001E-2</v>
      </c>
      <c r="G39" s="677">
        <v>1.5900000000000001E-2</v>
      </c>
      <c r="H39"/>
      <c r="I39"/>
      <c r="J39"/>
      <c r="K39" s="438"/>
      <c r="L39" s="438"/>
    </row>
    <row r="40" spans="3:12" s="186" customFormat="1" ht="15" customHeight="1">
      <c r="C40" s="693"/>
      <c r="D40" s="691"/>
      <c r="E40" s="692" t="str">
        <f>IF(Indice_index!$Z$1=1,"022 - Saúde - Hospitais e clínicas","022 - Health - Hospitals and clinics")</f>
        <v>022 - Saúde - Hospitais e clínicas</v>
      </c>
      <c r="F40" s="677">
        <v>0.205013</v>
      </c>
      <c r="G40" s="677">
        <v>0.205013</v>
      </c>
      <c r="H40"/>
      <c r="I40"/>
      <c r="J40"/>
      <c r="K40" s="438"/>
      <c r="L40" s="438"/>
    </row>
    <row r="41" spans="3:12" s="186" customFormat="1" ht="15" customHeight="1">
      <c r="C41" s="693"/>
      <c r="D41" s="691"/>
      <c r="E41" s="697" t="str">
        <f>IF(Indice_index!$Z$1=1,"027 - Segurança e acção social - Acção social","027 - Social Security and Action - Social Action")</f>
        <v>027 - Segurança e acção social - Acção social</v>
      </c>
      <c r="F41" s="677">
        <v>1.487079</v>
      </c>
      <c r="G41" s="677">
        <v>0.1</v>
      </c>
      <c r="H41"/>
      <c r="I41"/>
      <c r="J41"/>
      <c r="K41" s="438"/>
      <c r="L41" s="438"/>
    </row>
    <row r="42" spans="3:12" s="186" customFormat="1" ht="15" customHeight="1">
      <c r="C42" s="693"/>
      <c r="D42" s="691"/>
      <c r="E42" s="692" t="str">
        <f>IF(Indice_index!$Z$1=1,"049 - Industria e energia - Indústrias transformadoras","049 - Industry and energy - Manufacturing industries")</f>
        <v>049 - Industria e energia - Indústrias transformadoras</v>
      </c>
      <c r="F42" s="677">
        <v>7.4807269999999999</v>
      </c>
      <c r="G42" s="677">
        <v>0</v>
      </c>
      <c r="H42"/>
      <c r="I42"/>
      <c r="J42"/>
      <c r="K42" s="438"/>
      <c r="L42" s="438"/>
    </row>
    <row r="43" spans="3:12" s="186" customFormat="1" ht="15" customHeight="1">
      <c r="C43" s="693"/>
      <c r="D43" s="694"/>
      <c r="E43" s="699" t="str">
        <f>D32</f>
        <v>P004 - Defesa</v>
      </c>
      <c r="F43" s="679">
        <f>SUM(F32:F42)</f>
        <v>79.811248000000006</v>
      </c>
      <c r="G43" s="679">
        <f>SUM(G32:G42)</f>
        <v>36.059507650000008</v>
      </c>
      <c r="H43"/>
      <c r="I43"/>
      <c r="J43"/>
      <c r="K43" s="438"/>
      <c r="L43" s="438"/>
    </row>
    <row r="44" spans="3:12" s="186" customFormat="1" ht="15" customHeight="1">
      <c r="C44" s="693" t="str">
        <f>IF(Indice_index!$Z$1=1,"MAI","MIA")</f>
        <v>MAI</v>
      </c>
      <c r="D44" s="691" t="str">
        <f>IF(Indice_index!$Z$1=1,"P005 - Segurança Interna","P005 - Internal Security")</f>
        <v>P005 - Segurança Interna</v>
      </c>
      <c r="E44" s="697" t="str">
        <f>IF(Indice_index!$Z$1=1,"009 - Segurança e ordem públicas - Administração e regulamentação","009 - Public safety and order - Administration and regulations")</f>
        <v>009 - Segurança e ordem públicas - Administração e regulamentação</v>
      </c>
      <c r="F44" s="677">
        <v>13.230888</v>
      </c>
      <c r="G44" s="677">
        <v>13.6980895</v>
      </c>
      <c r="H44"/>
      <c r="I44"/>
      <c r="J44"/>
      <c r="K44" s="438"/>
      <c r="L44" s="438"/>
    </row>
    <row r="45" spans="3:12" s="186" customFormat="1" ht="15" customHeight="1">
      <c r="C45" s="693"/>
      <c r="D45" s="691"/>
      <c r="E45" s="700" t="str">
        <f>IF(Indice_index!$Z$1=1,"011 - Segurança e ordem públicas - Forças de segurança","011 - Public safety and order - Security forces")</f>
        <v>011 - Segurança e ordem públicas - Forças de segurança</v>
      </c>
      <c r="F45" s="680">
        <v>24.482011</v>
      </c>
      <c r="G45" s="680">
        <v>24.985327000000002</v>
      </c>
      <c r="H45"/>
      <c r="I45"/>
      <c r="J45"/>
      <c r="K45" s="438"/>
      <c r="L45" s="438"/>
    </row>
    <row r="46" spans="3:12" s="186" customFormat="1" ht="15" customHeight="1">
      <c r="C46" s="693"/>
      <c r="D46" s="691"/>
      <c r="E46" s="700" t="str">
        <f>IF(Indice_index!$Z$1=1,"014 - Segurança e ordem públicas - Protecção civil e luta contra incêndios","014 - Public safety and order - Civil Protection and  fire fighting")</f>
        <v>014 - Segurança e ordem públicas - Protecção civil e luta contra incêndios</v>
      </c>
      <c r="F46" s="680">
        <v>2.0393129999999999</v>
      </c>
      <c r="G46" s="680">
        <v>0.34813300000000003</v>
      </c>
      <c r="H46"/>
      <c r="I46"/>
      <c r="J46"/>
      <c r="K46" s="438"/>
      <c r="L46" s="438"/>
    </row>
    <row r="47" spans="3:12" s="186" customFormat="1" ht="15" customHeight="1">
      <c r="C47" s="693"/>
      <c r="D47" s="691"/>
      <c r="E47" s="697" t="str">
        <f>IF(Indice_index!$Z$1=1,"017 - Educação - Estabelecimentos de ensino não superior","017 - Education - Non higher educations institutions")</f>
        <v>017 - Educação - Estabelecimentos de ensino não superior</v>
      </c>
      <c r="F47" s="677">
        <v>1.343429</v>
      </c>
      <c r="G47" s="677">
        <v>1.353065</v>
      </c>
      <c r="H47"/>
      <c r="I47"/>
      <c r="J47"/>
      <c r="K47" s="438"/>
      <c r="L47" s="438"/>
    </row>
    <row r="48" spans="3:12" s="186" customFormat="1" ht="15" customHeight="1">
      <c r="C48" s="693"/>
      <c r="D48" s="691"/>
      <c r="E48" s="697" t="str">
        <f>IF(Indice_index!$Z$1=1,"018 - Educação - Estabelecimentos de ensino superior","018 - Education - Higher educations institutions")</f>
        <v>018 - Educação - Estabelecimentos de ensino superior</v>
      </c>
      <c r="F48" s="677">
        <v>0.397063</v>
      </c>
      <c r="G48" s="677">
        <v>0.397063</v>
      </c>
      <c r="H48"/>
      <c r="I48"/>
      <c r="J48"/>
      <c r="K48" s="438"/>
      <c r="L48" s="438"/>
    </row>
    <row r="49" spans="3:12" s="186" customFormat="1" ht="15" customHeight="1">
      <c r="C49" s="693"/>
      <c r="D49" s="691"/>
      <c r="E49" s="697" t="str">
        <f>IF(Indice_index!$Z$1=1,"027 - Segurança e acção social - Acção social","027 - Social Security and Action - Social Action")</f>
        <v>027 - Segurança e acção social - Acção social</v>
      </c>
      <c r="F49" s="677">
        <v>2.3443960000000001</v>
      </c>
      <c r="G49" s="677">
        <v>2.4661</v>
      </c>
      <c r="H49"/>
      <c r="I49"/>
      <c r="J49"/>
      <c r="K49" s="438"/>
      <c r="L49" s="438"/>
    </row>
    <row r="50" spans="3:12" s="186" customFormat="1">
      <c r="C50" s="693"/>
      <c r="D50" s="691"/>
      <c r="E50" s="701"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677">
        <v>6.4373500000000003</v>
      </c>
      <c r="G50" s="677">
        <v>6.4373500000000003</v>
      </c>
      <c r="H50"/>
      <c r="I50"/>
      <c r="J50"/>
      <c r="K50" s="438"/>
      <c r="L50" s="438"/>
    </row>
    <row r="51" spans="3:12" s="186" customFormat="1" ht="15" customHeight="1">
      <c r="C51" s="693"/>
      <c r="D51" s="691"/>
      <c r="E51" s="702" t="str">
        <f>IF(Indice_index!$Z$1=1,"089 - Segurança e ordem públicas - LPIEFSS - Veículos","089 - Public safety and order - Infrastructure and equipment planning law for security forces and services - Vehicles")</f>
        <v>089 - Segurança e ordem públicas - LPIEFSS - Veículos</v>
      </c>
      <c r="F51" s="677">
        <v>0.51937500000000003</v>
      </c>
      <c r="G51" s="677">
        <v>0.51937500000000003</v>
      </c>
      <c r="H51"/>
      <c r="I51"/>
      <c r="J51"/>
      <c r="K51" s="438"/>
      <c r="L51" s="438"/>
    </row>
    <row r="52" spans="3:12" s="186" customFormat="1" ht="15" customHeight="1">
      <c r="C52" s="693"/>
      <c r="D52" s="691"/>
      <c r="E52" s="702"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677">
        <v>0.157857</v>
      </c>
      <c r="G52" s="677">
        <v>0.157857</v>
      </c>
      <c r="H52"/>
      <c r="I52"/>
      <c r="J52"/>
      <c r="K52" s="438"/>
      <c r="L52" s="438"/>
    </row>
    <row r="53" spans="3:12" s="186" customFormat="1" ht="15" customHeight="1">
      <c r="C53" s="693"/>
      <c r="D53" s="691"/>
      <c r="E53" s="702"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677">
        <v>0.383463</v>
      </c>
      <c r="G53" s="677">
        <v>0.383463</v>
      </c>
      <c r="H53"/>
      <c r="I53"/>
      <c r="J53"/>
      <c r="K53" s="438"/>
      <c r="L53" s="438"/>
    </row>
    <row r="54" spans="3:12" s="186" customFormat="1" ht="15" customHeight="1">
      <c r="C54" s="693"/>
      <c r="D54" s="691"/>
      <c r="E54" s="697" t="str">
        <f>IF(Indice_index!$Z$1=1,"100 - Iniciativas de  Ação Climática","100 - Climate Action Iniciatives")</f>
        <v>100 - Iniciativas de  Ação Climática</v>
      </c>
      <c r="F54" s="677">
        <v>0.03</v>
      </c>
      <c r="G54" s="677">
        <v>0.03</v>
      </c>
      <c r="H54"/>
      <c r="I54"/>
      <c r="J54"/>
      <c r="K54" s="438"/>
      <c r="L54" s="438"/>
    </row>
    <row r="55" spans="3:12" s="186" customFormat="1" ht="15" customHeight="1">
      <c r="C55" s="693"/>
      <c r="D55" s="691"/>
      <c r="E55" s="697" t="str">
        <f>IF(Indice_index!$Z$1=1,"101 - Plano Nacional de Gestão Integrada de Fogos Rurais","101 - National Plan on Integrated Rural Fire Management")</f>
        <v>101 - Plano Nacional de Gestão Integrada de Fogos Rurais</v>
      </c>
      <c r="F55" s="677">
        <v>0.35473700000000002</v>
      </c>
      <c r="G55" s="677">
        <v>0.35473700000000002</v>
      </c>
      <c r="H55"/>
      <c r="I55"/>
      <c r="J55"/>
      <c r="K55" s="438"/>
      <c r="L55" s="438"/>
    </row>
    <row r="56" spans="3:12" s="186" customFormat="1" ht="15" customHeight="1">
      <c r="C56" s="693"/>
      <c r="D56" s="694"/>
      <c r="E56" s="699" t="str">
        <f>D44</f>
        <v>P005 - Segurança Interna</v>
      </c>
      <c r="F56" s="678">
        <f>SUM(F44:F55)</f>
        <v>51.719882000000005</v>
      </c>
      <c r="G56" s="678">
        <f>SUM(G44:G55)</f>
        <v>51.130559499999997</v>
      </c>
      <c r="H56"/>
      <c r="I56"/>
      <c r="J56"/>
      <c r="K56" s="438"/>
      <c r="L56" s="438"/>
    </row>
    <row r="57" spans="3:12" s="186" customFormat="1" ht="15" customHeight="1">
      <c r="C57" s="693" t="str">
        <f>IF(Indice_index!$Z$1=1,"MJ","MJ")</f>
        <v>MJ</v>
      </c>
      <c r="D57" s="691" t="str">
        <f>IF(Indice_index!$Z$1=1,"P006 - Justiça","P006 - Justice")</f>
        <v>P006 - Justiça</v>
      </c>
      <c r="E57" s="692" t="str">
        <f>IF(Indice_index!$Z$1=1,"001 - Serv. Gerais da A.P. - Administração geral","001 - General public services - General Administration")</f>
        <v>001 - Serv. Gerais da A.P. - Administração geral</v>
      </c>
      <c r="F57" s="676">
        <v>0.59579599999999999</v>
      </c>
      <c r="G57" s="676">
        <v>0.59579599999999999</v>
      </c>
      <c r="H57"/>
      <c r="I57"/>
      <c r="J57"/>
      <c r="K57" s="438"/>
      <c r="L57" s="438"/>
    </row>
    <row r="58" spans="3:12" s="186" customFormat="1" ht="15" customHeight="1">
      <c r="C58" s="693"/>
      <c r="D58" s="691"/>
      <c r="E58" s="697" t="str">
        <f>IF(Indice_index!$Z$1=1,"009 - Segurança e ordem públicas - Administração e regulamentação","009 - Public safety and order - Administration and regulations")</f>
        <v>009 - Segurança e ordem públicas - Administração e regulamentação</v>
      </c>
      <c r="F58" s="677">
        <v>22.532354999999999</v>
      </c>
      <c r="G58" s="677">
        <v>23.075863999999999</v>
      </c>
      <c r="H58"/>
      <c r="I58"/>
      <c r="J58"/>
      <c r="K58" s="438"/>
      <c r="L58" s="438"/>
    </row>
    <row r="59" spans="3:12" s="186" customFormat="1" ht="15" customHeight="1">
      <c r="C59" s="693"/>
      <c r="D59" s="691"/>
      <c r="E59" s="697" t="str">
        <f>IF(Indice_index!$Z$1=1,"010 - Segurança e ordem públicas - Investigação","010 - Public safety and order - Research")</f>
        <v>010 - Segurança e ordem públicas - Investigação</v>
      </c>
      <c r="F59" s="677">
        <v>2.1893850000000001</v>
      </c>
      <c r="G59" s="677">
        <v>2.592311</v>
      </c>
      <c r="H59"/>
      <c r="I59"/>
      <c r="J59"/>
      <c r="K59" s="438"/>
      <c r="L59" s="438"/>
    </row>
    <row r="60" spans="3:12" s="186" customFormat="1" ht="15" customHeight="1">
      <c r="C60" s="693"/>
      <c r="D60" s="691"/>
      <c r="E60" s="697" t="str">
        <f>IF(Indice_index!$Z$1=1,"012 - Segurança e ordem públicas - Sistema judiciário","012 - Public safety and order - Judicial system")</f>
        <v>012 - Segurança e ordem públicas - Sistema judiciário</v>
      </c>
      <c r="F60" s="677">
        <v>13.326938999999999</v>
      </c>
      <c r="G60" s="677">
        <v>13.335504999999999</v>
      </c>
      <c r="H60"/>
      <c r="I60"/>
      <c r="J60"/>
      <c r="K60" s="438"/>
      <c r="L60" s="438"/>
    </row>
    <row r="61" spans="3:12" s="186" customFormat="1" ht="15" customHeight="1">
      <c r="C61" s="693"/>
      <c r="D61" s="691"/>
      <c r="E61" s="697"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677">
        <v>12.256631</v>
      </c>
      <c r="G61" s="677">
        <v>8.1174739999999996</v>
      </c>
      <c r="H61"/>
      <c r="I61"/>
      <c r="J61"/>
      <c r="K61" s="438"/>
      <c r="L61" s="438"/>
    </row>
    <row r="62" spans="3:12" s="186" customFormat="1" ht="15" customHeight="1">
      <c r="C62" s="693"/>
      <c r="D62" s="691"/>
      <c r="E62" s="697" t="str">
        <f>IF(Indice_index!$Z$1=1,"063 - Outras funções económicas - Administração e regulamentação","063 - Outher economic functions - Administration e regulation")</f>
        <v>063 - Outras funções económicas - Administração e regulamentação</v>
      </c>
      <c r="F62" s="677">
        <v>1.4080090000000001</v>
      </c>
      <c r="G62" s="677">
        <v>1.4081589999999999</v>
      </c>
      <c r="H62"/>
      <c r="I62"/>
      <c r="J62"/>
      <c r="K62" s="438"/>
      <c r="L62" s="438"/>
    </row>
    <row r="63" spans="3:12" s="186" customFormat="1" ht="15" customHeight="1">
      <c r="C63" s="693"/>
      <c r="D63" s="691"/>
      <c r="E63" s="697" t="str">
        <f>IF(Indice_index!$Z$1=1,"065 - Outras funções económicas - Diversas não especificadas","065 - Other economic functions - Various unspecified")</f>
        <v>065 - Outras funções económicas - Diversas não especificadas</v>
      </c>
      <c r="F63" s="677">
        <v>0.72763800000000001</v>
      </c>
      <c r="G63" s="677">
        <v>0.72763800000000001</v>
      </c>
      <c r="H63"/>
      <c r="I63"/>
      <c r="J63"/>
      <c r="K63" s="438"/>
      <c r="L63" s="438"/>
    </row>
    <row r="64" spans="3:12" s="186" customFormat="1" ht="15" customHeight="1">
      <c r="C64" s="693"/>
      <c r="D64" s="691"/>
      <c r="E64" s="697" t="str">
        <f>IF(Indice_index!$Z$1=1,"068 - Outras funções - Diversas não especificadas","068 - Other functions - Various unspecified")</f>
        <v>068 - Outras funções - Diversas não especificadas</v>
      </c>
      <c r="F64" s="677">
        <v>3.5666999999999997E-2</v>
      </c>
      <c r="G64" s="677">
        <v>3.5666999999999997E-2</v>
      </c>
      <c r="H64"/>
      <c r="I64"/>
      <c r="J64"/>
      <c r="K64" s="438"/>
      <c r="L64" s="438"/>
    </row>
    <row r="65" spans="3:12" s="186" customFormat="1" ht="15" customHeight="1">
      <c r="C65" s="693"/>
      <c r="D65" s="694"/>
      <c r="E65" s="699" t="str">
        <f>D57</f>
        <v>P006 - Justiça</v>
      </c>
      <c r="F65" s="679">
        <f>SUM(F57:F64)</f>
        <v>53.072419999999994</v>
      </c>
      <c r="G65" s="679">
        <f>SUM(G57:G64)</f>
        <v>49.88841399999999</v>
      </c>
      <c r="H65"/>
      <c r="I65"/>
      <c r="J65"/>
      <c r="K65" s="438"/>
      <c r="L65" s="438"/>
    </row>
    <row r="66" spans="3:12" s="186" customFormat="1" ht="15" customHeight="1">
      <c r="C66" s="693" t="str">
        <f>IF(Indice_index!$Z$1=1,"MF","MF")</f>
        <v>MF</v>
      </c>
      <c r="D66" s="691" t="str">
        <f>IF(Indice_index!$Z$1=1,"P007 - Finanças","P007 - Finance and Public Administration")</f>
        <v>P007 - Finanças</v>
      </c>
      <c r="E66" s="692" t="str">
        <f>IF(Indice_index!$Z$1=1,"001 - Serv. Gerais da A.P. - Administração geral","001 - General public services - General Administration")</f>
        <v>001 - Serv. Gerais da A.P. - Administração geral</v>
      </c>
      <c r="F66" s="676">
        <v>42.404663999999997</v>
      </c>
      <c r="G66" s="676">
        <v>41.947409999999998</v>
      </c>
      <c r="H66"/>
      <c r="I66"/>
      <c r="J66"/>
      <c r="K66" s="438"/>
      <c r="L66" s="438"/>
    </row>
    <row r="67" spans="3:12" s="186" customFormat="1" ht="15" customHeight="1">
      <c r="C67" s="693"/>
      <c r="D67" s="691"/>
      <c r="E67" s="692" t="str">
        <f>IF(Indice_index!$Z$1=1,"003 - Serv. Gerais da A.P. - Cooperação económica externa","003 - General public services - External economic cooperation")</f>
        <v>003 - Serv. Gerais da A.P. - Cooperação económica externa</v>
      </c>
      <c r="F67" s="677">
        <v>7.4005000000000001E-2</v>
      </c>
      <c r="G67" s="677">
        <v>7.4005000000000001E-2</v>
      </c>
      <c r="H67"/>
      <c r="I67"/>
      <c r="J67"/>
      <c r="K67" s="438"/>
      <c r="L67" s="438"/>
    </row>
    <row r="68" spans="3:12" s="186" customFormat="1" ht="15" customHeight="1">
      <c r="C68" s="693"/>
      <c r="D68" s="691"/>
      <c r="E68" s="692" t="str">
        <f>IF(Indice_index!$Z$1=1,"065 - Outras funções económicas - Diversas não especificadas","065 - Other economic functions - Various unspecified")</f>
        <v>065 - Outras funções económicas - Diversas não especificadas</v>
      </c>
      <c r="F68" s="677">
        <v>21.052610000000001</v>
      </c>
      <c r="G68" s="677">
        <v>21.232589000000001</v>
      </c>
      <c r="H68"/>
      <c r="I68"/>
      <c r="J68"/>
      <c r="K68" s="438"/>
      <c r="L68" s="438"/>
    </row>
    <row r="69" spans="3:12" s="186" customFormat="1" ht="15" customHeight="1">
      <c r="C69" s="693"/>
      <c r="D69" s="694"/>
      <c r="E69" s="699" t="str">
        <f>D66</f>
        <v>P007 - Finanças</v>
      </c>
      <c r="F69" s="678">
        <f>SUM(F66:F68)</f>
        <v>63.531278999999998</v>
      </c>
      <c r="G69" s="678">
        <f>SUM(G66:G68)</f>
        <v>63.254003999999995</v>
      </c>
      <c r="H69"/>
      <c r="I69"/>
      <c r="J69"/>
      <c r="K69" s="438"/>
      <c r="L69" s="438"/>
    </row>
    <row r="70" spans="3:12" s="186" customFormat="1" ht="15" customHeight="1">
      <c r="C70" s="693"/>
      <c r="D70" s="703" t="str">
        <f>IF(Indice_index!$Z$1=1,"P008 - Gestão da Dívida Pública","P008 - Public Debt Management")</f>
        <v>P008 - Gestão da Dívida Pública</v>
      </c>
      <c r="E70" s="704" t="str">
        <f>IF(Indice_index!$Z$1=1,"066 - Outras funções - Operações da dívida pública","066 - Other functions - Public debt operations")</f>
        <v>066 - Outras funções - Operações da dívida pública</v>
      </c>
      <c r="F70" s="677">
        <v>0.13</v>
      </c>
      <c r="G70" s="677">
        <v>0.13</v>
      </c>
      <c r="H70"/>
      <c r="I70"/>
      <c r="J70"/>
      <c r="K70" s="438"/>
      <c r="L70" s="438"/>
    </row>
    <row r="71" spans="3:12" s="186" customFormat="1" ht="15" customHeight="1">
      <c r="C71" s="693" t="str">
        <f>IF(Indice_index!$Z$1=1,"MEM","MEM")</f>
        <v>MEM</v>
      </c>
      <c r="D71" s="691" t="str">
        <f>IF(Indice_index!$Z$1=1,"P009 - Economia e Mar","P009 - Economy and Sea")</f>
        <v>P009 - Economia e Mar</v>
      </c>
      <c r="E71" s="697" t="str">
        <f>IF(Indice_index!$Z$1=1,"040 - Agricultura, pecuária, silv, caça, pesca - Administração e regulamentação","040 - Crops, livestock, forestry, fisheries - Administration and regulations")</f>
        <v>040 - Agricultura, pecuária, silv, caça, pesca - Administração e regulamentação</v>
      </c>
      <c r="F71" s="677">
        <v>5.1156920000000001</v>
      </c>
      <c r="G71" s="677">
        <v>0.27216600000000002</v>
      </c>
      <c r="H71"/>
      <c r="I71"/>
      <c r="J71"/>
      <c r="K71" s="438"/>
      <c r="L71" s="438"/>
    </row>
    <row r="72" spans="3:12" s="186" customFormat="1" ht="15" customHeight="1">
      <c r="C72" s="693"/>
      <c r="D72" s="691"/>
      <c r="E72" s="697" t="str">
        <f>IF(Indice_index!$Z$1=1,"061 - Comércio e turismo - Comércio","061 - Trade and tourism - Trade")</f>
        <v>061 - Comércio e turismo - Comércio</v>
      </c>
      <c r="F72" s="677">
        <v>8.8450000000000004E-3</v>
      </c>
      <c r="G72" s="677">
        <v>8.8450000000000004E-3</v>
      </c>
      <c r="H72"/>
      <c r="I72"/>
      <c r="J72"/>
      <c r="K72" s="438"/>
      <c r="L72" s="438"/>
    </row>
    <row r="73" spans="3:12" s="186" customFormat="1" ht="15" customHeight="1">
      <c r="C73" s="693"/>
      <c r="D73" s="691"/>
      <c r="E73" s="697" t="str">
        <f>IF(Indice_index!$Z$1=1,"062 - Comércio e turismo - Turismo","062 - Trade and tourism - Tourism")</f>
        <v>062 - Comércio e turismo - Turismo</v>
      </c>
      <c r="F73" s="677">
        <v>4.3912319999999996</v>
      </c>
      <c r="G73" s="677">
        <v>4.3912319999999996</v>
      </c>
      <c r="H73"/>
      <c r="I73"/>
      <c r="J73"/>
      <c r="K73" s="438"/>
      <c r="L73" s="438"/>
    </row>
    <row r="74" spans="3:12" s="186" customFormat="1" ht="15" customHeight="1">
      <c r="C74" s="693"/>
      <c r="D74" s="691"/>
      <c r="E74" s="697" t="str">
        <f>IF(Indice_index!$Z$1=1,"063 - Outras funções económicas - Administração e regulamentação","063 - Outher economic functions - Administration e regulation")</f>
        <v>063 - Outras funções económicas - Administração e regulamentação</v>
      </c>
      <c r="F74" s="677">
        <v>3.3004570000000002</v>
      </c>
      <c r="G74" s="677">
        <v>3.3004570000000002</v>
      </c>
      <c r="H74"/>
      <c r="I74"/>
      <c r="J74"/>
      <c r="K74" s="438"/>
      <c r="L74" s="438"/>
    </row>
    <row r="75" spans="3:12" s="186" customFormat="1" ht="15" customHeight="1">
      <c r="C75" s="693"/>
      <c r="D75" s="691"/>
      <c r="E75" s="697" t="str">
        <f>IF(Indice_index!$Z$1=1,"065 - Outras funções económicas - Diversas não especificadas","065 - Other economic functions - Various unspecified")</f>
        <v>065 - Outras funções económicas - Diversas não especificadas</v>
      </c>
      <c r="F75" s="677">
        <v>12.732498</v>
      </c>
      <c r="G75" s="677">
        <v>12.732498</v>
      </c>
      <c r="H75"/>
      <c r="I75"/>
      <c r="J75"/>
      <c r="K75" s="438"/>
      <c r="L75" s="438"/>
    </row>
    <row r="76" spans="3:12" s="186" customFormat="1" ht="15" customHeight="1">
      <c r="C76" s="693"/>
      <c r="D76" s="691"/>
      <c r="E76" s="697" t="str">
        <f>IF(Indice_index!$Z$1=1,"083 - Segurança e Ação Social - Integração da pessoa com deficiência","083 - Social Security and Action - Integration of the handicapped person")</f>
        <v>083 - Segurança e Ação Social - Integração da pessoa com deficiência</v>
      </c>
      <c r="F76" s="677">
        <v>1.0859999999999999E-3</v>
      </c>
      <c r="G76" s="677">
        <v>1.0859999999999999E-3</v>
      </c>
      <c r="H76"/>
      <c r="I76"/>
      <c r="J76"/>
      <c r="K76" s="438"/>
      <c r="L76" s="438"/>
    </row>
    <row r="77" spans="3:12" s="186" customFormat="1" ht="15" customHeight="1">
      <c r="C77" s="693"/>
      <c r="D77" s="691"/>
      <c r="E77" s="697" t="str">
        <f>IF(Indice_index!$Z$1=1,"086 - Comércio e Turismo - Imposto especial de jogo","086 - Trade and tourism - Special gambling tax")</f>
        <v>086 - Comércio e Turismo - Imposto especial de jogo</v>
      </c>
      <c r="F77" s="677">
        <v>9.0105819999999994</v>
      </c>
      <c r="G77" s="677">
        <v>9.0105819999999994</v>
      </c>
      <c r="H77"/>
      <c r="I77"/>
      <c r="J77"/>
      <c r="K77" s="438"/>
      <c r="L77" s="438"/>
    </row>
    <row r="78" spans="3:12" s="186" customFormat="1" ht="15" customHeight="1">
      <c r="C78" s="693"/>
      <c r="D78" s="694"/>
      <c r="E78" s="699" t="str">
        <f>D71</f>
        <v>P009 - Economia e Mar</v>
      </c>
      <c r="F78" s="678">
        <f>SUM(F71:F77)</f>
        <v>34.560392</v>
      </c>
      <c r="G78" s="678">
        <f>SUM(G71:G77)</f>
        <v>29.716866</v>
      </c>
      <c r="H78"/>
      <c r="I78"/>
      <c r="J78"/>
      <c r="K78" s="438"/>
      <c r="L78" s="438"/>
    </row>
    <row r="79" spans="3:12" s="186" customFormat="1" ht="15" customHeight="1">
      <c r="C79" s="693" t="str">
        <f>IF(Indice_index!$Z$1=1,"MC","MC")</f>
        <v>MC</v>
      </c>
      <c r="D79" s="691" t="str">
        <f>IF(Indice_index!$Z$1=1,"P010 - Cultura","P010 - Culture")</f>
        <v>P010 - Cultura</v>
      </c>
      <c r="E79" s="697" t="str">
        <f>IF(Indice_index!$Z$1=1,"001 - Serv. Gerais da A.P. - Administração geral","001 - General public services - General Administration")</f>
        <v>001 - Serv. Gerais da A.P. - Administração geral</v>
      </c>
      <c r="F79" s="677">
        <v>8.6223999999999995E-2</v>
      </c>
      <c r="G79" s="677">
        <v>8.6223999999999995E-2</v>
      </c>
      <c r="H79"/>
      <c r="I79"/>
      <c r="J79"/>
      <c r="K79" s="438"/>
      <c r="L79" s="438"/>
    </row>
    <row r="80" spans="3:12" s="186" customFormat="1" ht="15" customHeight="1">
      <c r="C80" s="693"/>
      <c r="D80" s="691"/>
      <c r="E80" s="692" t="str">
        <f>IF(Indice_index!$Z$1=1,"036 - Serviços culturais, recreativos e religiosos - Cultura","036 - Cultural, recreational and religious services - Culture")</f>
        <v>036 - Serviços culturais, recreativos e religiosos - Cultura</v>
      </c>
      <c r="F80" s="677">
        <v>33.237488999999997</v>
      </c>
      <c r="G80" s="677">
        <v>28.803134</v>
      </c>
      <c r="H80"/>
      <c r="I80"/>
      <c r="J80"/>
      <c r="K80" s="438"/>
      <c r="L80" s="438"/>
    </row>
    <row r="81" spans="3:12" s="186" customFormat="1" ht="15" customHeight="1">
      <c r="C81" s="693"/>
      <c r="D81" s="705"/>
      <c r="E81" s="691" t="str">
        <f>D79</f>
        <v>P010 - Cultura</v>
      </c>
      <c r="F81" s="681">
        <f>SUM(F79:F80)</f>
        <v>33.323712999999998</v>
      </c>
      <c r="G81" s="681">
        <f>SUM(G79:G80)</f>
        <v>28.889358000000001</v>
      </c>
      <c r="H81"/>
      <c r="I81"/>
      <c r="J81"/>
      <c r="K81" s="438"/>
      <c r="L81" s="438"/>
    </row>
    <row r="82" spans="3:12" s="186" customFormat="1" ht="15" customHeight="1">
      <c r="C82" s="693"/>
      <c r="D82" s="699"/>
      <c r="E82" s="692" t="str">
        <f>IF(Indice_index!$Z$1=1,"P010 - Cultura, excluindo RTP","P010 - Culture, excluding RTP, the Portuguese public broadcaster")</f>
        <v>P010 - Cultura, excluindo RTP</v>
      </c>
      <c r="F82" s="678">
        <f>F81</f>
        <v>33.323712999999998</v>
      </c>
      <c r="G82" s="678">
        <f>G81</f>
        <v>28.889358000000001</v>
      </c>
      <c r="H82"/>
      <c r="I82"/>
      <c r="J82"/>
      <c r="K82" s="438"/>
      <c r="L82" s="438"/>
    </row>
    <row r="83" spans="3:12" s="186" customFormat="1" ht="15" customHeight="1">
      <c r="C83" s="693" t="str">
        <f>IF(Indice_index!$Z$1=1,"MCTES","MSHE")</f>
        <v>MCTES</v>
      </c>
      <c r="D83" s="706" t="str">
        <f>IF(Indice_index!$Z$1=1,"P011 - Ciência, Tecnologia e Ens. Superior","P011 - Science and Higher Education")</f>
        <v>P011 - Ciência, Tecnologia e Ens. Superior</v>
      </c>
      <c r="E83" s="692" t="str">
        <f>IF(Indice_index!$Z$1=1,"001 - Serv. Gerais da A.P. - Administração geral","001 - General public services - General Administration")</f>
        <v>001 - Serv. Gerais da A.P. - Administração geral</v>
      </c>
      <c r="F83" s="676">
        <v>0.61914499999999995</v>
      </c>
      <c r="G83" s="676">
        <v>0.61914499999999995</v>
      </c>
      <c r="H83"/>
      <c r="I83"/>
      <c r="J83"/>
      <c r="K83" s="438"/>
      <c r="L83" s="438"/>
    </row>
    <row r="84" spans="3:12" s="186" customFormat="1" ht="15" customHeight="1">
      <c r="C84" s="693"/>
      <c r="D84" s="707"/>
      <c r="E84" s="697" t="str">
        <f>IF(Indice_index!$Z$1=1,"004 - Serv. Gerais da A.P. - Investigação científica de carácter geral","004 - General public services - General scientific research")</f>
        <v>004 - Serv. Gerais da A.P. - Investigação científica de carácter geral</v>
      </c>
      <c r="F84" s="677">
        <v>0.65660799999999997</v>
      </c>
      <c r="G84" s="677">
        <v>0.65755656000000007</v>
      </c>
      <c r="H84"/>
      <c r="I84"/>
      <c r="J84"/>
      <c r="K84" s="438"/>
      <c r="L84" s="438"/>
    </row>
    <row r="85" spans="3:12" s="186" customFormat="1" ht="15" customHeight="1">
      <c r="C85" s="693"/>
      <c r="D85" s="691"/>
      <c r="E85" s="697" t="str">
        <f>IF(Indice_index!$Z$1=1,"015 - Educação - Administração e regulamentação","015 - Education - Administration and regulations")</f>
        <v>015 - Educação - Administração e regulamentação</v>
      </c>
      <c r="F85" s="677">
        <v>0.56752499999999995</v>
      </c>
      <c r="G85" s="677">
        <v>0.50559379999999998</v>
      </c>
      <c r="H85"/>
      <c r="I85"/>
      <c r="J85"/>
      <c r="K85" s="438"/>
      <c r="L85" s="438"/>
    </row>
    <row r="86" spans="3:12" s="186" customFormat="1" ht="15" customHeight="1">
      <c r="C86" s="693"/>
      <c r="D86" s="691"/>
      <c r="E86" s="697" t="str">
        <f>IF(Indice_index!$Z$1=1,"016 - Educação – Investigação","016 - Education - Research")</f>
        <v>016 - Educação – Investigação</v>
      </c>
      <c r="F86" s="677">
        <v>6.0317000000000003E-2</v>
      </c>
      <c r="G86" s="677">
        <v>6.0317000000000003E-2</v>
      </c>
      <c r="H86"/>
      <c r="I86"/>
      <c r="J86"/>
      <c r="K86" s="438"/>
      <c r="L86" s="438"/>
    </row>
    <row r="87" spans="3:12" s="186" customFormat="1" ht="15" customHeight="1">
      <c r="C87" s="693"/>
      <c r="D87" s="691"/>
      <c r="E87" s="697" t="str">
        <f>IF(Indice_index!$Z$1=1,"019 - Educação - Serviços auxiliares de ensino","019 - Education - Educational ancillary services")</f>
        <v>019 - Educação - Serviços auxiliares de ensino</v>
      </c>
      <c r="F87" s="677">
        <v>8.0610000000000001E-2</v>
      </c>
      <c r="G87" s="677">
        <v>0</v>
      </c>
      <c r="H87"/>
      <c r="I87"/>
      <c r="J87"/>
      <c r="K87" s="438"/>
      <c r="L87" s="438"/>
    </row>
    <row r="88" spans="3:12" s="186" customFormat="1" ht="15" customHeight="1">
      <c r="C88" s="693"/>
      <c r="D88" s="705"/>
      <c r="E88" s="691" t="str">
        <f>D83</f>
        <v>P011 - Ciência, Tecnologia e Ens. Superior</v>
      </c>
      <c r="F88" s="682">
        <f>SUM(F83:F87)</f>
        <v>1.9842049999999998</v>
      </c>
      <c r="G88" s="682">
        <f>SUM(G83:G87)</f>
        <v>1.8426123599999999</v>
      </c>
      <c r="H88"/>
      <c r="I88"/>
      <c r="J88"/>
      <c r="K88" s="438"/>
      <c r="L88" s="438"/>
    </row>
    <row r="89" spans="3:12" s="186" customFormat="1" ht="15" customHeight="1">
      <c r="C89" s="693"/>
      <c r="D89" s="699"/>
      <c r="E89" s="692" t="str">
        <f>IF(Indice_index!$Z$1=1,"Instituições de Ensino Superior","Higher Education Institutions")</f>
        <v>Instituições de Ensino Superior</v>
      </c>
      <c r="F89" s="678">
        <v>0</v>
      </c>
      <c r="G89" s="678">
        <v>0</v>
      </c>
      <c r="H89"/>
      <c r="I89"/>
      <c r="J89"/>
      <c r="K89" s="438"/>
      <c r="L89" s="438"/>
    </row>
    <row r="90" spans="3:12" s="186" customFormat="1" ht="15" customHeight="1">
      <c r="C90" s="693" t="str">
        <f>IF(Indice_index!$Z$1=1,"MEd","MEd")</f>
        <v>MEd</v>
      </c>
      <c r="D90" s="706" t="str">
        <f>IF(Indice_index!$Z$1=1,"P012 - Ensino Básico e Secundário e Adm. Escolar","P012 - Basic and Secondary Education and School Administration")</f>
        <v>P012 - Ensino Básico e Secundário e Adm. Escolar</v>
      </c>
      <c r="E90" s="692" t="str">
        <f>IF(Indice_index!$Z$1=1,"003 - Serv. Gerais da A.P. - Cooperação económica externa","003 - General public services - External economic cooperation")</f>
        <v>003 - Serv. Gerais da A.P. - Cooperação económica externa</v>
      </c>
      <c r="F90" s="676">
        <v>1.6649620000000001</v>
      </c>
      <c r="G90" s="676">
        <v>1.6649620000000001</v>
      </c>
      <c r="H90"/>
      <c r="I90"/>
      <c r="J90"/>
      <c r="K90" s="438"/>
      <c r="L90" s="438"/>
    </row>
    <row r="91" spans="3:12" s="186" customFormat="1" ht="15" customHeight="1">
      <c r="C91" s="693"/>
      <c r="D91" s="707"/>
      <c r="E91" s="697" t="str">
        <f>IF(Indice_index!$Z$1=1,"015 - Educação - Administração e regulamentação","015 - Education - Administration and regulations")</f>
        <v>015 - Educação - Administração e regulamentação</v>
      </c>
      <c r="F91" s="677">
        <v>11.666751</v>
      </c>
      <c r="G91" s="677">
        <v>11.11059225</v>
      </c>
      <c r="H91"/>
      <c r="I91"/>
      <c r="J91"/>
      <c r="K91" s="438"/>
      <c r="L91" s="438"/>
    </row>
    <row r="92" spans="3:12" s="186" customFormat="1" ht="15" customHeight="1">
      <c r="C92" s="693"/>
      <c r="D92" s="691"/>
      <c r="E92" s="697" t="str">
        <f>IF(Indice_index!$Z$1=1,"017 - Educação - Estabelecimentos de ensino não superior","017 - Education - Non higher educations institutions")</f>
        <v>017 - Educação - Estabelecimentos de ensino não superior</v>
      </c>
      <c r="F92" s="677">
        <v>10.340909</v>
      </c>
      <c r="G92" s="677">
        <v>2.1595909999999998</v>
      </c>
      <c r="H92"/>
      <c r="I92"/>
      <c r="J92"/>
      <c r="K92" s="438"/>
      <c r="L92" s="438"/>
    </row>
    <row r="93" spans="3:12" s="186" customFormat="1" ht="15" customHeight="1">
      <c r="C93" s="693"/>
      <c r="D93" s="691"/>
      <c r="E93" s="697" t="str">
        <f>IF(Indice_index!$Z$1=1,"019 - Educação - Serviços auxiliares de ensino","019 - Education - Educational ancillary services")</f>
        <v>019 - Educação - Serviços auxiliares de ensino</v>
      </c>
      <c r="F93" s="677">
        <v>2.8611219999999999</v>
      </c>
      <c r="G93" s="677">
        <v>2.8611219999999999</v>
      </c>
      <c r="H93"/>
      <c r="I93"/>
      <c r="J93"/>
      <c r="K93" s="438"/>
      <c r="L93" s="438"/>
    </row>
    <row r="94" spans="3:12" s="186" customFormat="1" ht="15" customHeight="1">
      <c r="C94" s="693"/>
      <c r="D94" s="705"/>
      <c r="E94" s="691" t="str">
        <f>D90</f>
        <v>P012 - Ensino Básico e Secundário e Adm. Escolar</v>
      </c>
      <c r="F94" s="681">
        <f>SUM(F90:F93)</f>
        <v>26.533743999999999</v>
      </c>
      <c r="G94" s="681">
        <f>SUM(G90:G93)</f>
        <v>17.79626725</v>
      </c>
      <c r="H94"/>
      <c r="I94"/>
      <c r="J94"/>
      <c r="K94" s="438"/>
      <c r="L94" s="438"/>
    </row>
    <row r="95" spans="3:12" s="186" customFormat="1" ht="15" customHeight="1">
      <c r="C95" s="693"/>
      <c r="D95" s="699"/>
      <c r="E95" s="692" t="str">
        <f>IF(Indice_index!$Z$1=1,"Estabelecimentos de Educação e Ensino Básico e Secundário","Education establishments and primary and secondary education")</f>
        <v>Estabelecimentos de Educação e Ensino Básico e Secundário</v>
      </c>
      <c r="F95" s="678">
        <v>0</v>
      </c>
      <c r="G95" s="678">
        <v>0</v>
      </c>
      <c r="H95"/>
      <c r="I95"/>
      <c r="J95"/>
      <c r="K95" s="438"/>
      <c r="L95" s="438"/>
    </row>
    <row r="96" spans="3:12" s="186" customFormat="1" ht="15" customHeight="1">
      <c r="C96" s="693" t="str">
        <f>IF(Indice_index!$Z$1=1,"MTSSS","MLSSF")</f>
        <v>MTSSS</v>
      </c>
      <c r="D96" s="706" t="str">
        <f>IF(Indice_index!$Z$1=1,"P013 - Trabalho, Solidariedade e Seg. Social","P013 - Work, Solidarity and Social Security")</f>
        <v>P013 - Trabalho, Solidariedade e Seg. Social</v>
      </c>
      <c r="E96" s="692" t="str">
        <f>IF(Indice_index!$Z$1=1,"001 - Serv. Gerais da A.P. - Administração geral","001 - General public services - General Administration")</f>
        <v>001 - Serv. Gerais da A.P. - Administração geral</v>
      </c>
      <c r="F96" s="676">
        <v>5.1045E-2</v>
      </c>
      <c r="G96" s="676">
        <v>5.1045E-2</v>
      </c>
      <c r="H96"/>
      <c r="I96"/>
      <c r="J96"/>
      <c r="K96" s="438"/>
      <c r="L96" s="438"/>
    </row>
    <row r="97" spans="3:12" s="186" customFormat="1" ht="15" customHeight="1">
      <c r="C97" s="693"/>
      <c r="D97" s="707"/>
      <c r="E97" s="697" t="str">
        <f>IF(Indice_index!$Z$1=1,"003 - Serv. Gerais da A.P. - Cooperação económica externa","003 - General public services - External economic cooperation")</f>
        <v>003 - Serv. Gerais da A.P. - Cooperação económica externa</v>
      </c>
      <c r="F97" s="677">
        <v>0.14216300000000001</v>
      </c>
      <c r="G97" s="677">
        <v>0.14216300000000001</v>
      </c>
      <c r="H97"/>
      <c r="I97"/>
      <c r="J97"/>
      <c r="K97" s="438"/>
      <c r="L97" s="438"/>
    </row>
    <row r="98" spans="3:12" s="186" customFormat="1" ht="15" customHeight="1">
      <c r="C98" s="693"/>
      <c r="D98" s="691"/>
      <c r="E98" s="697" t="str">
        <f>IF(Indice_index!$Z$1=1,"024 - Segurança e acção social - Administração e regulamentação","024 - Social Security and Action - Administration and regulations")</f>
        <v>024 - Segurança e acção social - Administração e regulamentação</v>
      </c>
      <c r="F98" s="677">
        <v>0.61098399999999997</v>
      </c>
      <c r="G98" s="677">
        <v>0.62988500000000003</v>
      </c>
      <c r="H98"/>
      <c r="I98"/>
      <c r="J98"/>
      <c r="K98" s="438"/>
      <c r="L98" s="438"/>
    </row>
    <row r="99" spans="3:12" s="186" customFormat="1" ht="15" customHeight="1">
      <c r="C99" s="693"/>
      <c r="D99" s="691"/>
      <c r="E99" s="697" t="str">
        <f>IF(Indice_index!$Z$1=1,"026 - Segurança e acção social - Segurança social","026 - Social Security and Action - Social Security")</f>
        <v>026 - Segurança e acção social - Segurança social</v>
      </c>
      <c r="F99" s="677">
        <v>10.675789999999999</v>
      </c>
      <c r="G99" s="677">
        <v>10.675789999999999</v>
      </c>
      <c r="H99"/>
      <c r="I99"/>
      <c r="J99"/>
      <c r="K99" s="438"/>
      <c r="L99" s="438"/>
    </row>
    <row r="100" spans="3:12" s="186" customFormat="1" ht="15" customHeight="1">
      <c r="C100" s="693"/>
      <c r="D100" s="691"/>
      <c r="E100" s="697" t="str">
        <f>IF(Indice_index!$Z$1=1,"027 - Segurança e acção social - Acção social","027 - Social Security and Action - Social Action")</f>
        <v>027 - Segurança e acção social - Acção social</v>
      </c>
      <c r="F100" s="677">
        <v>14.989535</v>
      </c>
      <c r="G100" s="677">
        <v>14.989535</v>
      </c>
      <c r="H100"/>
      <c r="I100"/>
      <c r="J100"/>
      <c r="K100" s="438"/>
      <c r="L100" s="438"/>
    </row>
    <row r="101" spans="3:12" s="186" customFormat="1" ht="15" customHeight="1">
      <c r="C101" s="693"/>
      <c r="D101" s="691"/>
      <c r="E101" s="697" t="str">
        <f>IF(Indice_index!$Z$1=1,"064 - Outras funções económicas - Relações gerais do trabalho","064 - Other economic functions - General labor relations")</f>
        <v>064 - Outras funções económicas - Relações gerais do trabalho</v>
      </c>
      <c r="F101" s="677">
        <v>18.022321999999999</v>
      </c>
      <c r="G101" s="677">
        <v>18.101469000000002</v>
      </c>
      <c r="H101"/>
      <c r="I101"/>
      <c r="J101"/>
      <c r="K101" s="438"/>
      <c r="L101" s="438"/>
    </row>
    <row r="102" spans="3:12" s="186" customFormat="1" ht="15" customHeight="1">
      <c r="C102" s="693"/>
      <c r="D102" s="691"/>
      <c r="E102" s="697" t="str">
        <f>IF(Indice_index!$Z$1=1,"065 - Outras funções económicas - Diversas não especificadas","065 - Other economic functions - Various unspecified")</f>
        <v>065 - Outras funções económicas - Diversas não especificadas</v>
      </c>
      <c r="F102" s="677">
        <v>7.3285000000000003E-2</v>
      </c>
      <c r="G102" s="677">
        <v>8.5379999999999998E-2</v>
      </c>
      <c r="H102"/>
      <c r="I102"/>
      <c r="J102"/>
      <c r="K102" s="438"/>
      <c r="L102" s="438"/>
    </row>
    <row r="103" spans="3:12" s="186" customFormat="1" ht="15" customHeight="1">
      <c r="C103" s="693"/>
      <c r="D103" s="691"/>
      <c r="E103" s="697" t="str">
        <f>IF(Indice_index!$Z$1=1,"083 - Segurança e Ação Social - Integração da pessoa com deficiência","083 - Social Security and Action - Integration of the handicapped person")</f>
        <v>083 - Segurança e Ação Social - Integração da pessoa com deficiência</v>
      </c>
      <c r="F103" s="677">
        <v>0.31229800000000002</v>
      </c>
      <c r="G103" s="677">
        <v>0.32263900000000001</v>
      </c>
      <c r="H103"/>
      <c r="I103"/>
      <c r="J103"/>
      <c r="K103" s="438"/>
      <c r="L103" s="438"/>
    </row>
    <row r="104" spans="3:12" s="186" customFormat="1" ht="15" customHeight="1">
      <c r="C104" s="693"/>
      <c r="D104" s="694"/>
      <c r="E104" s="699" t="str">
        <f>D96</f>
        <v>P013 - Trabalho, Solidariedade e Seg. Social</v>
      </c>
      <c r="F104" s="679">
        <f>SUM(F96:F103)</f>
        <v>44.877421999999996</v>
      </c>
      <c r="G104" s="679">
        <f>SUM(G96:G103)</f>
        <v>44.997906000000008</v>
      </c>
      <c r="H104"/>
      <c r="I104"/>
      <c r="J104"/>
      <c r="K104" s="438"/>
      <c r="L104" s="438"/>
    </row>
    <row r="105" spans="3:12" s="186" customFormat="1" ht="15" customHeight="1">
      <c r="C105" s="693" t="str">
        <f>IF(Indice_index!$Z$1=1,"MS","MH")</f>
        <v>MS</v>
      </c>
      <c r="D105" s="691" t="str">
        <f>IF(Indice_index!$Z$1=1,"P014 - Saúde","P014 - Health")</f>
        <v>P014 - Saúde</v>
      </c>
      <c r="E105" s="692" t="str">
        <f>IF(Indice_index!$Z$1=1,"020 - Saúde - Administração e regulamentação","020 - Health - Administration and regulations")</f>
        <v>020 - Saúde - Administração e regulamentação</v>
      </c>
      <c r="F105" s="676">
        <v>1.4578139999999999</v>
      </c>
      <c r="G105" s="676">
        <v>1.6457949999999999</v>
      </c>
      <c r="H105"/>
      <c r="I105"/>
      <c r="J105"/>
      <c r="K105" s="438"/>
      <c r="L105" s="438"/>
    </row>
    <row r="106" spans="3:12" s="186" customFormat="1" ht="15" customHeight="1">
      <c r="C106" s="693"/>
      <c r="D106" s="691"/>
      <c r="E106" s="692" t="str">
        <f>IF(Indice_index!$Z$1=1,"095 - Contingência Covid 2019 - Prevenção, contenção, mitigação e tratamento","095 - Covid 2019 Contingency - Prevention, Containment, Mitigation and Treatment")</f>
        <v>095 - Contingência Covid 2019 - Prevenção, contenção, mitigação e tratamento</v>
      </c>
      <c r="F106" s="676">
        <v>0</v>
      </c>
      <c r="G106" s="676">
        <v>2.1828E-2</v>
      </c>
      <c r="H106"/>
      <c r="I106"/>
      <c r="J106"/>
      <c r="K106" s="438"/>
      <c r="L106" s="438"/>
    </row>
    <row r="107" spans="3:12" s="186" customFormat="1" ht="15" customHeight="1">
      <c r="C107" s="693"/>
      <c r="D107" s="705"/>
      <c r="E107" s="691" t="str">
        <f>D105</f>
        <v>P014 - Saúde</v>
      </c>
      <c r="F107" s="681">
        <f>SUM(F105:F106)</f>
        <v>1.4578139999999999</v>
      </c>
      <c r="G107" s="681">
        <f>SUM(G105:G106)</f>
        <v>1.6676229999999999</v>
      </c>
      <c r="H107"/>
      <c r="I107"/>
      <c r="J107"/>
      <c r="K107" s="438"/>
      <c r="L107" s="438"/>
    </row>
    <row r="108" spans="3:12" s="186" customFormat="1" ht="15" customHeight="1">
      <c r="C108" s="693"/>
      <c r="D108" s="699"/>
      <c r="E108" s="692" t="str">
        <f>IF(Indice_index!$Z$1=1,"Serviço Nacional de Saúde","National Health Service")</f>
        <v>Serviço Nacional de Saúde</v>
      </c>
      <c r="F108" s="678">
        <v>0</v>
      </c>
      <c r="G108" s="678">
        <v>0</v>
      </c>
      <c r="H108"/>
      <c r="I108"/>
      <c r="J108"/>
      <c r="K108" s="438"/>
      <c r="L108" s="438"/>
    </row>
    <row r="109" spans="3:12" s="186" customFormat="1" ht="15" customHeight="1">
      <c r="C109" s="693" t="str">
        <f>IF(Indice_index!$Z$1=1,"MAAC","MECA")</f>
        <v>MAAC</v>
      </c>
      <c r="D109" s="693" t="str">
        <f>IF(Indice_index!$Z$1=1,"P015 - Ambiente e Ação Climática","P015 -  Environment and Climate Action")</f>
        <v>P015 - Ambiente e Ação Climática</v>
      </c>
      <c r="E109" s="697" t="str">
        <f>IF(Indice_index!$Z$1=1,"031 - Habitação e serv. Colectivos - Ordenamento do território","031 - Housing and Common services - Land-use")</f>
        <v>031 - Habitação e serv. Colectivos - Ordenamento do território</v>
      </c>
      <c r="F109" s="677">
        <v>0.14852299999999999</v>
      </c>
      <c r="G109" s="677">
        <v>0.14852299999999999</v>
      </c>
      <c r="H109"/>
      <c r="I109"/>
      <c r="J109"/>
      <c r="K109" s="438"/>
      <c r="L109" s="438"/>
    </row>
    <row r="110" spans="3:12" s="186" customFormat="1" ht="15" customHeight="1">
      <c r="C110" s="693"/>
      <c r="D110" s="691"/>
      <c r="E110" s="697"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10" s="677">
        <v>9.7732690000000009</v>
      </c>
      <c r="G110" s="677">
        <v>9.7732690000000009</v>
      </c>
      <c r="H110"/>
      <c r="I110"/>
      <c r="J110"/>
      <c r="K110" s="438"/>
      <c r="L110" s="438"/>
    </row>
    <row r="111" spans="3:12" s="186" customFormat="1" ht="15" customHeight="1">
      <c r="C111" s="693"/>
      <c r="D111" s="691"/>
      <c r="E111" s="697" t="str">
        <f>IF(Indice_index!$Z$1=1,"046 - Industria e energia - administração e regulamentação","046 - Industry and energy - Administration and regulations")</f>
        <v>046 - Industria e energia - administração e regulamentação</v>
      </c>
      <c r="F111" s="677">
        <v>3.020235</v>
      </c>
      <c r="G111" s="677">
        <v>3.143119</v>
      </c>
      <c r="H111"/>
      <c r="I111"/>
      <c r="J111"/>
      <c r="K111" s="438"/>
      <c r="L111" s="438"/>
    </row>
    <row r="112" spans="3:12" s="186" customFormat="1" ht="15" customHeight="1">
      <c r="C112" s="693"/>
      <c r="D112" s="691"/>
      <c r="E112" s="697" t="str">
        <f>IF(Indice_index!$Z$1=1,"047 - Industria e energia - Investigação","047 - Industry and energy - Research")</f>
        <v>047 - Industria e energia - Investigação</v>
      </c>
      <c r="F112" s="677">
        <v>4.6479559999999998</v>
      </c>
      <c r="G112" s="677">
        <v>4.6479559999999998</v>
      </c>
      <c r="H112"/>
      <c r="I112"/>
      <c r="J112"/>
      <c r="K112" s="438"/>
      <c r="L112" s="438"/>
    </row>
    <row r="113" spans="3:12" s="186" customFormat="1" ht="15" customHeight="1">
      <c r="C113" s="693"/>
      <c r="D113" s="691"/>
      <c r="E113" s="697" t="str">
        <f>IF(Indice_index!$Z$1=1,"051 - Industria e energia - Combustíveis, electricidade e outras fontes de energia","051 - Industry e energy - Fuel, electricity and other sources of energy ")</f>
        <v>051 - Industria e energia - Combustíveis, electricidade e outras fontes de energia</v>
      </c>
      <c r="F113" s="677">
        <v>6.0097019999999999</v>
      </c>
      <c r="G113" s="677">
        <v>6.0097019999999999</v>
      </c>
      <c r="H113"/>
      <c r="I113"/>
      <c r="J113"/>
      <c r="K113" s="438"/>
      <c r="L113" s="438"/>
    </row>
    <row r="114" spans="3:12" s="186" customFormat="1" ht="15" customHeight="1">
      <c r="C114" s="693"/>
      <c r="D114" s="691"/>
      <c r="E114" s="697" t="str">
        <f>IF(Indice_index!$Z$1=1,"055 - Transportes e comunicações - Transportes ferroviários","055 - Transport and Communications - Rail transport")</f>
        <v>055 - Transportes e comunicações - Transportes ferroviários</v>
      </c>
      <c r="F114" s="677">
        <v>23.693591999999999</v>
      </c>
      <c r="G114" s="677">
        <v>23.693591999999999</v>
      </c>
      <c r="H114"/>
      <c r="I114"/>
      <c r="J114"/>
      <c r="K114" s="438"/>
      <c r="L114" s="438"/>
    </row>
    <row r="115" spans="3:12" s="186" customFormat="1" ht="15" customHeight="1">
      <c r="C115" s="693"/>
      <c r="D115" s="691"/>
      <c r="E115" s="697" t="str">
        <f>IF(Indice_index!$Z$1=1,"057 - Transportes e comunicações - Transportes marítimos e fluviais","057 - Transport and Communications - Water transport")</f>
        <v>057 - Transportes e comunicações - Transportes marítimos e fluviais</v>
      </c>
      <c r="F115" s="677">
        <v>7.4662829999999998</v>
      </c>
      <c r="G115" s="677">
        <v>0.15901399999999999</v>
      </c>
      <c r="H115"/>
      <c r="I115"/>
      <c r="J115"/>
      <c r="K115" s="438"/>
      <c r="L115" s="438"/>
    </row>
    <row r="116" spans="3:12" s="186" customFormat="1" ht="15" customHeight="1">
      <c r="C116" s="693"/>
      <c r="D116" s="691"/>
      <c r="E116" s="697" t="str">
        <f>IF(Indice_index!$Z$1=1,"063 - Outras funções económicas - Administração e regulamentação","063 - Outher economic functions - Administration e regulation")</f>
        <v>063 - Outras funções económicas - Administração e regulamentação</v>
      </c>
      <c r="F116" s="677">
        <v>3.0321440000000002</v>
      </c>
      <c r="G116" s="677">
        <v>3.4278400000000002</v>
      </c>
      <c r="H116"/>
      <c r="I116"/>
      <c r="J116"/>
      <c r="K116" s="438"/>
      <c r="L116" s="438"/>
    </row>
    <row r="117" spans="3:12" s="186" customFormat="1" ht="15" customHeight="1">
      <c r="C117" s="693"/>
      <c r="D117" s="691"/>
      <c r="E117" s="697" t="str">
        <f>IF(Indice_index!$Z$1=1,"065 - Outras funções económicas - Diversas não especificadas","065 - Other economic functions - Various unspecified")</f>
        <v>065 - Outras funções económicas - Diversas não especificadas</v>
      </c>
      <c r="F117" s="676">
        <v>3.297E-3</v>
      </c>
      <c r="G117" s="676">
        <v>3.297E-3</v>
      </c>
      <c r="H117"/>
      <c r="I117"/>
      <c r="J117"/>
      <c r="K117" s="438"/>
      <c r="L117" s="438"/>
    </row>
    <row r="118" spans="3:12" s="186" customFormat="1" ht="15" customHeight="1">
      <c r="C118" s="693"/>
      <c r="D118" s="691"/>
      <c r="E118" s="697" t="str">
        <f>IF(Indice_index!$Z$1=1,"085 - Florestas","085 - Forests")</f>
        <v>085 - Florestas</v>
      </c>
      <c r="F118" s="677">
        <v>0.83633199999999996</v>
      </c>
      <c r="G118" s="677">
        <v>1.2620960000000001</v>
      </c>
      <c r="H118"/>
      <c r="I118"/>
      <c r="J118"/>
      <c r="K118" s="438"/>
      <c r="L118" s="438"/>
    </row>
    <row r="119" spans="3:12" s="186" customFormat="1" ht="15" customHeight="1">
      <c r="C119" s="693"/>
      <c r="D119" s="691"/>
      <c r="E119" s="692" t="str">
        <f>IF(Indice_index!$Z$1=1,"101 - Plano Nacional de Gestão Integrada de Fogos Rurais","101 - National Plan on Integrated Rural Fire Management")</f>
        <v>101 - Plano Nacional de Gestão Integrada de Fogos Rurais</v>
      </c>
      <c r="F119" s="676">
        <v>1.6222000000000001</v>
      </c>
      <c r="G119" s="676">
        <v>1.739501</v>
      </c>
      <c r="H119"/>
      <c r="I119"/>
      <c r="J119"/>
      <c r="K119" s="438"/>
      <c r="L119" s="438"/>
    </row>
    <row r="120" spans="3:12" s="186" customFormat="1" ht="15" customHeight="1">
      <c r="C120" s="693"/>
      <c r="D120" s="694"/>
      <c r="E120" s="699" t="str">
        <f>D109</f>
        <v>P015 - Ambiente e Ação Climática</v>
      </c>
      <c r="F120" s="678">
        <f>SUM(F109:F119)</f>
        <v>60.253533000000004</v>
      </c>
      <c r="G120" s="678">
        <f>SUM(G109:G119)</f>
        <v>54.007909000000005</v>
      </c>
      <c r="H120"/>
      <c r="I120"/>
      <c r="J120"/>
      <c r="K120" s="438"/>
      <c r="L120" s="438"/>
    </row>
    <row r="121" spans="3:12" s="186" customFormat="1" ht="15" customHeight="1">
      <c r="C121" s="693" t="str">
        <f>IF(Indice_index!$Z$1=1,"MIH","MIH")</f>
        <v>MIH</v>
      </c>
      <c r="D121" s="691" t="str">
        <f>IF(Indice_index!$Z$1=1,"P016 - Infraestruturas e Habitação","P016 - Infrastructures and Housing")</f>
        <v>P016 - Infraestruturas e Habitação</v>
      </c>
      <c r="E121" s="692" t="str">
        <f>IF(Indice_index!$Z$1=1,"001 - Serv. Gerais da A.P. - Administração geral","001 - General public services - General Administration")</f>
        <v>001 - Serv. Gerais da A.P. - Administração geral</v>
      </c>
      <c r="F121" s="676">
        <v>0.72316499999999995</v>
      </c>
      <c r="G121" s="676">
        <v>0.72316499999999995</v>
      </c>
      <c r="H121"/>
      <c r="I121"/>
      <c r="J121"/>
      <c r="K121" s="438"/>
      <c r="L121" s="438"/>
    </row>
    <row r="122" spans="3:12" s="186" customFormat="1" ht="15" customHeight="1">
      <c r="C122" s="693"/>
      <c r="D122" s="691"/>
      <c r="E122" s="697" t="str">
        <f>IF(Indice_index!$Z$1=1,"004 - Serv. Gerais da A.P. - Investigação científica de carácter geral","004 - General public services - General scientific research")</f>
        <v>004 - Serv. Gerais da A.P. - Investigação científica de carácter geral</v>
      </c>
      <c r="F122" s="677">
        <v>6.25E-2</v>
      </c>
      <c r="G122" s="677">
        <v>6.25E-2</v>
      </c>
      <c r="H122"/>
      <c r="I122"/>
      <c r="J122"/>
      <c r="K122" s="438"/>
      <c r="L122" s="438"/>
    </row>
    <row r="123" spans="3:12" s="186" customFormat="1" ht="15" customHeight="1">
      <c r="C123" s="693"/>
      <c r="D123" s="691"/>
      <c r="E123" s="697" t="str">
        <f>IF(Indice_index!$Z$1=1,"030 - Habitação e serv. Colectivos - Habitação","030 - Housing and Common services - Housing")</f>
        <v>030 - Habitação e serv. Colectivos - Habitação</v>
      </c>
      <c r="F123" s="677">
        <v>5.7537459999999996</v>
      </c>
      <c r="G123" s="677">
        <v>5.8841020000000004</v>
      </c>
      <c r="H123"/>
      <c r="I123"/>
      <c r="J123"/>
      <c r="K123" s="438"/>
      <c r="L123" s="438"/>
    </row>
    <row r="124" spans="3:12" s="186" customFormat="1" ht="15" customHeight="1">
      <c r="C124" s="693"/>
      <c r="D124" s="691"/>
      <c r="E124" s="697" t="str">
        <f>IF(Indice_index!$Z$1=1,"052 - Transportes e comunicações - Administração e regulamentação","052 - Transport and Communications - Administration and regulations")</f>
        <v>052 - Transportes e comunicações - Administração e regulamentação</v>
      </c>
      <c r="F124" s="677">
        <v>16.186523000000001</v>
      </c>
      <c r="G124" s="677">
        <v>16.589348999999999</v>
      </c>
      <c r="H124"/>
      <c r="I124"/>
      <c r="J124"/>
      <c r="K124" s="438"/>
      <c r="L124" s="438"/>
    </row>
    <row r="125" spans="3:12" s="186" customFormat="1" ht="15" customHeight="1">
      <c r="C125" s="693"/>
      <c r="D125" s="691"/>
      <c r="E125" s="697" t="str">
        <f>IF(Indice_index!$Z$1=1,"054 - Transportes e comunicações - Transportes rodoviários","054 - Transport and Communications - Road transport")</f>
        <v>054 - Transportes e comunicações - Transportes rodoviários</v>
      </c>
      <c r="F125" s="677">
        <v>3.2971849999999998</v>
      </c>
      <c r="G125" s="677">
        <v>3.2971849999999998</v>
      </c>
      <c r="H125"/>
      <c r="I125"/>
      <c r="J125"/>
      <c r="K125" s="438"/>
      <c r="L125" s="438"/>
    </row>
    <row r="126" spans="3:12" s="186" customFormat="1" ht="15" customHeight="1">
      <c r="C126" s="693"/>
      <c r="D126" s="691"/>
      <c r="E126" s="697" t="str">
        <f>IF(Indice_index!$Z$1=1,"055 - Transportes e comunicações - Transportes ferroviários","055 - Transport and Communications - Rail transport")</f>
        <v>055 - Transportes e comunicações - Transportes ferroviários</v>
      </c>
      <c r="F126" s="677">
        <v>59.566637</v>
      </c>
      <c r="G126" s="677">
        <v>23.082015999999999</v>
      </c>
      <c r="H126"/>
      <c r="I126"/>
      <c r="J126"/>
      <c r="K126" s="438"/>
      <c r="L126" s="438"/>
    </row>
    <row r="127" spans="3:12" s="186" customFormat="1" ht="15" customHeight="1">
      <c r="C127" s="693"/>
      <c r="D127" s="691"/>
      <c r="E127" s="697" t="str">
        <f>IF(Indice_index!$Z$1=1,"056 - Transportes e comunicações - Transportes aéreos","056 - Transport and Communications - Air transport")</f>
        <v>056 - Transportes e comunicações - Transportes aéreos</v>
      </c>
      <c r="F127" s="677">
        <v>1.465122</v>
      </c>
      <c r="G127" s="677">
        <v>1.465122</v>
      </c>
      <c r="H127"/>
      <c r="I127"/>
      <c r="J127"/>
      <c r="K127" s="438"/>
      <c r="L127" s="438"/>
    </row>
    <row r="128" spans="3:12" s="186" customFormat="1" ht="15" customHeight="1">
      <c r="C128" s="693"/>
      <c r="D128" s="691"/>
      <c r="E128" s="697" t="str">
        <f>IF(Indice_index!$Z$1=1,"063 - Outras funções económicas - Administração e regulamentação","063 - Outher economic functions - Administration e regulation")</f>
        <v>063 - Outras funções económicas - Administração e regulamentação</v>
      </c>
      <c r="F128" s="677">
        <v>1.282063</v>
      </c>
      <c r="G128" s="677">
        <v>1.282063</v>
      </c>
      <c r="H128"/>
      <c r="I128"/>
      <c r="J128"/>
      <c r="K128" s="438"/>
      <c r="L128" s="438"/>
    </row>
    <row r="129" spans="3:12" s="186" customFormat="1" ht="15" customHeight="1">
      <c r="C129" s="693"/>
      <c r="D129" s="691"/>
      <c r="E129" s="697" t="str">
        <f>IF(Indice_index!$Z$1=1,"101 - Plano Nacional de Gestão Integrada de Fogos Rurais","101 - National Plan on Integrated Rural Fire Management")</f>
        <v>101 - Plano Nacional de Gestão Integrada de Fogos Rurais</v>
      </c>
      <c r="F129" s="677">
        <v>17.908571999999999</v>
      </c>
      <c r="G129" s="677">
        <v>17.908571999999999</v>
      </c>
      <c r="H129"/>
      <c r="I129"/>
      <c r="J129"/>
      <c r="K129" s="438"/>
      <c r="L129" s="438"/>
    </row>
    <row r="130" spans="3:12" s="186" customFormat="1" ht="15" customHeight="1">
      <c r="C130" s="693"/>
      <c r="D130" s="694"/>
      <c r="E130" s="699" t="str">
        <f>D121</f>
        <v>P016 - Infraestruturas e Habitação</v>
      </c>
      <c r="F130" s="679">
        <f>SUM(F121:F129)</f>
        <v>106.24551299999999</v>
      </c>
      <c r="G130" s="679">
        <f>SUM(G121:G129)</f>
        <v>70.294073999999995</v>
      </c>
      <c r="H130"/>
      <c r="I130"/>
      <c r="J130"/>
      <c r="K130" s="438"/>
      <c r="L130" s="438"/>
    </row>
    <row r="131" spans="3:12" s="186" customFormat="1" ht="15" customHeight="1">
      <c r="C131" s="693" t="str">
        <f>IF(Indice_index!$Z$1=1,"MAA","MAA")</f>
        <v>MAA</v>
      </c>
      <c r="D131" s="691" t="str">
        <f>IF(Indice_index!$Z$1=1,"P017 - Agricultura e Alimentação","P017 - Agriculture and Food")</f>
        <v>P017 - Agricultura e Alimentação</v>
      </c>
      <c r="E131" s="697" t="str">
        <f>IF(Indice_index!$Z$1=1,"004 - Serv. Gerais da A.P. - Investigação científica de carácter geral","004 - General public services - General scientific research")</f>
        <v>004 - Serv. Gerais da A.P. - Investigação científica de carácter geral</v>
      </c>
      <c r="F131" s="677">
        <v>5.6039999999999996E-3</v>
      </c>
      <c r="G131" s="677">
        <v>5.6039999999999996E-3</v>
      </c>
      <c r="H131"/>
      <c r="I131"/>
      <c r="J131"/>
      <c r="K131" s="438"/>
      <c r="L131" s="438"/>
    </row>
    <row r="132" spans="3:12" s="186" customFormat="1" ht="15" customHeight="1">
      <c r="C132" s="693"/>
      <c r="D132" s="691"/>
      <c r="E132" s="697" t="str">
        <f>IF(Indice_index!$Z$1=1,"040 - Agricultura, pecuária, silv, caça, pesca - Administração e regulamentação","040 - Crops, livestock, forestry, fisheries - Administration and regulations")</f>
        <v>040 - Agricultura, pecuária, silv, caça, pesca - Administração e regulamentação</v>
      </c>
      <c r="F132" s="677">
        <v>5.3995670000000002</v>
      </c>
      <c r="G132" s="677">
        <v>5.4686120000000003</v>
      </c>
      <c r="H132"/>
      <c r="I132"/>
      <c r="J132"/>
      <c r="K132" s="438"/>
      <c r="L132" s="438"/>
    </row>
    <row r="133" spans="3:12" s="186" customFormat="1" ht="15" customHeight="1">
      <c r="C133" s="693"/>
      <c r="D133" s="691"/>
      <c r="E133" s="697" t="str">
        <f>IF(Indice_index!$Z$1=1,"041 - Agricultura, pecuária, silv, caça, pesca - Investigação","041 - Crops, livestock, forestry, fisheries - Research")</f>
        <v>041 - Agricultura, pecuária, silv, caça, pesca - Investigação</v>
      </c>
      <c r="F133" s="677">
        <v>3.7187999999999999E-2</v>
      </c>
      <c r="G133" s="677">
        <v>3.7187999999999999E-2</v>
      </c>
      <c r="H133"/>
      <c r="I133"/>
      <c r="J133"/>
      <c r="K133" s="438"/>
      <c r="L133" s="438"/>
    </row>
    <row r="134" spans="3:12" s="186" customFormat="1" ht="15" customHeight="1">
      <c r="C134" s="693"/>
      <c r="D134" s="691"/>
      <c r="E134" s="697" t="str">
        <f>IF(Indice_index!$Z$1=1,"042 - Agricultura, pecuária, silv, caça, pesca - Agricultura e pecuária","042 - Crops, livestock, forestry, fisheries - Crops and livestock")</f>
        <v>042 - Agricultura, pecuária, silv, caça, pesca - Agricultura e pecuária</v>
      </c>
      <c r="F134" s="677">
        <v>22.480436000000001</v>
      </c>
      <c r="G134" s="677">
        <v>20.933123999999999</v>
      </c>
      <c r="H134"/>
      <c r="I134"/>
      <c r="J134"/>
      <c r="K134" s="438"/>
      <c r="L134" s="438"/>
    </row>
    <row r="135" spans="3:12" s="186" customFormat="1" ht="15" customHeight="1">
      <c r="C135" s="693"/>
      <c r="D135" s="691"/>
      <c r="E135" s="697" t="str">
        <f>IF(Indice_index!$Z$1=1,"045 - Agricultura, pecuária, silv, caça, pesca – Pesca","045 - Crops, livestock, forestry, fisheries – Fisheries")</f>
        <v>045 - Agricultura, pecuária, silv, caça, pesca – Pesca</v>
      </c>
      <c r="F135" s="677">
        <v>0.89322400000000002</v>
      </c>
      <c r="G135" s="677">
        <v>0.89322400000000002</v>
      </c>
      <c r="H135"/>
      <c r="I135"/>
      <c r="J135"/>
      <c r="K135" s="438"/>
      <c r="L135" s="438"/>
    </row>
    <row r="136" spans="3:12" s="186" customFormat="1" ht="15" customHeight="1">
      <c r="C136" s="693"/>
      <c r="D136" s="691"/>
      <c r="E136" s="697" t="str">
        <f>IF(Indice_index!$Z$1=1,"057 - Transportes e comunicações - Transportes marítimos e fluviais","057 - Transport and Communications - Water transport")</f>
        <v>057 - Transportes e comunicações - Transportes marítimos e fluviais</v>
      </c>
      <c r="F136" s="677">
        <v>1.1897880000000001</v>
      </c>
      <c r="G136" s="677">
        <v>1.1897880000000001</v>
      </c>
      <c r="H136"/>
      <c r="I136"/>
      <c r="J136"/>
      <c r="K136" s="438"/>
      <c r="L136" s="438"/>
    </row>
    <row r="137" spans="3:12" s="186" customFormat="1" ht="15" customHeight="1" thickBot="1">
      <c r="C137" s="693"/>
      <c r="D137" s="694"/>
      <c r="E137" s="699" t="str">
        <f>D131</f>
        <v>P017 - Agricultura e Alimentação</v>
      </c>
      <c r="F137" s="678">
        <f>SUM(F131:F136)</f>
        <v>30.005807000000001</v>
      </c>
      <c r="G137" s="678">
        <f>SUM(G131:G136)</f>
        <v>28.527539999999998</v>
      </c>
      <c r="H137"/>
      <c r="I137"/>
      <c r="J137"/>
      <c r="K137" s="438"/>
      <c r="L137" s="438"/>
    </row>
    <row r="138" spans="3:12" s="186" customFormat="1" ht="15" customHeight="1" thickBot="1">
      <c r="C138" s="1789" t="str">
        <f>IF(Indice_index!$Z$1=1,"TOTAL Cativos","TOTAL frozen allocations")</f>
        <v>TOTAL Cativos</v>
      </c>
      <c r="D138" s="1790"/>
      <c r="E138" s="1790"/>
      <c r="F138" s="708">
        <f>F27+F137+F120+F78+F130+F107+F104+F94+F88+F81+F65+F56+F43+F70+F69+F31+F11</f>
        <v>654.92139399999996</v>
      </c>
      <c r="G138" s="708">
        <f>G27+G137+G120+G78+G130+G107+G104+G94+G88+G81+G65+G56+G43+G70+G69+G31+G11</f>
        <v>529.23521676000007</v>
      </c>
      <c r="H138" s="438"/>
      <c r="I138" s="438"/>
      <c r="J138"/>
      <c r="K138" s="438"/>
      <c r="L138" s="438"/>
    </row>
    <row r="139" spans="3:12" s="186" customFormat="1" ht="15.75" customHeight="1">
      <c r="C139" s="246"/>
      <c r="D139" s="246"/>
      <c r="E139" s="246"/>
      <c r="F139" s="246"/>
      <c r="H139"/>
      <c r="I139"/>
      <c r="J139"/>
    </row>
    <row r="140" spans="3:12" s="186" customFormat="1" ht="19" thickBot="1">
      <c r="C140" s="1781" t="str">
        <f>IF(Indice_index!$Z$1=1,"Reserva","Reserve")</f>
        <v>Reserva</v>
      </c>
      <c r="D140" s="1781"/>
      <c r="E140" s="1781"/>
      <c r="F140" s="1781"/>
      <c r="G140" s="1781"/>
      <c r="H140"/>
      <c r="I140"/>
      <c r="J140"/>
    </row>
    <row r="141" spans="3:12" s="186" customFormat="1">
      <c r="C141" s="684"/>
      <c r="D141" s="684"/>
      <c r="E141" s="684"/>
      <c r="F141" s="712"/>
      <c r="H141"/>
      <c r="I141"/>
      <c r="J141"/>
    </row>
    <row r="142" spans="3:12" s="186" customFormat="1">
      <c r="C142" s="683" t="str">
        <f>C4</f>
        <v>Período: agosto</v>
      </c>
      <c r="D142" s="684"/>
      <c r="E142" s="684"/>
      <c r="F142" s="686"/>
      <c r="G142" s="686" t="str">
        <f>IF(Indice_index!$Z$1=1,"€ Milhões","€ Millions")</f>
        <v>€ Milhões</v>
      </c>
      <c r="H142"/>
      <c r="I142"/>
      <c r="J142"/>
    </row>
    <row r="143" spans="3:12" s="186" customFormat="1">
      <c r="C143" s="1786" t="str">
        <f>IF(Indice_index!$Z$1=1,"Ministério","Ministry")</f>
        <v>Ministério</v>
      </c>
      <c r="D143" s="1786" t="str">
        <f>IF(Indice_index!$Z$1=1,"Programa Orçamental","Budgetary program")</f>
        <v>Programa Orçamental</v>
      </c>
      <c r="E143" s="1786" t="str">
        <f>IF(Indice_index!$Z$1=1,"Reserva","Reserve")</f>
        <v>Reserva</v>
      </c>
      <c r="F143" s="1782"/>
      <c r="G143" s="1782"/>
      <c r="H143"/>
      <c r="I143"/>
      <c r="J143"/>
    </row>
    <row r="144" spans="3:12" s="186" customFormat="1" ht="20.25" customHeight="1">
      <c r="C144" s="1787"/>
      <c r="D144" s="1787"/>
      <c r="E144" s="1787"/>
      <c r="F144" s="687" t="str">
        <f>IF(Indice_index!$Z$1=1,"Cativos iniciais","Initial frozen allocations")</f>
        <v>Cativos iniciais</v>
      </c>
      <c r="G144" s="688" t="str">
        <f>IF(Indice_index!$Z$1=1,"Cativos atuais","Current frozen allocations")</f>
        <v>Cativos atuais</v>
      </c>
      <c r="H144"/>
      <c r="I144"/>
      <c r="J144"/>
    </row>
    <row r="145" spans="3:11">
      <c r="C145" s="1788"/>
      <c r="D145" s="1788"/>
      <c r="E145" s="1788"/>
      <c r="F145" s="713" t="s">
        <v>65</v>
      </c>
      <c r="G145" s="714" t="s">
        <v>64</v>
      </c>
      <c r="K145" s="186"/>
    </row>
    <row r="146" spans="3:11" ht="15" customHeight="1">
      <c r="C146" s="715" t="str">
        <f>+C8</f>
        <v>EGE</v>
      </c>
      <c r="D146" s="715" t="str">
        <f>+D8</f>
        <v>P001 - Órgãos de Soberania</v>
      </c>
      <c r="E146" s="716" t="str">
        <f>IF(Indice_index!$Z$1=1,"Reserva Orçamental","Reserve")</f>
        <v>Reserva Orçamental</v>
      </c>
      <c r="F146" s="709">
        <v>5.1363849999999998</v>
      </c>
      <c r="G146" s="709">
        <v>4.6460850000000002</v>
      </c>
    </row>
    <row r="147" spans="3:11" ht="15" customHeight="1">
      <c r="C147" s="717" t="str">
        <f>+C12</f>
        <v>PCM</v>
      </c>
      <c r="D147" s="717" t="str">
        <f>+D12</f>
        <v>P002 - Governação</v>
      </c>
      <c r="E147" s="718" t="str">
        <f>IF(Indice_index!$Z$1=1,"Reserva Orçamental","Reserve")</f>
        <v>Reserva Orçamental</v>
      </c>
      <c r="F147" s="710">
        <v>5.2600290000000003</v>
      </c>
      <c r="G147" s="710">
        <v>5.2600290000000003</v>
      </c>
    </row>
    <row r="148" spans="3:11" ht="15" customHeight="1">
      <c r="C148" s="717" t="str">
        <f>+C21</f>
        <v>MCT</v>
      </c>
      <c r="D148" s="717" t="str">
        <f>+D21</f>
        <v>P002 - Governação</v>
      </c>
      <c r="E148" s="718" t="str">
        <f>IF(Indice_index!$Z$1=1,"Reserva Orçamental","Reserve")</f>
        <v>Reserva Orçamental</v>
      </c>
      <c r="F148" s="710">
        <v>1.443878</v>
      </c>
      <c r="G148" s="710">
        <v>1.443878</v>
      </c>
    </row>
    <row r="149" spans="3:11" ht="15" customHeight="1">
      <c r="C149" s="717" t="str">
        <f>+C28</f>
        <v>MNE</v>
      </c>
      <c r="D149" s="717" t="str">
        <f>+D28</f>
        <v>P003 - Representação Externa</v>
      </c>
      <c r="E149" s="718" t="str">
        <f>IF(Indice_index!$Z$1=1,"Reserva Orçamental","Reserve")</f>
        <v>Reserva Orçamental</v>
      </c>
      <c r="F149" s="710">
        <v>7.8777249999999999</v>
      </c>
      <c r="G149" s="710">
        <v>6.3777249999999999</v>
      </c>
    </row>
    <row r="150" spans="3:11" ht="15" customHeight="1">
      <c r="C150" s="717" t="str">
        <f>+C32</f>
        <v>MDN</v>
      </c>
      <c r="D150" s="717" t="str">
        <f>+D32</f>
        <v>P004 - Defesa</v>
      </c>
      <c r="E150" s="718" t="str">
        <f>IF(Indice_index!$Z$1=1,"Reserva Orçamental","Reserve")</f>
        <v>Reserva Orçamental</v>
      </c>
      <c r="F150" s="710">
        <v>22.731487000000001</v>
      </c>
      <c r="G150" s="710">
        <v>20.930835999999999</v>
      </c>
    </row>
    <row r="151" spans="3:11" ht="15" customHeight="1">
      <c r="C151" s="717" t="str">
        <f>+C44</f>
        <v>MAI</v>
      </c>
      <c r="D151" s="717" t="str">
        <f>+D44</f>
        <v>P005 - Segurança Interna</v>
      </c>
      <c r="E151" s="718" t="str">
        <f>IF(Indice_index!$Z$1=1,"Reserva Orçamental","Reserve")</f>
        <v>Reserva Orçamental</v>
      </c>
      <c r="F151" s="710">
        <v>45.908163999999999</v>
      </c>
      <c r="G151" s="710">
        <v>44.367614000000003</v>
      </c>
    </row>
    <row r="152" spans="3:11" ht="15" customHeight="1">
      <c r="C152" s="717" t="str">
        <f>+C57</f>
        <v>MJ</v>
      </c>
      <c r="D152" s="717" t="str">
        <f>+D57</f>
        <v>P006 - Justiça</v>
      </c>
      <c r="E152" s="718" t="str">
        <f>IF(Indice_index!$Z$1=1,"Reserva Orçamental","Reserve")</f>
        <v>Reserva Orçamental</v>
      </c>
      <c r="F152" s="710">
        <v>35.970484999999996</v>
      </c>
      <c r="G152" s="710">
        <v>35.970484999999996</v>
      </c>
    </row>
    <row r="153" spans="3:11" ht="15" customHeight="1">
      <c r="C153" s="717" t="str">
        <f>+C66</f>
        <v>MF</v>
      </c>
      <c r="D153" s="717" t="str">
        <f>+D66</f>
        <v>P007 - Finanças</v>
      </c>
      <c r="E153" s="718" t="str">
        <f>IF(Indice_index!$Z$1=1,"Reserva Orçamental","Reserve")</f>
        <v>Reserva Orçamental</v>
      </c>
      <c r="F153" s="710">
        <v>37.062869999999997</v>
      </c>
      <c r="G153" s="710">
        <v>37.062869999999997</v>
      </c>
    </row>
    <row r="154" spans="3:11" ht="15" customHeight="1">
      <c r="C154" s="717" t="str">
        <f>+C71</f>
        <v>MEM</v>
      </c>
      <c r="D154" s="717" t="str">
        <f>+D71</f>
        <v>P009 - Economia e Mar</v>
      </c>
      <c r="E154" s="718" t="str">
        <f>IF(Indice_index!$Z$1=1,"Reserva Orçamental","Reserve")</f>
        <v>Reserva Orçamental</v>
      </c>
      <c r="F154" s="710">
        <v>25.830869</v>
      </c>
      <c r="G154" s="710">
        <v>25.624251000000001</v>
      </c>
    </row>
    <row r="155" spans="3:11" ht="15" customHeight="1">
      <c r="C155" s="717" t="str">
        <f>+C79</f>
        <v>MC</v>
      </c>
      <c r="D155" s="717" t="str">
        <f>+D79</f>
        <v>P010 - Cultura</v>
      </c>
      <c r="E155" s="718" t="str">
        <f>IF(Indice_index!$Z$1=1,"Reserva Orçamental","Reserve")</f>
        <v>Reserva Orçamental</v>
      </c>
      <c r="F155" s="710">
        <v>6.3398630000000002</v>
      </c>
      <c r="G155" s="710">
        <v>6.3398630000000002</v>
      </c>
    </row>
    <row r="156" spans="3:11" s="415" customFormat="1" ht="15" customHeight="1">
      <c r="C156" s="719" t="str">
        <f>+C83</f>
        <v>MCTES</v>
      </c>
      <c r="D156" s="719" t="str">
        <f>+D83</f>
        <v>P011 - Ciência, Tecnologia e Ens. Superior</v>
      </c>
      <c r="E156" s="720" t="str">
        <f>IF(Indice_index!$Z$1=1,"Reserva Orçamental","Reserve")</f>
        <v>Reserva Orçamental</v>
      </c>
      <c r="F156" s="710">
        <v>11.055078</v>
      </c>
      <c r="G156" s="710">
        <v>6.8739999999999999E-3</v>
      </c>
      <c r="H156"/>
      <c r="I156"/>
      <c r="J156"/>
      <c r="K156" s="184"/>
    </row>
    <row r="157" spans="3:11" ht="15" customHeight="1">
      <c r="C157" s="717" t="str">
        <f>+C90</f>
        <v>MEd</v>
      </c>
      <c r="D157" s="717" t="str">
        <f>+D90</f>
        <v>P012 - Ensino Básico e Secundário e Adm. Escolar</v>
      </c>
      <c r="E157" s="718" t="str">
        <f>IF(Indice_index!$Z$1=1,"Reserva Orçamental","Reserve")</f>
        <v>Reserva Orçamental</v>
      </c>
      <c r="F157" s="710">
        <v>3.2181950000000001</v>
      </c>
      <c r="G157" s="710">
        <v>3.2181950000000001</v>
      </c>
      <c r="K157" s="415"/>
    </row>
    <row r="158" spans="3:11" ht="15" customHeight="1">
      <c r="C158" s="717" t="str">
        <f>+C96</f>
        <v>MTSSS</v>
      </c>
      <c r="D158" s="717" t="str">
        <f>+D96</f>
        <v>P013 - Trabalho, Solidariedade e Seg. Social</v>
      </c>
      <c r="E158" s="718" t="str">
        <f>IF(Indice_index!$Z$1=1,"Reserva Orçamental","Reserve")</f>
        <v>Reserva Orçamental</v>
      </c>
      <c r="F158" s="710">
        <v>25.781593000000001</v>
      </c>
      <c r="G158" s="710">
        <v>25.781593000000001</v>
      </c>
    </row>
    <row r="159" spans="3:11" ht="15" customHeight="1">
      <c r="C159" s="717" t="str">
        <f>+C105</f>
        <v>MS</v>
      </c>
      <c r="D159" s="717" t="str">
        <f>+D105</f>
        <v>P014 - Saúde</v>
      </c>
      <c r="E159" s="718" t="str">
        <f>IF(Indice_index!$Z$1=1,"Reserva Orçamental","Reserve")</f>
        <v>Reserva Orçamental</v>
      </c>
      <c r="F159" s="710">
        <v>1.614336</v>
      </c>
      <c r="G159" s="710">
        <v>1.614336</v>
      </c>
    </row>
    <row r="160" spans="3:11" ht="15" customHeight="1">
      <c r="C160" s="717" t="str">
        <f>+C109</f>
        <v>MAAC</v>
      </c>
      <c r="D160" s="717" t="str">
        <f>+D109</f>
        <v>P015 - Ambiente e Ação Climática</v>
      </c>
      <c r="E160" s="718" t="str">
        <f>IF(Indice_index!$Z$1=1,"Reserva Orçamental","Reserve")</f>
        <v>Reserva Orçamental</v>
      </c>
      <c r="F160" s="710">
        <v>29.751135999999999</v>
      </c>
      <c r="G160" s="710">
        <v>29.386846999999999</v>
      </c>
    </row>
    <row r="161" spans="3:11" ht="15" customHeight="1">
      <c r="C161" s="717" t="str">
        <f>+C121</f>
        <v>MIH</v>
      </c>
      <c r="D161" s="717" t="str">
        <f>+D121</f>
        <v>P016 - Infraestruturas e Habitação</v>
      </c>
      <c r="E161" s="718" t="str">
        <f>IF(Indice_index!$Z$1=1,"Reserva Orçamental","Reserve")</f>
        <v>Reserva Orçamental</v>
      </c>
      <c r="F161" s="710">
        <v>85.569934000000003</v>
      </c>
      <c r="G161" s="710">
        <v>85.569934000000003</v>
      </c>
    </row>
    <row r="162" spans="3:11" ht="15" customHeight="1" thickBot="1">
      <c r="C162" s="721" t="str">
        <f>+C131</f>
        <v>MAA</v>
      </c>
      <c r="D162" s="721" t="str">
        <f>+D131</f>
        <v>P017 - Agricultura e Alimentação</v>
      </c>
      <c r="E162" s="722" t="str">
        <f>IF(Indice_index!$Z$1=1,"Reserva Orçamental","Reserve")</f>
        <v>Reserva Orçamental</v>
      </c>
      <c r="F162" s="711">
        <v>11.141745999999999</v>
      </c>
      <c r="G162" s="711">
        <v>11.141745999999999</v>
      </c>
    </row>
    <row r="163" spans="3:11" ht="15" customHeight="1" thickBot="1">
      <c r="C163" s="1789" t="s">
        <v>63</v>
      </c>
      <c r="D163" s="1790"/>
      <c r="E163" s="1790"/>
      <c r="F163" s="723">
        <f>SUM(F146:F162)</f>
        <v>361.69377300000002</v>
      </c>
      <c r="G163" s="724">
        <f>SUM(G146:G162)</f>
        <v>344.74316100000004</v>
      </c>
      <c r="H163" s="438"/>
      <c r="I163" s="438"/>
    </row>
    <row r="164" spans="3:11" ht="4.5" customHeight="1" thickBot="1">
      <c r="C164" s="725"/>
      <c r="D164" s="726"/>
      <c r="E164" s="726"/>
      <c r="F164" s="727"/>
      <c r="G164" s="728"/>
    </row>
    <row r="165" spans="3:11" ht="15" customHeight="1" thickBot="1">
      <c r="C165" s="1789" t="str">
        <f>IF(Indice_index!$Z$1=1,"TOTAL Cativos + Reserva 2022","TOTAL Frozen allocations + Reserve 2022")</f>
        <v>TOTAL Cativos + Reserva 2022</v>
      </c>
      <c r="D165" s="1790"/>
      <c r="E165" s="1790"/>
      <c r="F165" s="723">
        <f>F163+F138</f>
        <v>1016.6151669999999</v>
      </c>
      <c r="G165" s="724">
        <f>G163+G138</f>
        <v>873.97837776000006</v>
      </c>
      <c r="H165" s="438"/>
      <c r="I165" s="438"/>
      <c r="J165" s="606"/>
      <c r="K165" s="606"/>
    </row>
    <row r="166" spans="3:11" ht="15" customHeight="1" thickBot="1">
      <c r="C166" s="729"/>
      <c r="D166" s="729"/>
      <c r="E166" s="729"/>
      <c r="F166" s="726"/>
      <c r="G166" s="730"/>
      <c r="H166" s="438"/>
      <c r="I166" s="438"/>
      <c r="J166" s="606"/>
      <c r="K166" s="606"/>
    </row>
    <row r="167" spans="3:11" ht="15" customHeight="1" thickBot="1">
      <c r="C167" s="1789" t="str">
        <f>IF(Indice_index!$Z$1=1,"Por memória Total Cativos + Reserva 2021","Memo item: Total Frozen allocations + Reserve 2021")</f>
        <v>Por memória Total Cativos + Reserva 2021</v>
      </c>
      <c r="D167" s="1790"/>
      <c r="E167" s="1790"/>
      <c r="F167" s="708">
        <v>1014.713043</v>
      </c>
      <c r="G167" s="731">
        <v>773.10729975000004</v>
      </c>
      <c r="H167" s="438"/>
      <c r="I167" s="438"/>
    </row>
    <row r="168" spans="3:11" ht="4.5" customHeight="1">
      <c r="C168" s="725"/>
      <c r="D168" s="726"/>
      <c r="E168" s="726"/>
      <c r="F168" s="726"/>
    </row>
    <row r="169" spans="3:11" ht="15" customHeight="1">
      <c r="C169" s="663" t="str">
        <f>IF(Indice_index!$Z$1=1,"Notas:","Notes:")</f>
        <v>Notas:</v>
      </c>
      <c r="D169" s="732"/>
      <c r="E169" s="732"/>
      <c r="F169" s="732"/>
    </row>
    <row r="170" spans="3:11" ht="19.149999999999999" customHeight="1">
      <c r="C170" s="1783"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70" s="1783"/>
      <c r="E170" s="1783"/>
      <c r="F170" s="1783"/>
      <c r="G170" s="1783"/>
    </row>
    <row r="171" spans="3:11" ht="15" customHeight="1">
      <c r="C171" s="1784"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1" s="1784"/>
      <c r="E171" s="1784"/>
      <c r="F171" s="1784"/>
      <c r="G171" s="1780"/>
      <c r="H171" s="512"/>
    </row>
    <row r="172" spans="3:11" ht="15" customHeight="1">
      <c r="C172" s="1779"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2" s="1780"/>
      <c r="E172" s="1780"/>
      <c r="F172" s="1780"/>
      <c r="G172" s="1780"/>
    </row>
    <row r="173" spans="3:11" ht="4.5" customHeight="1">
      <c r="C173" s="1785" t="str">
        <f>IF(Indice_index!$Z$1=1,"Fonte: Direção-Geral do Orçamento","Source: Budget General Directorate")</f>
        <v>Fonte: Direção-Geral do Orçamento</v>
      </c>
      <c r="D173" s="1780"/>
      <c r="E173" s="1780"/>
      <c r="F173" s="1780"/>
      <c r="G173" s="1780"/>
      <c r="K173" s="246"/>
    </row>
    <row r="174" spans="3:11" ht="15" customHeight="1">
      <c r="C174" s="1780"/>
      <c r="D174" s="1780"/>
      <c r="E174" s="1780"/>
      <c r="F174" s="1780"/>
      <c r="G174" s="1780"/>
    </row>
    <row r="175" spans="3:11">
      <c r="F175" s="246"/>
    </row>
    <row r="176" spans="3:11" ht="23.5" customHeight="1">
      <c r="C176" s="1779"/>
      <c r="D176" s="1780"/>
      <c r="E176" s="1780"/>
      <c r="F176" s="1780"/>
      <c r="G176" s="1780"/>
    </row>
    <row r="177" spans="3:7" ht="23.5" customHeight="1">
      <c r="C177" s="1779"/>
      <c r="D177" s="1779"/>
      <c r="E177" s="1779"/>
      <c r="F177" s="1779"/>
      <c r="G177" s="1779"/>
    </row>
    <row r="179" spans="3:7">
      <c r="C179" s="410"/>
    </row>
    <row r="181" spans="3:7">
      <c r="C181" s="246"/>
    </row>
  </sheetData>
  <mergeCells count="19">
    <mergeCell ref="C5:C7"/>
    <mergeCell ref="D5:D7"/>
    <mergeCell ref="E5:E7"/>
    <mergeCell ref="C138:E138"/>
    <mergeCell ref="F5:G5"/>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36"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4"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4" customFormat="1" ht="24" customHeight="1">
      <c r="B2" s="8"/>
      <c r="C2" s="51" t="str">
        <f>IF(Indice_index!$Z$1=1,"24 - Lista de entidades da Administração Central em 2022","24 - Central Administration's list of entities in 2022")</f>
        <v>24 - Lista de entidades da Administração Central em 2022</v>
      </c>
      <c r="D2" s="51"/>
      <c r="F2"/>
      <c r="G2"/>
      <c r="H2"/>
      <c r="I2"/>
    </row>
    <row r="3" spans="1:9" s="186" customFormat="1" ht="30" customHeight="1">
      <c r="B3" s="183"/>
      <c r="C3" s="185"/>
      <c r="D3" s="185"/>
      <c r="F3"/>
      <c r="G3"/>
      <c r="H3"/>
      <c r="I3"/>
    </row>
    <row r="4" spans="1:9" ht="15" thickBot="1">
      <c r="A4" s="186"/>
      <c r="C4" s="661" t="str">
        <f>IF(Indice_index!$Z$1=1,"P001 - Órgãos de Soberania","P001 - Sovereignty Entities")</f>
        <v>P001 - Órgãos de Soberania</v>
      </c>
    </row>
    <row r="5" spans="1:9">
      <c r="A5" s="186"/>
      <c r="C5" s="662" t="s">
        <v>503</v>
      </c>
    </row>
    <row r="6" spans="1:9">
      <c r="A6" s="186"/>
      <c r="C6" s="662" t="s">
        <v>502</v>
      </c>
    </row>
    <row r="7" spans="1:9">
      <c r="A7" s="186"/>
      <c r="C7" s="662" t="s">
        <v>501</v>
      </c>
    </row>
    <row r="8" spans="1:9">
      <c r="A8" s="186"/>
      <c r="C8" s="662" t="s">
        <v>500</v>
      </c>
    </row>
    <row r="9" spans="1:9">
      <c r="A9" s="186"/>
      <c r="C9" s="662" t="s">
        <v>499</v>
      </c>
    </row>
    <row r="10" spans="1:9">
      <c r="A10" s="186"/>
      <c r="C10" s="662" t="s">
        <v>498</v>
      </c>
    </row>
    <row r="11" spans="1:9">
      <c r="A11" s="186"/>
      <c r="C11" s="662" t="s">
        <v>497</v>
      </c>
    </row>
    <row r="12" spans="1:9">
      <c r="A12" s="186"/>
      <c r="C12" s="662" t="s">
        <v>496</v>
      </c>
    </row>
    <row r="13" spans="1:9">
      <c r="A13" s="186"/>
      <c r="C13" s="662" t="s">
        <v>495</v>
      </c>
    </row>
    <row r="14" spans="1:9">
      <c r="A14" s="186"/>
      <c r="C14" s="662" t="s">
        <v>494</v>
      </c>
    </row>
    <row r="15" spans="1:9">
      <c r="A15" s="186"/>
      <c r="C15" s="662" t="s">
        <v>493</v>
      </c>
    </row>
    <row r="16" spans="1:9">
      <c r="A16" s="186"/>
      <c r="C16" s="662" t="s">
        <v>492</v>
      </c>
    </row>
    <row r="17" spans="1:3">
      <c r="A17" s="186"/>
      <c r="C17" s="662" t="s">
        <v>491</v>
      </c>
    </row>
    <row r="18" spans="1:3">
      <c r="A18" s="186"/>
      <c r="C18" s="662" t="s">
        <v>510</v>
      </c>
    </row>
    <row r="19" spans="1:3">
      <c r="A19" s="186"/>
      <c r="C19" s="662" t="s">
        <v>511</v>
      </c>
    </row>
    <row r="20" spans="1:3">
      <c r="A20" s="186"/>
      <c r="C20" s="662" t="s">
        <v>490</v>
      </c>
    </row>
    <row r="21" spans="1:3">
      <c r="A21" s="186"/>
      <c r="C21" s="662" t="s">
        <v>489</v>
      </c>
    </row>
    <row r="22" spans="1:3">
      <c r="A22" s="186"/>
      <c r="C22" s="662" t="s">
        <v>488</v>
      </c>
    </row>
    <row r="23" spans="1:3">
      <c r="A23" s="186"/>
      <c r="C23" s="662" t="s">
        <v>487</v>
      </c>
    </row>
    <row r="24" spans="1:3">
      <c r="A24" s="186"/>
      <c r="C24" s="662" t="s">
        <v>486</v>
      </c>
    </row>
    <row r="25" spans="1:3">
      <c r="A25" s="186"/>
      <c r="C25" s="662" t="s">
        <v>485</v>
      </c>
    </row>
    <row r="26" spans="1:3">
      <c r="A26" s="186"/>
      <c r="C26" s="662" t="s">
        <v>484</v>
      </c>
    </row>
    <row r="27" spans="1:3">
      <c r="A27" s="186"/>
      <c r="C27" s="662" t="s">
        <v>483</v>
      </c>
    </row>
    <row r="28" spans="1:3">
      <c r="A28" s="186"/>
      <c r="C28" s="662" t="s">
        <v>482</v>
      </c>
    </row>
    <row r="29" spans="1:3">
      <c r="A29" s="186"/>
      <c r="C29" s="662" t="s">
        <v>481</v>
      </c>
    </row>
    <row r="30" spans="1:3" ht="15" thickBot="1">
      <c r="A30" s="186"/>
      <c r="C30" s="661" t="str">
        <f>IF(Indice_index!$Z$1=1,"P002 - Governação","P002 - Government")</f>
        <v>P002 - Governação</v>
      </c>
    </row>
    <row r="31" spans="1:3">
      <c r="A31" s="186"/>
      <c r="C31" s="662" t="s">
        <v>286</v>
      </c>
    </row>
    <row r="32" spans="1:3">
      <c r="A32" s="186"/>
      <c r="C32" s="662" t="s">
        <v>512</v>
      </c>
    </row>
    <row r="33" spans="1:3">
      <c r="A33" s="186"/>
      <c r="C33" s="662" t="s">
        <v>480</v>
      </c>
    </row>
    <row r="34" spans="1:3">
      <c r="A34" s="186"/>
      <c r="C34" s="662" t="s">
        <v>479</v>
      </c>
    </row>
    <row r="35" spans="1:3">
      <c r="A35" s="186"/>
      <c r="C35" s="662" t="s">
        <v>513</v>
      </c>
    </row>
    <row r="36" spans="1:3">
      <c r="A36" s="186"/>
      <c r="C36" s="662" t="s">
        <v>514</v>
      </c>
    </row>
    <row r="37" spans="1:3">
      <c r="A37" s="186"/>
      <c r="C37" s="662" t="s">
        <v>515</v>
      </c>
    </row>
    <row r="38" spans="1:3">
      <c r="A38" s="186"/>
      <c r="C38" s="662" t="s">
        <v>478</v>
      </c>
    </row>
    <row r="39" spans="1:3">
      <c r="A39" s="186"/>
      <c r="C39" s="662" t="s">
        <v>477</v>
      </c>
    </row>
    <row r="40" spans="1:3">
      <c r="A40" s="186"/>
      <c r="C40" s="662" t="s">
        <v>476</v>
      </c>
    </row>
    <row r="41" spans="1:3">
      <c r="A41" s="96"/>
      <c r="C41" s="662" t="s">
        <v>475</v>
      </c>
    </row>
    <row r="42" spans="1:3">
      <c r="A42" s="96"/>
      <c r="C42" s="662" t="s">
        <v>474</v>
      </c>
    </row>
    <row r="43" spans="1:3">
      <c r="A43" s="96"/>
      <c r="C43" s="662" t="s">
        <v>516</v>
      </c>
    </row>
    <row r="44" spans="1:3">
      <c r="A44" s="96"/>
      <c r="C44" s="662" t="s">
        <v>473</v>
      </c>
    </row>
    <row r="45" spans="1:3">
      <c r="A45" s="96"/>
      <c r="C45" s="662" t="s">
        <v>517</v>
      </c>
    </row>
    <row r="46" spans="1:3">
      <c r="A46" s="186"/>
      <c r="C46" s="662" t="s">
        <v>154</v>
      </c>
    </row>
    <row r="47" spans="1:3">
      <c r="A47" s="186"/>
      <c r="C47" s="662" t="s">
        <v>272</v>
      </c>
    </row>
    <row r="48" spans="1:3">
      <c r="A48" s="186"/>
      <c r="C48" s="662" t="s">
        <v>471</v>
      </c>
    </row>
    <row r="49" spans="1:3">
      <c r="A49" s="53"/>
      <c r="C49" s="662" t="s">
        <v>470</v>
      </c>
    </row>
    <row r="50" spans="1:3">
      <c r="A50" s="186"/>
      <c r="C50" s="662" t="s">
        <v>469</v>
      </c>
    </row>
    <row r="51" spans="1:3">
      <c r="A51" s="186"/>
      <c r="C51" s="662" t="s">
        <v>518</v>
      </c>
    </row>
    <row r="52" spans="1:3">
      <c r="A52" s="186"/>
      <c r="C52" s="662" t="s">
        <v>468</v>
      </c>
    </row>
    <row r="53" spans="1:3">
      <c r="A53" s="186"/>
      <c r="C53" s="662" t="s">
        <v>467</v>
      </c>
    </row>
    <row r="54" spans="1:3">
      <c r="A54" s="186"/>
      <c r="C54" s="662" t="s">
        <v>466</v>
      </c>
    </row>
    <row r="55" spans="1:3">
      <c r="A55" s="186"/>
      <c r="C55" s="662" t="s">
        <v>465</v>
      </c>
    </row>
    <row r="56" spans="1:3">
      <c r="A56" s="186"/>
      <c r="C56" s="662" t="s">
        <v>472</v>
      </c>
    </row>
    <row r="57" spans="1:3">
      <c r="A57" s="498"/>
      <c r="C57" s="662" t="s">
        <v>464</v>
      </c>
    </row>
    <row r="58" spans="1:3">
      <c r="A58" s="423"/>
      <c r="C58" s="662" t="s">
        <v>519</v>
      </c>
    </row>
    <row r="59" spans="1:3">
      <c r="A59" s="423"/>
      <c r="C59" s="662" t="s">
        <v>520</v>
      </c>
    </row>
    <row r="60" spans="1:3">
      <c r="A60" s="498"/>
      <c r="C60" s="662" t="s">
        <v>463</v>
      </c>
    </row>
    <row r="61" spans="1:3">
      <c r="A61" s="186"/>
      <c r="C61" s="662" t="s">
        <v>462</v>
      </c>
    </row>
    <row r="62" spans="1:3">
      <c r="A62" s="186"/>
      <c r="C62" s="662" t="s">
        <v>461</v>
      </c>
    </row>
    <row r="63" spans="1:3" ht="15" thickBot="1">
      <c r="A63" s="186"/>
      <c r="C63" s="661" t="str">
        <f>IF(Indice_index!$Z$1=1,"P003 - Representação Externa","P003 - Foreign Affairs")</f>
        <v>P003 - Representação Externa</v>
      </c>
    </row>
    <row r="64" spans="1:3">
      <c r="A64" s="186"/>
      <c r="C64" s="662" t="s">
        <v>521</v>
      </c>
    </row>
    <row r="65" spans="1:3">
      <c r="A65" s="186"/>
      <c r="C65" s="662" t="s">
        <v>522</v>
      </c>
    </row>
    <row r="66" spans="1:3">
      <c r="A66" s="186"/>
      <c r="C66" s="662" t="s">
        <v>447</v>
      </c>
    </row>
    <row r="67" spans="1:3">
      <c r="A67" s="186"/>
      <c r="C67" s="662" t="s">
        <v>446</v>
      </c>
    </row>
    <row r="68" spans="1:3">
      <c r="A68" s="186"/>
      <c r="C68" s="662" t="s">
        <v>523</v>
      </c>
    </row>
    <row r="69" spans="1:3" ht="15" thickBot="1">
      <c r="A69" s="186"/>
      <c r="C69" s="661" t="str">
        <f>IF(Indice_index!$Z$1=1,"P004 - Defesa","P004 - Defence")</f>
        <v>P004 - Defesa</v>
      </c>
    </row>
    <row r="70" spans="1:3">
      <c r="A70" s="186"/>
      <c r="C70" s="662" t="s">
        <v>524</v>
      </c>
    </row>
    <row r="71" spans="1:3">
      <c r="A71" s="186"/>
      <c r="C71" s="662" t="s">
        <v>525</v>
      </c>
    </row>
    <row r="72" spans="1:3">
      <c r="A72" s="186"/>
      <c r="C72" s="662" t="s">
        <v>526</v>
      </c>
    </row>
    <row r="73" spans="1:3">
      <c r="A73" s="186"/>
      <c r="C73" s="662" t="s">
        <v>420</v>
      </c>
    </row>
    <row r="74" spans="1:3">
      <c r="A74" s="186"/>
      <c r="C74" s="662" t="s">
        <v>419</v>
      </c>
    </row>
    <row r="75" spans="1:3">
      <c r="A75" s="186"/>
      <c r="C75" s="662" t="s">
        <v>527</v>
      </c>
    </row>
    <row r="76" spans="1:3">
      <c r="A76" s="186"/>
      <c r="C76" s="662" t="s">
        <v>418</v>
      </c>
    </row>
    <row r="77" spans="1:3">
      <c r="A77" s="186"/>
      <c r="C77" s="662" t="s">
        <v>528</v>
      </c>
    </row>
    <row r="78" spans="1:3">
      <c r="A78" s="186"/>
      <c r="C78" s="662" t="s">
        <v>529</v>
      </c>
    </row>
    <row r="79" spans="1:3">
      <c r="A79" s="186"/>
      <c r="C79" s="662" t="s">
        <v>530</v>
      </c>
    </row>
    <row r="80" spans="1:3">
      <c r="A80" s="186"/>
      <c r="C80" s="662" t="s">
        <v>531</v>
      </c>
    </row>
    <row r="81" spans="1:3">
      <c r="A81" s="186"/>
      <c r="C81" s="662" t="s">
        <v>417</v>
      </c>
    </row>
    <row r="82" spans="1:3">
      <c r="A82" s="186"/>
      <c r="C82" s="662" t="s">
        <v>416</v>
      </c>
    </row>
    <row r="83" spans="1:3">
      <c r="A83" s="186"/>
      <c r="C83" s="662" t="s">
        <v>532</v>
      </c>
    </row>
    <row r="84" spans="1:3">
      <c r="A84" s="186"/>
      <c r="C84" s="662" t="s">
        <v>415</v>
      </c>
    </row>
    <row r="85" spans="1:3">
      <c r="A85" s="186"/>
      <c r="C85" s="662" t="s">
        <v>414</v>
      </c>
    </row>
    <row r="86" spans="1:3">
      <c r="A86" s="186"/>
      <c r="C86" s="662" t="s">
        <v>533</v>
      </c>
    </row>
    <row r="87" spans="1:3" ht="15" thickBot="1">
      <c r="A87" s="186"/>
      <c r="C87" s="661" t="str">
        <f>IF(Indice_index!$Z$1=1,"P005 - Segurança Interna","P005 - Internal Security")</f>
        <v>P005 - Segurança Interna</v>
      </c>
    </row>
    <row r="88" spans="1:3">
      <c r="A88" s="186"/>
      <c r="C88" s="662" t="s">
        <v>534</v>
      </c>
    </row>
    <row r="89" spans="1:3">
      <c r="A89" s="186"/>
      <c r="C89" s="662" t="s">
        <v>413</v>
      </c>
    </row>
    <row r="90" spans="1:3">
      <c r="A90" s="186"/>
      <c r="C90" s="662" t="s">
        <v>412</v>
      </c>
    </row>
    <row r="91" spans="1:3">
      <c r="A91" s="186"/>
      <c r="C91" s="662" t="s">
        <v>411</v>
      </c>
    </row>
    <row r="92" spans="1:3">
      <c r="A92" s="186"/>
      <c r="C92" s="662" t="s">
        <v>410</v>
      </c>
    </row>
    <row r="93" spans="1:3">
      <c r="A93" s="186"/>
      <c r="C93" s="662" t="s">
        <v>409</v>
      </c>
    </row>
    <row r="94" spans="1:3">
      <c r="A94" s="186"/>
      <c r="C94" s="662" t="s">
        <v>535</v>
      </c>
    </row>
    <row r="95" spans="1:3">
      <c r="A95" s="186"/>
      <c r="C95" s="662" t="s">
        <v>408</v>
      </c>
    </row>
    <row r="96" spans="1:3">
      <c r="A96" s="186"/>
      <c r="C96" s="662" t="s">
        <v>536</v>
      </c>
    </row>
    <row r="97" spans="1:3">
      <c r="A97" s="186"/>
      <c r="C97" s="662" t="s">
        <v>407</v>
      </c>
    </row>
    <row r="98" spans="1:3">
      <c r="A98" s="186"/>
      <c r="C98" s="662" t="s">
        <v>406</v>
      </c>
    </row>
    <row r="99" spans="1:3">
      <c r="A99" s="186"/>
      <c r="C99" s="662" t="s">
        <v>405</v>
      </c>
    </row>
    <row r="100" spans="1:3">
      <c r="A100" s="186"/>
      <c r="C100" s="662" t="s">
        <v>537</v>
      </c>
    </row>
    <row r="101" spans="1:3" ht="15" thickBot="1">
      <c r="A101" s="186"/>
      <c r="C101" s="661" t="str">
        <f>IF(Indice_index!$Z$1=1,"P006 - Justiça","P006 - Justice")</f>
        <v>P006 - Justiça</v>
      </c>
    </row>
    <row r="102" spans="1:3">
      <c r="A102" s="186"/>
      <c r="C102" s="662" t="s">
        <v>404</v>
      </c>
    </row>
    <row r="103" spans="1:3">
      <c r="A103" s="186"/>
      <c r="C103" s="662" t="s">
        <v>538</v>
      </c>
    </row>
    <row r="104" spans="1:3">
      <c r="A104" s="186"/>
      <c r="C104" s="662" t="s">
        <v>403</v>
      </c>
    </row>
    <row r="105" spans="1:3">
      <c r="A105" s="186"/>
      <c r="C105" s="662" t="s">
        <v>539</v>
      </c>
    </row>
    <row r="106" spans="1:3">
      <c r="A106" s="186"/>
      <c r="C106" s="662" t="s">
        <v>540</v>
      </c>
    </row>
    <row r="107" spans="1:3">
      <c r="A107" s="186"/>
      <c r="C107" s="662" t="s">
        <v>541</v>
      </c>
    </row>
    <row r="108" spans="1:3">
      <c r="A108" s="186"/>
      <c r="C108" s="662" t="s">
        <v>542</v>
      </c>
    </row>
    <row r="109" spans="1:3">
      <c r="A109" s="186"/>
      <c r="C109" s="662" t="s">
        <v>543</v>
      </c>
    </row>
    <row r="110" spans="1:3">
      <c r="A110" s="186"/>
      <c r="C110" s="662" t="s">
        <v>544</v>
      </c>
    </row>
    <row r="111" spans="1:3">
      <c r="A111" s="186"/>
      <c r="C111" s="662" t="s">
        <v>402</v>
      </c>
    </row>
    <row r="112" spans="1:3">
      <c r="A112" s="186"/>
      <c r="C112" s="662" t="s">
        <v>545</v>
      </c>
    </row>
    <row r="113" spans="1:3">
      <c r="A113" s="186"/>
      <c r="C113" s="662" t="s">
        <v>546</v>
      </c>
    </row>
    <row r="114" spans="1:3">
      <c r="A114" s="186"/>
      <c r="C114" s="662" t="s">
        <v>547</v>
      </c>
    </row>
    <row r="115" spans="1:3">
      <c r="A115" s="186"/>
      <c r="C115" s="662" t="s">
        <v>401</v>
      </c>
    </row>
    <row r="116" spans="1:3">
      <c r="A116" s="186"/>
      <c r="C116" s="662" t="s">
        <v>548</v>
      </c>
    </row>
    <row r="117" spans="1:3">
      <c r="A117" s="186"/>
      <c r="C117" s="662" t="s">
        <v>400</v>
      </c>
    </row>
    <row r="118" spans="1:3">
      <c r="A118" s="186"/>
      <c r="C118" s="662" t="s">
        <v>399</v>
      </c>
    </row>
    <row r="119" spans="1:3">
      <c r="A119" s="186"/>
      <c r="C119" s="662" t="s">
        <v>398</v>
      </c>
    </row>
    <row r="120" spans="1:3">
      <c r="A120" s="186"/>
      <c r="C120" s="662" t="s">
        <v>397</v>
      </c>
    </row>
    <row r="121" spans="1:3">
      <c r="A121" s="186"/>
      <c r="C121" s="662" t="s">
        <v>396</v>
      </c>
    </row>
    <row r="122" spans="1:3">
      <c r="A122" s="186"/>
      <c r="C122" s="662" t="s">
        <v>395</v>
      </c>
    </row>
    <row r="123" spans="1:3">
      <c r="A123" s="186"/>
      <c r="C123" s="662" t="s">
        <v>394</v>
      </c>
    </row>
    <row r="124" spans="1:3" ht="15" thickBot="1">
      <c r="A124" s="186"/>
      <c r="C124" s="661" t="str">
        <f>IF(Indice_index!$Z$1=1,"P007 - Finanças","P007 - Finance and Public Administration")</f>
        <v>P007 - Finanças</v>
      </c>
    </row>
    <row r="125" spans="1:3">
      <c r="A125" s="186"/>
      <c r="C125" s="662" t="s">
        <v>552</v>
      </c>
    </row>
    <row r="126" spans="1:3">
      <c r="A126" s="186"/>
      <c r="C126" s="662" t="s">
        <v>553</v>
      </c>
    </row>
    <row r="127" spans="1:3">
      <c r="A127" s="186"/>
      <c r="C127" s="662" t="s">
        <v>445</v>
      </c>
    </row>
    <row r="128" spans="1:3">
      <c r="A128" s="186"/>
      <c r="C128" s="662" t="s">
        <v>444</v>
      </c>
    </row>
    <row r="129" spans="1:4">
      <c r="A129" s="186"/>
      <c r="C129" s="662" t="s">
        <v>443</v>
      </c>
    </row>
    <row r="130" spans="1:4">
      <c r="A130" s="186"/>
      <c r="C130" s="662" t="s">
        <v>442</v>
      </c>
    </row>
    <row r="131" spans="1:4">
      <c r="A131" s="186"/>
      <c r="C131" s="662" t="s">
        <v>441</v>
      </c>
    </row>
    <row r="132" spans="1:4">
      <c r="A132" s="186"/>
      <c r="C132" s="662" t="s">
        <v>440</v>
      </c>
    </row>
    <row r="133" spans="1:4">
      <c r="A133" s="186"/>
      <c r="C133" s="662" t="s">
        <v>549</v>
      </c>
    </row>
    <row r="134" spans="1:4">
      <c r="A134" s="186"/>
      <c r="C134" s="662" t="s">
        <v>554</v>
      </c>
    </row>
    <row r="135" spans="1:4">
      <c r="A135" s="186"/>
      <c r="C135" s="662" t="s">
        <v>439</v>
      </c>
      <c r="D135" s="246"/>
    </row>
    <row r="136" spans="1:4">
      <c r="A136" s="186"/>
      <c r="C136" s="662" t="s">
        <v>438</v>
      </c>
    </row>
    <row r="137" spans="1:4">
      <c r="A137" s="186"/>
      <c r="C137" s="662" t="s">
        <v>437</v>
      </c>
    </row>
    <row r="138" spans="1:4">
      <c r="A138" s="186"/>
      <c r="C138" s="662" t="s">
        <v>436</v>
      </c>
    </row>
    <row r="139" spans="1:4">
      <c r="A139" s="186"/>
      <c r="C139" s="662" t="s">
        <v>435</v>
      </c>
    </row>
    <row r="140" spans="1:4">
      <c r="A140" s="186"/>
      <c r="C140" s="662" t="s">
        <v>434</v>
      </c>
    </row>
    <row r="141" spans="1:4">
      <c r="A141" s="186"/>
      <c r="C141" s="662" t="s">
        <v>433</v>
      </c>
    </row>
    <row r="142" spans="1:4">
      <c r="A142" s="186"/>
      <c r="C142" s="662" t="s">
        <v>432</v>
      </c>
    </row>
    <row r="143" spans="1:4">
      <c r="A143" s="186"/>
      <c r="C143" s="662" t="s">
        <v>431</v>
      </c>
    </row>
    <row r="144" spans="1:4">
      <c r="A144" s="186"/>
      <c r="C144" s="662" t="s">
        <v>555</v>
      </c>
      <c r="D144" s="246"/>
    </row>
    <row r="145" spans="1:3">
      <c r="A145" s="186"/>
      <c r="C145" s="662" t="s">
        <v>430</v>
      </c>
    </row>
    <row r="146" spans="1:3">
      <c r="A146" s="186"/>
      <c r="C146" s="662" t="s">
        <v>429</v>
      </c>
    </row>
    <row r="147" spans="1:3">
      <c r="A147" s="186"/>
      <c r="C147" s="662" t="s">
        <v>428</v>
      </c>
    </row>
    <row r="148" spans="1:3">
      <c r="A148" s="186"/>
      <c r="C148" s="662" t="s">
        <v>550</v>
      </c>
    </row>
    <row r="149" spans="1:3">
      <c r="A149" s="186"/>
      <c r="C149" s="662" t="s">
        <v>551</v>
      </c>
    </row>
    <row r="150" spans="1:3">
      <c r="A150" s="186"/>
      <c r="C150" s="662" t="s">
        <v>427</v>
      </c>
    </row>
    <row r="151" spans="1:3">
      <c r="A151" s="186"/>
      <c r="C151" s="662" t="s">
        <v>426</v>
      </c>
    </row>
    <row r="152" spans="1:3">
      <c r="A152" s="186"/>
      <c r="C152" s="662" t="s">
        <v>556</v>
      </c>
    </row>
    <row r="153" spans="1:3">
      <c r="A153" s="186"/>
      <c r="C153" s="662" t="s">
        <v>425</v>
      </c>
    </row>
    <row r="154" spans="1:3">
      <c r="A154" s="186"/>
      <c r="C154" s="662" t="s">
        <v>424</v>
      </c>
    </row>
    <row r="155" spans="1:3">
      <c r="A155" s="186"/>
      <c r="C155" s="662" t="s">
        <v>423</v>
      </c>
    </row>
    <row r="156" spans="1:3">
      <c r="A156" s="186"/>
      <c r="C156" s="662" t="s">
        <v>422</v>
      </c>
    </row>
    <row r="157" spans="1:3">
      <c r="A157" s="186"/>
      <c r="C157" s="662" t="s">
        <v>557</v>
      </c>
    </row>
    <row r="158" spans="1:3" ht="15" thickBot="1">
      <c r="A158" s="186"/>
      <c r="C158" s="661" t="str">
        <f>IF(Indice_index!$Z$1=1,"P008 - Gestão Da Dívida Pública","P008 - Public Debt Management")</f>
        <v>P008 - Gestão Da Dívida Pública</v>
      </c>
    </row>
    <row r="159" spans="1:3">
      <c r="A159" s="186"/>
      <c r="C159" s="662" t="s">
        <v>421</v>
      </c>
    </row>
    <row r="160" spans="1:3" ht="15" thickBot="1">
      <c r="A160" s="186"/>
      <c r="C160" s="661" t="str">
        <f>IF(Indice_index!$Z$1=1,"P009 - Economia e Mar","P009 - Economy and Sea")</f>
        <v>P009 - Economia e Mar</v>
      </c>
    </row>
    <row r="161" spans="1:3">
      <c r="A161" s="186"/>
      <c r="C161" s="662" t="s">
        <v>582</v>
      </c>
    </row>
    <row r="162" spans="1:3">
      <c r="A162" s="186"/>
      <c r="C162" s="662" t="s">
        <v>559</v>
      </c>
    </row>
    <row r="163" spans="1:3">
      <c r="A163" s="186"/>
      <c r="C163" s="662" t="s">
        <v>560</v>
      </c>
    </row>
    <row r="164" spans="1:3">
      <c r="A164" s="186"/>
      <c r="C164" s="662" t="s">
        <v>100</v>
      </c>
    </row>
    <row r="165" spans="1:3">
      <c r="A165" s="186"/>
      <c r="C165" s="662" t="s">
        <v>561</v>
      </c>
    </row>
    <row r="166" spans="1:3">
      <c r="A166" s="186"/>
      <c r="C166" s="662" t="s">
        <v>460</v>
      </c>
    </row>
    <row r="167" spans="1:3">
      <c r="A167" s="186"/>
      <c r="C167" s="662" t="s">
        <v>98</v>
      </c>
    </row>
    <row r="168" spans="1:3">
      <c r="A168" s="186"/>
      <c r="C168" s="662" t="s">
        <v>562</v>
      </c>
    </row>
    <row r="169" spans="1:3">
      <c r="A169" s="186"/>
      <c r="C169" s="662" t="s">
        <v>97</v>
      </c>
    </row>
    <row r="170" spans="1:3">
      <c r="A170" s="186"/>
      <c r="C170" s="662" t="s">
        <v>459</v>
      </c>
    </row>
    <row r="171" spans="1:3">
      <c r="A171" s="186"/>
      <c r="C171" s="662" t="s">
        <v>458</v>
      </c>
    </row>
    <row r="172" spans="1:3">
      <c r="A172" s="186"/>
      <c r="C172" s="662" t="s">
        <v>563</v>
      </c>
    </row>
    <row r="173" spans="1:3">
      <c r="A173" s="186"/>
      <c r="C173" s="662" t="s">
        <v>457</v>
      </c>
    </row>
    <row r="174" spans="1:3">
      <c r="A174" s="186"/>
      <c r="C174" s="662" t="s">
        <v>456</v>
      </c>
    </row>
    <row r="175" spans="1:3">
      <c r="A175" s="186"/>
      <c r="C175" s="662" t="s">
        <v>564</v>
      </c>
    </row>
    <row r="176" spans="1:3">
      <c r="A176" s="186"/>
      <c r="C176" s="662" t="s">
        <v>455</v>
      </c>
    </row>
    <row r="177" spans="1:3">
      <c r="A177" s="186"/>
      <c r="C177" s="662" t="s">
        <v>454</v>
      </c>
    </row>
    <row r="178" spans="1:3">
      <c r="A178" s="186"/>
      <c r="C178" s="662" t="s">
        <v>453</v>
      </c>
    </row>
    <row r="179" spans="1:3">
      <c r="A179" s="186"/>
      <c r="C179" s="662" t="s">
        <v>558</v>
      </c>
    </row>
    <row r="180" spans="1:3">
      <c r="A180" s="186"/>
      <c r="C180" s="662" t="s">
        <v>565</v>
      </c>
    </row>
    <row r="181" spans="1:3">
      <c r="A181" s="186"/>
      <c r="C181" s="662" t="s">
        <v>566</v>
      </c>
    </row>
    <row r="182" spans="1:3">
      <c r="A182" s="186"/>
      <c r="C182" s="662" t="s">
        <v>567</v>
      </c>
    </row>
    <row r="183" spans="1:3">
      <c r="A183" s="186"/>
      <c r="C183" s="662" t="s">
        <v>568</v>
      </c>
    </row>
    <row r="184" spans="1:3">
      <c r="A184" s="186"/>
      <c r="C184" s="662" t="s">
        <v>569</v>
      </c>
    </row>
    <row r="185" spans="1:3">
      <c r="A185" s="186"/>
      <c r="C185" s="662" t="s">
        <v>452</v>
      </c>
    </row>
    <row r="186" spans="1:3">
      <c r="A186" s="186"/>
      <c r="C186" s="662" t="s">
        <v>451</v>
      </c>
    </row>
    <row r="187" spans="1:3">
      <c r="A187" s="186"/>
      <c r="C187" s="662" t="s">
        <v>450</v>
      </c>
    </row>
    <row r="188" spans="1:3">
      <c r="A188" s="186"/>
      <c r="C188" s="662" t="s">
        <v>449</v>
      </c>
    </row>
    <row r="189" spans="1:3">
      <c r="A189" s="186"/>
      <c r="C189" s="662" t="s">
        <v>448</v>
      </c>
    </row>
    <row r="190" spans="1:3" ht="15" thickBot="1">
      <c r="A190" s="186"/>
      <c r="B190" s="246"/>
      <c r="C190" s="661" t="str">
        <f>IF(Indice_index!$Z$1=1,"P010 - Cultura","P010 - Culture")</f>
        <v>P010 - Cultura</v>
      </c>
    </row>
    <row r="191" spans="1:3">
      <c r="A191" s="186"/>
      <c r="C191" s="662" t="s">
        <v>393</v>
      </c>
    </row>
    <row r="192" spans="1:3">
      <c r="A192" s="186"/>
      <c r="C192" s="662" t="s">
        <v>392</v>
      </c>
    </row>
    <row r="193" spans="1:3">
      <c r="A193" s="186"/>
      <c r="C193" s="662" t="s">
        <v>387</v>
      </c>
    </row>
    <row r="194" spans="1:3">
      <c r="A194" s="186"/>
      <c r="C194" s="662" t="s">
        <v>391</v>
      </c>
    </row>
    <row r="195" spans="1:3">
      <c r="A195" s="186"/>
      <c r="C195" s="662" t="s">
        <v>390</v>
      </c>
    </row>
    <row r="196" spans="1:3">
      <c r="A196" s="186"/>
      <c r="C196" s="662" t="s">
        <v>389</v>
      </c>
    </row>
    <row r="197" spans="1:3">
      <c r="A197" s="186"/>
      <c r="C197" s="662" t="s">
        <v>388</v>
      </c>
    </row>
    <row r="198" spans="1:3">
      <c r="A198" s="186"/>
      <c r="C198" s="662" t="s">
        <v>386</v>
      </c>
    </row>
    <row r="199" spans="1:3">
      <c r="A199" s="186"/>
      <c r="C199" s="662" t="s">
        <v>385</v>
      </c>
    </row>
    <row r="200" spans="1:3">
      <c r="A200" s="186"/>
      <c r="C200" s="662" t="s">
        <v>384</v>
      </c>
    </row>
    <row r="201" spans="1:3">
      <c r="A201" s="186"/>
      <c r="C201" s="662" t="s">
        <v>383</v>
      </c>
    </row>
    <row r="202" spans="1:3">
      <c r="A202" s="186"/>
      <c r="C202" s="662" t="s">
        <v>382</v>
      </c>
    </row>
    <row r="203" spans="1:3">
      <c r="A203" s="186"/>
      <c r="C203" s="662" t="s">
        <v>381</v>
      </c>
    </row>
    <row r="204" spans="1:3">
      <c r="A204" s="186"/>
      <c r="C204" s="662" t="s">
        <v>380</v>
      </c>
    </row>
    <row r="205" spans="1:3">
      <c r="A205" s="186"/>
      <c r="C205" s="662" t="s">
        <v>379</v>
      </c>
    </row>
    <row r="206" spans="1:3">
      <c r="A206" s="186"/>
      <c r="C206" s="662" t="s">
        <v>378</v>
      </c>
    </row>
    <row r="207" spans="1:3">
      <c r="A207" s="186"/>
      <c r="C207" s="662" t="s">
        <v>377</v>
      </c>
    </row>
    <row r="208" spans="1:3" ht="15" thickBot="1">
      <c r="A208" s="186"/>
      <c r="C208" s="661" t="str">
        <f>IF(Indice_index!$Z$1=1,"P011 - Ciência, Tecnologia e Ensino Superior","P011 - Science and Higher Education")</f>
        <v>P011 - Ciência, Tecnologia e Ensino Superior</v>
      </c>
    </row>
    <row r="209" spans="1:3">
      <c r="A209" s="186"/>
      <c r="C209" s="662" t="s">
        <v>376</v>
      </c>
    </row>
    <row r="210" spans="1:3">
      <c r="A210" s="186"/>
      <c r="C210" s="662" t="s">
        <v>375</v>
      </c>
    </row>
    <row r="211" spans="1:3">
      <c r="A211" s="186"/>
      <c r="C211" s="662" t="s">
        <v>374</v>
      </c>
    </row>
    <row r="212" spans="1:3">
      <c r="A212" s="186"/>
      <c r="C212" s="662" t="s">
        <v>373</v>
      </c>
    </row>
    <row r="213" spans="1:3">
      <c r="A213" s="186"/>
      <c r="C213" s="662" t="s">
        <v>372</v>
      </c>
    </row>
    <row r="214" spans="1:3">
      <c r="A214" s="186"/>
      <c r="C214" s="662" t="s">
        <v>371</v>
      </c>
    </row>
    <row r="215" spans="1:3">
      <c r="A215" s="186"/>
      <c r="C215" s="662" t="s">
        <v>370</v>
      </c>
    </row>
    <row r="216" spans="1:3">
      <c r="A216" s="186"/>
      <c r="C216" s="662" t="s">
        <v>369</v>
      </c>
    </row>
    <row r="217" spans="1:3">
      <c r="A217" s="186"/>
      <c r="C217" s="662" t="s">
        <v>368</v>
      </c>
    </row>
    <row r="218" spans="1:3">
      <c r="A218" s="186"/>
      <c r="C218" s="662" t="s">
        <v>367</v>
      </c>
    </row>
    <row r="219" spans="1:3">
      <c r="A219" s="186"/>
      <c r="C219" s="662" t="s">
        <v>366</v>
      </c>
    </row>
    <row r="220" spans="1:3">
      <c r="A220" s="186"/>
      <c r="C220" s="662" t="s">
        <v>365</v>
      </c>
    </row>
    <row r="221" spans="1:3">
      <c r="A221" s="186"/>
      <c r="C221" s="662" t="s">
        <v>364</v>
      </c>
    </row>
    <row r="222" spans="1:3">
      <c r="A222" s="186"/>
      <c r="C222" s="662" t="s">
        <v>363</v>
      </c>
    </row>
    <row r="223" spans="1:3">
      <c r="A223" s="186"/>
      <c r="C223" s="662" t="s">
        <v>362</v>
      </c>
    </row>
    <row r="224" spans="1:3">
      <c r="A224" s="186"/>
      <c r="C224" s="662" t="s">
        <v>570</v>
      </c>
    </row>
    <row r="225" spans="1:3">
      <c r="A225" s="186"/>
      <c r="C225" s="662" t="s">
        <v>361</v>
      </c>
    </row>
    <row r="226" spans="1:3">
      <c r="A226" s="186"/>
      <c r="C226" s="662" t="s">
        <v>360</v>
      </c>
    </row>
    <row r="227" spans="1:3">
      <c r="A227" s="186"/>
      <c r="C227" s="662" t="s">
        <v>359</v>
      </c>
    </row>
    <row r="228" spans="1:3">
      <c r="A228" s="186"/>
      <c r="C228" s="662" t="s">
        <v>358</v>
      </c>
    </row>
    <row r="229" spans="1:3">
      <c r="A229" s="186"/>
      <c r="C229" s="662" t="s">
        <v>357</v>
      </c>
    </row>
    <row r="230" spans="1:3">
      <c r="A230" s="186"/>
      <c r="C230" s="662" t="s">
        <v>356</v>
      </c>
    </row>
    <row r="231" spans="1:3">
      <c r="A231" s="186"/>
      <c r="C231" s="662" t="s">
        <v>355</v>
      </c>
    </row>
    <row r="232" spans="1:3">
      <c r="A232" s="186"/>
      <c r="C232" s="662" t="s">
        <v>354</v>
      </c>
    </row>
    <row r="233" spans="1:3">
      <c r="A233" s="186"/>
      <c r="C233" s="662" t="s">
        <v>353</v>
      </c>
    </row>
    <row r="234" spans="1:3">
      <c r="C234" s="662" t="s">
        <v>352</v>
      </c>
    </row>
    <row r="235" spans="1:3">
      <c r="C235" s="662" t="s">
        <v>351</v>
      </c>
    </row>
    <row r="236" spans="1:3">
      <c r="C236" s="662" t="s">
        <v>350</v>
      </c>
    </row>
    <row r="237" spans="1:3">
      <c r="C237" s="662" t="s">
        <v>349</v>
      </c>
    </row>
    <row r="238" spans="1:3">
      <c r="C238" s="662" t="s">
        <v>348</v>
      </c>
    </row>
    <row r="239" spans="1:3">
      <c r="C239" s="662" t="s">
        <v>347</v>
      </c>
    </row>
    <row r="240" spans="1:3">
      <c r="C240" s="662" t="s">
        <v>346</v>
      </c>
    </row>
    <row r="241" spans="3:3">
      <c r="C241" s="662" t="s">
        <v>345</v>
      </c>
    </row>
    <row r="242" spans="3:3">
      <c r="C242" s="662" t="s">
        <v>344</v>
      </c>
    </row>
    <row r="243" spans="3:3">
      <c r="C243" s="662" t="s">
        <v>571</v>
      </c>
    </row>
    <row r="244" spans="3:3">
      <c r="C244" s="662" t="s">
        <v>343</v>
      </c>
    </row>
    <row r="245" spans="3:3">
      <c r="C245" s="662" t="s">
        <v>342</v>
      </c>
    </row>
    <row r="246" spans="3:3">
      <c r="C246" s="662" t="s">
        <v>341</v>
      </c>
    </row>
    <row r="247" spans="3:3">
      <c r="C247" s="662" t="s">
        <v>340</v>
      </c>
    </row>
    <row r="248" spans="3:3">
      <c r="C248" s="662" t="s">
        <v>339</v>
      </c>
    </row>
    <row r="249" spans="3:3">
      <c r="C249" s="662" t="s">
        <v>338</v>
      </c>
    </row>
    <row r="250" spans="3:3">
      <c r="C250" s="662" t="s">
        <v>337</v>
      </c>
    </row>
    <row r="251" spans="3:3">
      <c r="C251" s="662" t="s">
        <v>336</v>
      </c>
    </row>
    <row r="252" spans="3:3">
      <c r="C252" s="662" t="s">
        <v>335</v>
      </c>
    </row>
    <row r="253" spans="3:3">
      <c r="C253" s="662" t="s">
        <v>334</v>
      </c>
    </row>
    <row r="254" spans="3:3">
      <c r="C254" s="662" t="s">
        <v>333</v>
      </c>
    </row>
    <row r="255" spans="3:3">
      <c r="C255" s="662" t="s">
        <v>332</v>
      </c>
    </row>
    <row r="256" spans="3:3">
      <c r="C256" s="662" t="s">
        <v>331</v>
      </c>
    </row>
    <row r="257" spans="3:3">
      <c r="C257" s="662" t="s">
        <v>330</v>
      </c>
    </row>
    <row r="258" spans="3:3">
      <c r="C258" s="662" t="s">
        <v>329</v>
      </c>
    </row>
    <row r="259" spans="3:3">
      <c r="C259" s="662" t="s">
        <v>328</v>
      </c>
    </row>
    <row r="260" spans="3:3">
      <c r="C260" s="662" t="s">
        <v>327</v>
      </c>
    </row>
    <row r="261" spans="3:3">
      <c r="C261" s="662" t="s">
        <v>326</v>
      </c>
    </row>
    <row r="262" spans="3:3">
      <c r="C262" s="662" t="s">
        <v>325</v>
      </c>
    </row>
    <row r="263" spans="3:3">
      <c r="C263" s="662" t="s">
        <v>324</v>
      </c>
    </row>
    <row r="264" spans="3:3">
      <c r="C264" s="662" t="s">
        <v>323</v>
      </c>
    </row>
    <row r="265" spans="3:3">
      <c r="C265" s="662" t="s">
        <v>322</v>
      </c>
    </row>
    <row r="266" spans="3:3">
      <c r="C266" s="662" t="s">
        <v>321</v>
      </c>
    </row>
    <row r="267" spans="3:3">
      <c r="C267" s="662" t="s">
        <v>320</v>
      </c>
    </row>
    <row r="268" spans="3:3">
      <c r="C268" s="662" t="s">
        <v>583</v>
      </c>
    </row>
    <row r="269" spans="3:3">
      <c r="C269" s="662" t="s">
        <v>319</v>
      </c>
    </row>
    <row r="270" spans="3:3">
      <c r="C270" s="662" t="s">
        <v>318</v>
      </c>
    </row>
    <row r="271" spans="3:3">
      <c r="C271" s="662" t="s">
        <v>317</v>
      </c>
    </row>
    <row r="272" spans="3:3">
      <c r="C272" s="662" t="s">
        <v>316</v>
      </c>
    </row>
    <row r="273" spans="3:3">
      <c r="C273" s="662" t="s">
        <v>315</v>
      </c>
    </row>
    <row r="274" spans="3:3">
      <c r="C274" s="662" t="s">
        <v>314</v>
      </c>
    </row>
    <row r="275" spans="3:3">
      <c r="C275" s="662" t="s">
        <v>313</v>
      </c>
    </row>
    <row r="276" spans="3:3">
      <c r="C276" s="662" t="s">
        <v>312</v>
      </c>
    </row>
    <row r="277" spans="3:3">
      <c r="C277" s="662" t="s">
        <v>311</v>
      </c>
    </row>
    <row r="278" spans="3:3">
      <c r="C278" s="662" t="s">
        <v>310</v>
      </c>
    </row>
    <row r="279" spans="3:3">
      <c r="C279" s="662" t="s">
        <v>309</v>
      </c>
    </row>
    <row r="280" spans="3:3">
      <c r="C280" s="662" t="s">
        <v>308</v>
      </c>
    </row>
    <row r="281" spans="3:3">
      <c r="C281" s="662" t="s">
        <v>307</v>
      </c>
    </row>
    <row r="282" spans="3:3">
      <c r="C282" s="662" t="s">
        <v>306</v>
      </c>
    </row>
    <row r="283" spans="3:3">
      <c r="C283" s="662" t="s">
        <v>305</v>
      </c>
    </row>
    <row r="284" spans="3:3">
      <c r="C284" s="662" t="s">
        <v>304</v>
      </c>
    </row>
    <row r="285" spans="3:3">
      <c r="C285" s="662" t="s">
        <v>303</v>
      </c>
    </row>
    <row r="286" spans="3:3">
      <c r="C286" s="662" t="s">
        <v>302</v>
      </c>
    </row>
    <row r="287" spans="3:3">
      <c r="C287" s="662" t="s">
        <v>301</v>
      </c>
    </row>
    <row r="288" spans="3:3">
      <c r="C288" s="662" t="s">
        <v>300</v>
      </c>
    </row>
    <row r="289" spans="3:3">
      <c r="C289" s="662" t="s">
        <v>299</v>
      </c>
    </row>
    <row r="290" spans="3:3">
      <c r="C290" s="662" t="s">
        <v>298</v>
      </c>
    </row>
    <row r="291" spans="3:3">
      <c r="C291" s="662" t="s">
        <v>297</v>
      </c>
    </row>
    <row r="292" spans="3:3">
      <c r="C292" s="662" t="s">
        <v>296</v>
      </c>
    </row>
    <row r="293" spans="3:3">
      <c r="C293" s="662" t="s">
        <v>295</v>
      </c>
    </row>
    <row r="294" spans="3:3">
      <c r="C294" s="662" t="s">
        <v>294</v>
      </c>
    </row>
    <row r="295" spans="3:3">
      <c r="C295" s="662" t="s">
        <v>293</v>
      </c>
    </row>
    <row r="296" spans="3:3">
      <c r="C296" s="662" t="s">
        <v>292</v>
      </c>
    </row>
    <row r="297" spans="3:3">
      <c r="C297" s="662" t="s">
        <v>291</v>
      </c>
    </row>
    <row r="298" spans="3:3">
      <c r="C298" s="662" t="s">
        <v>290</v>
      </c>
    </row>
    <row r="299" spans="3:3">
      <c r="C299" s="662" t="s">
        <v>289</v>
      </c>
    </row>
    <row r="300" spans="3:3">
      <c r="C300" s="662" t="s">
        <v>288</v>
      </c>
    </row>
    <row r="301" spans="3:3" ht="15" thickBot="1">
      <c r="C301" s="661" t="str">
        <f>IF(Indice_index!$Z$1=1,"P012 - Ensino Básico e Secundário e Administração Escolar","P012 - Basic and Secondary Education and School Administration")</f>
        <v>P012 - Ensino Básico e Secundário e Administração Escolar</v>
      </c>
    </row>
    <row r="302" spans="3:3">
      <c r="C302" s="662" t="s">
        <v>287</v>
      </c>
    </row>
    <row r="303" spans="3:3">
      <c r="C303" s="662" t="s">
        <v>285</v>
      </c>
    </row>
    <row r="304" spans="3:3">
      <c r="C304" s="662" t="s">
        <v>284</v>
      </c>
    </row>
    <row r="305" spans="3:3">
      <c r="C305" s="662" t="s">
        <v>283</v>
      </c>
    </row>
    <row r="306" spans="3:3">
      <c r="C306" s="662" t="s">
        <v>282</v>
      </c>
    </row>
    <row r="307" spans="3:3">
      <c r="C307" s="662" t="s">
        <v>281</v>
      </c>
    </row>
    <row r="308" spans="3:3">
      <c r="C308" s="662" t="s">
        <v>280</v>
      </c>
    </row>
    <row r="309" spans="3:3">
      <c r="C309" s="662" t="s">
        <v>279</v>
      </c>
    </row>
    <row r="310" spans="3:3">
      <c r="C310" s="662" t="s">
        <v>278</v>
      </c>
    </row>
    <row r="311" spans="3:3">
      <c r="C311" s="662" t="s">
        <v>277</v>
      </c>
    </row>
    <row r="312" spans="3:3">
      <c r="C312" s="662" t="s">
        <v>276</v>
      </c>
    </row>
    <row r="313" spans="3:3">
      <c r="C313" s="662" t="s">
        <v>275</v>
      </c>
    </row>
    <row r="314" spans="3:3">
      <c r="C314" s="662" t="s">
        <v>274</v>
      </c>
    </row>
    <row r="315" spans="3:3">
      <c r="C315" s="662" t="s">
        <v>273</v>
      </c>
    </row>
    <row r="316" spans="3:3">
      <c r="C316" s="662" t="s">
        <v>271</v>
      </c>
    </row>
    <row r="317" spans="3:3">
      <c r="C317" s="662" t="s">
        <v>270</v>
      </c>
    </row>
    <row r="318" spans="3:3">
      <c r="C318" s="662" t="s">
        <v>269</v>
      </c>
    </row>
    <row r="319" spans="3:3">
      <c r="C319" s="662" t="s">
        <v>268</v>
      </c>
    </row>
    <row r="320" spans="3:3">
      <c r="C320" s="662" t="s">
        <v>267</v>
      </c>
    </row>
    <row r="321" spans="3:3" ht="15" thickBot="1">
      <c r="C321" s="661" t="str">
        <f>IF(Indice_index!$Z$1=1,"P013 - Trabalho, Solidariedade e Seg. Social","P013 - Work, Solidarity and Social Security")</f>
        <v>P013 - Trabalho, Solidariedade e Seg. Social</v>
      </c>
    </row>
    <row r="322" spans="3:3">
      <c r="C322" s="662" t="s">
        <v>266</v>
      </c>
    </row>
    <row r="323" spans="3:3">
      <c r="C323" s="662" t="s">
        <v>265</v>
      </c>
    </row>
    <row r="324" spans="3:3">
      <c r="C324" s="662" t="s">
        <v>264</v>
      </c>
    </row>
    <row r="325" spans="3:3">
      <c r="C325" s="662" t="s">
        <v>263</v>
      </c>
    </row>
    <row r="326" spans="3:3">
      <c r="C326" s="662" t="s">
        <v>262</v>
      </c>
    </row>
    <row r="327" spans="3:3">
      <c r="C327" s="662" t="s">
        <v>261</v>
      </c>
    </row>
    <row r="328" spans="3:3">
      <c r="C328" s="662" t="s">
        <v>260</v>
      </c>
    </row>
    <row r="329" spans="3:3">
      <c r="C329" s="662" t="s">
        <v>259</v>
      </c>
    </row>
    <row r="330" spans="3:3">
      <c r="C330" s="662" t="s">
        <v>258</v>
      </c>
    </row>
    <row r="331" spans="3:3">
      <c r="C331" s="662" t="s">
        <v>257</v>
      </c>
    </row>
    <row r="332" spans="3:3">
      <c r="C332" s="662" t="s">
        <v>256</v>
      </c>
    </row>
    <row r="333" spans="3:3">
      <c r="C333" s="662" t="s">
        <v>255</v>
      </c>
    </row>
    <row r="334" spans="3:3">
      <c r="C334" s="662" t="s">
        <v>254</v>
      </c>
    </row>
    <row r="335" spans="3:3">
      <c r="C335" s="662" t="s">
        <v>253</v>
      </c>
    </row>
    <row r="336" spans="3:3">
      <c r="C336" s="662" t="s">
        <v>252</v>
      </c>
    </row>
    <row r="337" spans="3:3">
      <c r="C337" s="662" t="s">
        <v>251</v>
      </c>
    </row>
    <row r="338" spans="3:3">
      <c r="C338" s="662" t="s">
        <v>250</v>
      </c>
    </row>
    <row r="339" spans="3:3">
      <c r="C339" s="662" t="s">
        <v>249</v>
      </c>
    </row>
    <row r="340" spans="3:3">
      <c r="C340" s="662" t="s">
        <v>248</v>
      </c>
    </row>
    <row r="341" spans="3:3">
      <c r="C341" s="662" t="s">
        <v>247</v>
      </c>
    </row>
    <row r="342" spans="3:3">
      <c r="C342" s="662" t="s">
        <v>246</v>
      </c>
    </row>
    <row r="343" spans="3:3">
      <c r="C343" s="662" t="s">
        <v>245</v>
      </c>
    </row>
    <row r="344" spans="3:3">
      <c r="C344" s="662" t="s">
        <v>244</v>
      </c>
    </row>
    <row r="345" spans="3:3">
      <c r="C345" s="662" t="s">
        <v>243</v>
      </c>
    </row>
    <row r="346" spans="3:3">
      <c r="C346" s="662" t="s">
        <v>242</v>
      </c>
    </row>
    <row r="347" spans="3:3">
      <c r="C347" s="662" t="s">
        <v>241</v>
      </c>
    </row>
    <row r="348" spans="3:3">
      <c r="C348" s="662" t="s">
        <v>240</v>
      </c>
    </row>
    <row r="349" spans="3:3">
      <c r="C349" s="662" t="s">
        <v>239</v>
      </c>
    </row>
    <row r="350" spans="3:3">
      <c r="C350" s="662" t="s">
        <v>238</v>
      </c>
    </row>
    <row r="351" spans="3:3">
      <c r="C351" s="662" t="s">
        <v>237</v>
      </c>
    </row>
    <row r="352" spans="3:3">
      <c r="C352" s="662" t="s">
        <v>236</v>
      </c>
    </row>
    <row r="353" spans="3:3">
      <c r="C353" s="662" t="s">
        <v>235</v>
      </c>
    </row>
    <row r="354" spans="3:3">
      <c r="C354" s="662" t="s">
        <v>234</v>
      </c>
    </row>
    <row r="355" spans="3:3">
      <c r="C355" s="662" t="s">
        <v>233</v>
      </c>
    </row>
    <row r="356" spans="3:3">
      <c r="C356" s="662" t="s">
        <v>232</v>
      </c>
    </row>
    <row r="357" spans="3:3">
      <c r="C357" s="662" t="s">
        <v>231</v>
      </c>
    </row>
    <row r="358" spans="3:3">
      <c r="C358" s="662" t="s">
        <v>230</v>
      </c>
    </row>
    <row r="359" spans="3:3">
      <c r="C359" s="662" t="s">
        <v>229</v>
      </c>
    </row>
    <row r="360" spans="3:3">
      <c r="C360" s="662" t="s">
        <v>228</v>
      </c>
    </row>
    <row r="361" spans="3:3">
      <c r="C361" s="662" t="s">
        <v>227</v>
      </c>
    </row>
    <row r="362" spans="3:3">
      <c r="C362" s="662" t="s">
        <v>226</v>
      </c>
    </row>
    <row r="363" spans="3:3" ht="15" thickBot="1">
      <c r="C363" s="661" t="str">
        <f>IF(Indice_index!$Z$1=1,"P014 - Saúde","P014 - Health")</f>
        <v>P014 - Saúde</v>
      </c>
    </row>
    <row r="364" spans="3:3">
      <c r="C364" s="662" t="s">
        <v>225</v>
      </c>
    </row>
    <row r="365" spans="3:3">
      <c r="C365" s="662" t="s">
        <v>224</v>
      </c>
    </row>
    <row r="366" spans="3:3">
      <c r="C366" s="662" t="s">
        <v>223</v>
      </c>
    </row>
    <row r="367" spans="3:3">
      <c r="C367" s="662" t="s">
        <v>222</v>
      </c>
    </row>
    <row r="368" spans="3:3">
      <c r="C368" s="662" t="s">
        <v>221</v>
      </c>
    </row>
    <row r="369" spans="3:3">
      <c r="C369" s="662" t="s">
        <v>220</v>
      </c>
    </row>
    <row r="370" spans="3:3">
      <c r="C370" s="662" t="s">
        <v>219</v>
      </c>
    </row>
    <row r="371" spans="3:3">
      <c r="C371" s="662" t="s">
        <v>573</v>
      </c>
    </row>
    <row r="372" spans="3:3">
      <c r="C372" s="662" t="s">
        <v>218</v>
      </c>
    </row>
    <row r="373" spans="3:3">
      <c r="C373" s="662" t="s">
        <v>217</v>
      </c>
    </row>
    <row r="374" spans="3:3">
      <c r="C374" s="662" t="s">
        <v>216</v>
      </c>
    </row>
    <row r="375" spans="3:3">
      <c r="C375" s="662" t="s">
        <v>215</v>
      </c>
    </row>
    <row r="376" spans="3:3">
      <c r="C376" s="662" t="s">
        <v>214</v>
      </c>
    </row>
    <row r="377" spans="3:3">
      <c r="C377" s="662" t="s">
        <v>213</v>
      </c>
    </row>
    <row r="378" spans="3:3">
      <c r="C378" s="662" t="s">
        <v>212</v>
      </c>
    </row>
    <row r="379" spans="3:3">
      <c r="C379" s="662" t="s">
        <v>211</v>
      </c>
    </row>
    <row r="380" spans="3:3">
      <c r="C380" s="662" t="s">
        <v>210</v>
      </c>
    </row>
    <row r="381" spans="3:3">
      <c r="C381" s="662" t="s">
        <v>209</v>
      </c>
    </row>
    <row r="382" spans="3:3">
      <c r="C382" s="662" t="s">
        <v>208</v>
      </c>
    </row>
    <row r="383" spans="3:3">
      <c r="C383" s="662" t="s">
        <v>207</v>
      </c>
    </row>
    <row r="384" spans="3:3">
      <c r="C384" s="662" t="s">
        <v>206</v>
      </c>
    </row>
    <row r="385" spans="3:3">
      <c r="C385" s="662" t="s">
        <v>205</v>
      </c>
    </row>
    <row r="386" spans="3:3">
      <c r="C386" s="662" t="s">
        <v>204</v>
      </c>
    </row>
    <row r="387" spans="3:3">
      <c r="C387" s="662" t="s">
        <v>203</v>
      </c>
    </row>
    <row r="388" spans="3:3">
      <c r="C388" s="662" t="s">
        <v>572</v>
      </c>
    </row>
    <row r="389" spans="3:3">
      <c r="C389" s="662" t="s">
        <v>202</v>
      </c>
    </row>
    <row r="390" spans="3:3">
      <c r="C390" s="662" t="s">
        <v>201</v>
      </c>
    </row>
    <row r="391" spans="3:3">
      <c r="C391" s="662" t="s">
        <v>200</v>
      </c>
    </row>
    <row r="392" spans="3:3">
      <c r="C392" s="662" t="s">
        <v>199</v>
      </c>
    </row>
    <row r="393" spans="3:3">
      <c r="C393" s="662" t="s">
        <v>198</v>
      </c>
    </row>
    <row r="394" spans="3:3">
      <c r="C394" s="662" t="s">
        <v>197</v>
      </c>
    </row>
    <row r="395" spans="3:3">
      <c r="C395" s="662" t="s">
        <v>574</v>
      </c>
    </row>
    <row r="396" spans="3:3">
      <c r="C396" s="662" t="s">
        <v>196</v>
      </c>
    </row>
    <row r="397" spans="3:3">
      <c r="C397" s="662" t="s">
        <v>195</v>
      </c>
    </row>
    <row r="398" spans="3:3">
      <c r="C398" s="662" t="s">
        <v>194</v>
      </c>
    </row>
    <row r="399" spans="3:3">
      <c r="C399" s="662" t="s">
        <v>193</v>
      </c>
    </row>
    <row r="400" spans="3:3">
      <c r="C400" s="662" t="s">
        <v>192</v>
      </c>
    </row>
    <row r="401" spans="3:3">
      <c r="C401" s="662" t="s">
        <v>575</v>
      </c>
    </row>
    <row r="402" spans="3:3">
      <c r="C402" s="662" t="s">
        <v>191</v>
      </c>
    </row>
    <row r="403" spans="3:3">
      <c r="C403" s="662" t="s">
        <v>190</v>
      </c>
    </row>
    <row r="404" spans="3:3">
      <c r="C404" s="662" t="s">
        <v>189</v>
      </c>
    </row>
    <row r="405" spans="3:3">
      <c r="C405" s="662" t="s">
        <v>188</v>
      </c>
    </row>
    <row r="406" spans="3:3">
      <c r="C406" s="662" t="s">
        <v>187</v>
      </c>
    </row>
    <row r="407" spans="3:3">
      <c r="C407" s="662" t="s">
        <v>186</v>
      </c>
    </row>
    <row r="408" spans="3:3">
      <c r="C408" s="662" t="s">
        <v>185</v>
      </c>
    </row>
    <row r="409" spans="3:3">
      <c r="C409" s="662" t="s">
        <v>184</v>
      </c>
    </row>
    <row r="410" spans="3:3">
      <c r="C410" s="662" t="s">
        <v>183</v>
      </c>
    </row>
    <row r="411" spans="3:3">
      <c r="C411" s="662" t="s">
        <v>182</v>
      </c>
    </row>
    <row r="412" spans="3:3">
      <c r="C412" s="662" t="s">
        <v>181</v>
      </c>
    </row>
    <row r="413" spans="3:3">
      <c r="C413" s="662" t="s">
        <v>180</v>
      </c>
    </row>
    <row r="414" spans="3:3">
      <c r="C414" s="662" t="s">
        <v>179</v>
      </c>
    </row>
    <row r="415" spans="3:3">
      <c r="C415" s="662" t="s">
        <v>178</v>
      </c>
    </row>
    <row r="416" spans="3:3">
      <c r="C416" s="662" t="s">
        <v>177</v>
      </c>
    </row>
    <row r="417" spans="3:3">
      <c r="C417" s="662" t="s">
        <v>176</v>
      </c>
    </row>
    <row r="418" spans="3:3">
      <c r="C418" s="662" t="s">
        <v>175</v>
      </c>
    </row>
    <row r="419" spans="3:3">
      <c r="C419" s="662" t="s">
        <v>174</v>
      </c>
    </row>
    <row r="420" spans="3:3">
      <c r="C420" s="662" t="s">
        <v>173</v>
      </c>
    </row>
    <row r="421" spans="3:3">
      <c r="C421" s="662" t="s">
        <v>172</v>
      </c>
    </row>
    <row r="422" spans="3:3">
      <c r="C422" s="662" t="s">
        <v>171</v>
      </c>
    </row>
    <row r="423" spans="3:3">
      <c r="C423" s="662" t="s">
        <v>170</v>
      </c>
    </row>
    <row r="424" spans="3:3">
      <c r="C424" s="662" t="s">
        <v>169</v>
      </c>
    </row>
    <row r="425" spans="3:3">
      <c r="C425" s="662" t="s">
        <v>168</v>
      </c>
    </row>
    <row r="426" spans="3:3">
      <c r="C426" s="662" t="s">
        <v>167</v>
      </c>
    </row>
    <row r="427" spans="3:3">
      <c r="C427" s="662" t="s">
        <v>166</v>
      </c>
    </row>
    <row r="428" spans="3:3">
      <c r="C428" s="662" t="s">
        <v>165</v>
      </c>
    </row>
    <row r="429" spans="3:3">
      <c r="C429" s="662" t="s">
        <v>164</v>
      </c>
    </row>
    <row r="430" spans="3:3">
      <c r="C430" s="662" t="s">
        <v>163</v>
      </c>
    </row>
    <row r="431" spans="3:3" ht="15" thickBot="1">
      <c r="C431" s="661" t="str">
        <f>IF(Indice_index!$Z$1=1,"P015 - Ambiente e Ação Climática","P015 -  Environment and Climate Action")</f>
        <v>P015 - Ambiente e Ação Climática</v>
      </c>
    </row>
    <row r="432" spans="3:3">
      <c r="C432" s="662" t="s">
        <v>162</v>
      </c>
    </row>
    <row r="433" spans="3:3">
      <c r="C433" s="662" t="s">
        <v>161</v>
      </c>
    </row>
    <row r="434" spans="3:3">
      <c r="C434" s="662" t="s">
        <v>160</v>
      </c>
    </row>
    <row r="435" spans="3:3">
      <c r="C435" s="662" t="s">
        <v>159</v>
      </c>
    </row>
    <row r="436" spans="3:3">
      <c r="C436" s="662" t="s">
        <v>158</v>
      </c>
    </row>
    <row r="437" spans="3:3">
      <c r="C437" s="662" t="s">
        <v>157</v>
      </c>
    </row>
    <row r="438" spans="3:3">
      <c r="C438" s="662" t="s">
        <v>156</v>
      </c>
    </row>
    <row r="439" spans="3:3">
      <c r="C439" s="662" t="s">
        <v>155</v>
      </c>
    </row>
    <row r="440" spans="3:3">
      <c r="C440" s="662" t="s">
        <v>153</v>
      </c>
    </row>
    <row r="441" spans="3:3">
      <c r="C441" s="662" t="s">
        <v>152</v>
      </c>
    </row>
    <row r="442" spans="3:3">
      <c r="C442" s="662" t="s">
        <v>151</v>
      </c>
    </row>
    <row r="443" spans="3:3">
      <c r="C443" s="662" t="s">
        <v>150</v>
      </c>
    </row>
    <row r="444" spans="3:3">
      <c r="C444" s="662" t="s">
        <v>149</v>
      </c>
    </row>
    <row r="445" spans="3:3">
      <c r="C445" s="662" t="s">
        <v>148</v>
      </c>
    </row>
    <row r="446" spans="3:3">
      <c r="C446" s="662" t="s">
        <v>147</v>
      </c>
    </row>
    <row r="447" spans="3:3">
      <c r="C447" s="662" t="s">
        <v>146</v>
      </c>
    </row>
    <row r="448" spans="3:3">
      <c r="C448" s="662" t="s">
        <v>145</v>
      </c>
    </row>
    <row r="449" spans="3:3">
      <c r="C449" s="662" t="s">
        <v>144</v>
      </c>
    </row>
    <row r="450" spans="3:3">
      <c r="C450" s="662" t="s">
        <v>143</v>
      </c>
    </row>
    <row r="451" spans="3:3">
      <c r="C451" s="662" t="s">
        <v>142</v>
      </c>
    </row>
    <row r="452" spans="3:3">
      <c r="C452" s="662" t="s">
        <v>141</v>
      </c>
    </row>
    <row r="453" spans="3:3">
      <c r="C453" s="662" t="s">
        <v>140</v>
      </c>
    </row>
    <row r="454" spans="3:3">
      <c r="C454" s="662" t="s">
        <v>139</v>
      </c>
    </row>
    <row r="455" spans="3:3">
      <c r="C455" s="662" t="s">
        <v>138</v>
      </c>
    </row>
    <row r="456" spans="3:3">
      <c r="C456" s="662" t="s">
        <v>137</v>
      </c>
    </row>
    <row r="457" spans="3:3">
      <c r="C457" s="662" t="s">
        <v>136</v>
      </c>
    </row>
    <row r="458" spans="3:3" ht="15" customHeight="1">
      <c r="C458" s="662" t="s">
        <v>581</v>
      </c>
    </row>
    <row r="459" spans="3:3">
      <c r="C459" s="662" t="s">
        <v>135</v>
      </c>
    </row>
    <row r="460" spans="3:3">
      <c r="C460" s="662" t="s">
        <v>134</v>
      </c>
    </row>
    <row r="461" spans="3:3">
      <c r="C461" s="662" t="s">
        <v>133</v>
      </c>
    </row>
    <row r="462" spans="3:3">
      <c r="C462" s="662" t="s">
        <v>132</v>
      </c>
    </row>
    <row r="463" spans="3:3" ht="15" thickBot="1">
      <c r="C463" s="661" t="str">
        <f>IF(Indice_index!$Z$1=1,"P016 - Infraestruturas e Habitação","P016 - Infrastructures and Housing")</f>
        <v>P016 - Infraestruturas e Habitação</v>
      </c>
    </row>
    <row r="464" spans="3:3">
      <c r="C464" s="662" t="s">
        <v>131</v>
      </c>
    </row>
    <row r="465" spans="3:3">
      <c r="C465" s="662" t="s">
        <v>130</v>
      </c>
    </row>
    <row r="466" spans="3:3">
      <c r="C466" s="662" t="s">
        <v>129</v>
      </c>
    </row>
    <row r="467" spans="3:3">
      <c r="C467" s="662" t="s">
        <v>128</v>
      </c>
    </row>
    <row r="468" spans="3:3">
      <c r="C468" s="662" t="s">
        <v>127</v>
      </c>
    </row>
    <row r="469" spans="3:3">
      <c r="C469" s="662" t="s">
        <v>126</v>
      </c>
    </row>
    <row r="470" spans="3:3">
      <c r="C470" s="662" t="s">
        <v>125</v>
      </c>
    </row>
    <row r="471" spans="3:3">
      <c r="C471" s="662" t="s">
        <v>124</v>
      </c>
    </row>
    <row r="472" spans="3:3">
      <c r="C472" s="662" t="s">
        <v>123</v>
      </c>
    </row>
    <row r="473" spans="3:3">
      <c r="C473" s="662" t="s">
        <v>122</v>
      </c>
    </row>
    <row r="474" spans="3:3">
      <c r="C474" s="662" t="s">
        <v>121</v>
      </c>
    </row>
    <row r="475" spans="3:3">
      <c r="C475" s="662" t="s">
        <v>576</v>
      </c>
    </row>
    <row r="476" spans="3:3">
      <c r="C476" s="662" t="s">
        <v>120</v>
      </c>
    </row>
    <row r="477" spans="3:3">
      <c r="C477" s="662" t="s">
        <v>119</v>
      </c>
    </row>
    <row r="478" spans="3:3">
      <c r="C478" s="662" t="s">
        <v>118</v>
      </c>
    </row>
    <row r="479" spans="3:3">
      <c r="C479" s="662" t="s">
        <v>117</v>
      </c>
    </row>
    <row r="480" spans="3:3" ht="15" thickBot="1">
      <c r="C480" s="661" t="str">
        <f>IF(Indice_index!$Z$1=1,"P017 - Agricultura e Alimentação","P017 - Agriculture and Food")</f>
        <v>P017 - Agricultura e Alimentação</v>
      </c>
    </row>
    <row r="481" spans="3:3">
      <c r="C481" s="662" t="s">
        <v>577</v>
      </c>
    </row>
    <row r="482" spans="3:3">
      <c r="C482" s="662" t="s">
        <v>101</v>
      </c>
    </row>
    <row r="483" spans="3:3">
      <c r="C483" s="662" t="s">
        <v>116</v>
      </c>
    </row>
    <row r="484" spans="3:3">
      <c r="C484" s="662" t="s">
        <v>115</v>
      </c>
    </row>
    <row r="485" spans="3:3">
      <c r="C485" s="662" t="s">
        <v>114</v>
      </c>
    </row>
    <row r="486" spans="3:3">
      <c r="C486" s="662" t="s">
        <v>113</v>
      </c>
    </row>
    <row r="487" spans="3:3">
      <c r="C487" s="662" t="s">
        <v>112</v>
      </c>
    </row>
    <row r="488" spans="3:3">
      <c r="C488" s="662" t="s">
        <v>111</v>
      </c>
    </row>
    <row r="489" spans="3:3">
      <c r="C489" s="662" t="s">
        <v>110</v>
      </c>
    </row>
    <row r="490" spans="3:3">
      <c r="C490" s="662" t="s">
        <v>99</v>
      </c>
    </row>
    <row r="491" spans="3:3">
      <c r="C491" s="662" t="s">
        <v>109</v>
      </c>
    </row>
    <row r="492" spans="3:3">
      <c r="C492" s="662" t="s">
        <v>108</v>
      </c>
    </row>
    <row r="493" spans="3:3">
      <c r="C493" s="662" t="s">
        <v>96</v>
      </c>
    </row>
    <row r="494" spans="3:3">
      <c r="C494" s="662" t="s">
        <v>107</v>
      </c>
    </row>
    <row r="495" spans="3:3">
      <c r="C495" s="662" t="s">
        <v>106</v>
      </c>
    </row>
    <row r="496" spans="3:3">
      <c r="C496" s="662" t="s">
        <v>105</v>
      </c>
    </row>
    <row r="497" spans="3:3">
      <c r="C497" s="662" t="s">
        <v>104</v>
      </c>
    </row>
    <row r="498" spans="3:3">
      <c r="C498" s="662" t="s">
        <v>103</v>
      </c>
    </row>
    <row r="499" spans="3:3">
      <c r="C499" s="662" t="s">
        <v>102</v>
      </c>
    </row>
    <row r="500" spans="3:3">
      <c r="C500" s="662" t="s">
        <v>95</v>
      </c>
    </row>
    <row r="501" spans="3:3" ht="8.25" customHeight="1">
      <c r="C501" s="246"/>
    </row>
    <row r="502" spans="3:3" ht="8.25" customHeight="1">
      <c r="C502" s="246"/>
    </row>
    <row r="503" spans="3:3">
      <c r="C503" s="663" t="str">
        <f>IF(Indice_index!$Z$1=1,"Notas:","Notes:")</f>
        <v>Notas:</v>
      </c>
    </row>
    <row r="504" spans="3:3">
      <c r="C504" s="664" t="s">
        <v>580</v>
      </c>
    </row>
    <row r="505" spans="3:3" ht="8.25" customHeight="1">
      <c r="C505" s="246"/>
    </row>
    <row r="506" spans="3:3">
      <c r="C506" s="665" t="str">
        <f>IF(Indice_index!$Z$1=1,"Alterações:","Changes:")</f>
        <v>Alterações:</v>
      </c>
    </row>
    <row r="507" spans="3:3">
      <c r="C507" s="666" t="s">
        <v>578</v>
      </c>
    </row>
    <row r="508" spans="3:3" ht="18" customHeight="1">
      <c r="C508" s="667" t="s">
        <v>579</v>
      </c>
    </row>
    <row r="509" spans="3:3">
      <c r="C509" s="246"/>
    </row>
    <row r="510" spans="3:3">
      <c r="C510" s="246"/>
    </row>
    <row r="511" spans="3:3">
      <c r="C511" s="246"/>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2" fitToHeight="7"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499" customWidth="1"/>
    <col min="2" max="2" width="4.453125" style="499" customWidth="1"/>
    <col min="3" max="3" width="1.453125" style="499" customWidth="1"/>
    <col min="4" max="5" width="3.81640625" style="499" customWidth="1"/>
    <col min="6" max="6" width="2.453125" style="499" customWidth="1"/>
    <col min="7" max="7" width="32.453125" style="499" customWidth="1"/>
    <col min="8" max="15" width="9.54296875" style="499" customWidth="1"/>
    <col min="16" max="20" width="8.81640625" style="499"/>
    <col min="21" max="22" width="10" style="500" customWidth="1"/>
    <col min="23" max="16384" width="8.81640625" style="499"/>
  </cols>
  <sheetData>
    <row r="1" spans="2:22" ht="15" customHeight="1"/>
    <row r="2" spans="2:22" ht="24" customHeight="1">
      <c r="B2" s="8"/>
      <c r="C2" s="511" t="str">
        <f>IF(Indice_index!$Z$1=1,"1 - Receita, despesa e saldo das Administrações Públicas","1 - General Government revenue, expenditure and balance")</f>
        <v>1 - Receita, despesa e saldo das Administrações Públicas</v>
      </c>
      <c r="D2" s="511"/>
      <c r="E2" s="511"/>
      <c r="F2" s="511"/>
      <c r="G2" s="511"/>
      <c r="H2" s="509"/>
      <c r="I2" s="509"/>
      <c r="J2" s="510"/>
      <c r="K2" s="509"/>
      <c r="L2" s="509"/>
      <c r="M2" s="509"/>
      <c r="N2" s="509"/>
      <c r="O2" s="509"/>
      <c r="P2" s="508"/>
      <c r="U2" s="508"/>
      <c r="V2" s="508"/>
    </row>
    <row r="3" spans="2:22" s="17" customFormat="1" ht="15" customHeight="1">
      <c r="C3" s="507"/>
      <c r="H3" s="499"/>
      <c r="I3" s="499"/>
      <c r="K3" s="499"/>
      <c r="L3" s="499"/>
      <c r="M3" s="499"/>
      <c r="N3" s="499"/>
      <c r="O3" s="499"/>
      <c r="U3" s="500"/>
      <c r="V3" s="500"/>
    </row>
    <row r="4" spans="2:22" s="505" customFormat="1" ht="15" customHeight="1">
      <c r="U4" s="506"/>
      <c r="V4" s="506"/>
    </row>
    <row r="5" spans="2:22" s="523" customFormat="1" ht="15" customHeight="1">
      <c r="B5" s="522"/>
      <c r="C5" s="852" t="str">
        <f>+'5 - Conta AC + SS'!C5</f>
        <v>Período: janeiro a setembro</v>
      </c>
      <c r="D5" s="1463"/>
      <c r="E5" s="1463"/>
      <c r="F5" s="1463"/>
      <c r="G5" s="1463"/>
      <c r="H5" s="1464"/>
      <c r="I5" s="1464"/>
      <c r="J5" s="1464"/>
      <c r="K5" s="1464"/>
      <c r="L5" s="1464"/>
      <c r="M5" s="1464"/>
      <c r="N5" s="1465"/>
      <c r="O5" s="1466" t="str">
        <f>IF(Indice_index!$Z$1=1,"€ Milhões","€ Millions")</f>
        <v>€ Milhões</v>
      </c>
      <c r="U5" s="249"/>
      <c r="V5" s="249"/>
    </row>
    <row r="6" spans="2:22" s="523" customFormat="1" ht="23.25" customHeight="1">
      <c r="B6" s="524"/>
      <c r="C6" s="1467"/>
      <c r="D6" s="1467"/>
      <c r="E6" s="1467"/>
      <c r="F6" s="1467"/>
      <c r="G6" s="1467"/>
      <c r="H6" s="1640" t="str">
        <f>IF(Indice_index!$Z$1=1,"Saldo","Overall balance")</f>
        <v>Saldo</v>
      </c>
      <c r="I6" s="1640"/>
      <c r="J6" s="1640" t="str">
        <f>IF(Indice_index!$Z$1=1,"Receita","Revenue")</f>
        <v>Receita</v>
      </c>
      <c r="K6" s="1640"/>
      <c r="L6" s="1640" t="str">
        <f>IF(Indice_index!$Z$1=1,"Despesa","Expenditure")</f>
        <v>Despesa</v>
      </c>
      <c r="M6" s="1640"/>
      <c r="N6" s="1641" t="str">
        <f>IF(Indice_index!$Z$1=1,"Variação Homóloga Acumulada (%)","YOY Change Rate (%)")</f>
        <v>Variação Homóloga Acumulada (%)</v>
      </c>
      <c r="O6" s="1642"/>
      <c r="U6" s="1639"/>
      <c r="V6" s="1639"/>
    </row>
    <row r="7" spans="2:22" s="505" customFormat="1" ht="16.399999999999999" customHeight="1">
      <c r="B7" s="525"/>
      <c r="C7" s="1468"/>
      <c r="D7" s="1468"/>
      <c r="E7" s="1468"/>
      <c r="F7" s="1468"/>
      <c r="G7" s="1468"/>
      <c r="H7" s="1469" t="str">
        <f>IF(Indice_index!$Z$1=1,"2021","2021")</f>
        <v>2021</v>
      </c>
      <c r="I7" s="1469" t="str">
        <f>IF(Indice_index!$Z$1=1,"2022","2022")</f>
        <v>2022</v>
      </c>
      <c r="J7" s="1469" t="str">
        <f>IF(Indice_index!$Z$1=1,"2021","2022")</f>
        <v>2021</v>
      </c>
      <c r="K7" s="1469" t="str">
        <f>IF(Indice_index!$Z$1=1,"2022","2022")</f>
        <v>2022</v>
      </c>
      <c r="L7" s="1469" t="str">
        <f>IF(Indice_index!$Z$1=1,"2021","2021")</f>
        <v>2021</v>
      </c>
      <c r="M7" s="1469" t="str">
        <f>IF(Indice_index!$Z$1=1,"2022","2022")</f>
        <v>2022</v>
      </c>
      <c r="N7" s="1470" t="str">
        <f>IF(Indice_index!$Z$1=1,"Receita","Revenue")</f>
        <v>Receita</v>
      </c>
      <c r="O7" s="1471" t="str">
        <f>IF(Indice_index!$Z$1=1,"Despesa","Expenditure")</f>
        <v>Despesa</v>
      </c>
      <c r="U7" s="526"/>
      <c r="V7" s="526"/>
    </row>
    <row r="8" spans="2:22" s="505" customFormat="1" ht="15" customHeight="1">
      <c r="B8" s="527"/>
      <c r="C8" s="1472"/>
      <c r="D8" s="1472" t="str">
        <f>IF(Indice_index!$Z$1=1,"Administração Central e Segurança Social","Central Government and Social Security")</f>
        <v>Administração Central e Segurança Social</v>
      </c>
      <c r="E8" s="1472"/>
      <c r="F8" s="1472"/>
      <c r="G8" s="1472"/>
      <c r="H8" s="1473">
        <f t="shared" ref="H8:H16" si="0">+J8-L8</f>
        <v>-4736.4763243500129</v>
      </c>
      <c r="I8" s="1473">
        <f t="shared" ref="I8:I16" si="1">+K8-M8</f>
        <v>4916.0123195699707</v>
      </c>
      <c r="J8" s="1473">
        <f>+'5 - Conta AC + SS'!F27</f>
        <v>59909.549673869995</v>
      </c>
      <c r="K8" s="1473">
        <f>+'5 - Conta AC + SS'!G27</f>
        <v>69527.919905130009</v>
      </c>
      <c r="L8" s="1473">
        <f>+'5 - Conta AC + SS'!F50</f>
        <v>64646.025998220008</v>
      </c>
      <c r="M8" s="1473">
        <f>+'5 - Conta AC + SS'!G50</f>
        <v>64611.907585560039</v>
      </c>
      <c r="N8" s="1474">
        <f t="shared" ref="N8:N16" si="2">+IFERROR((K8-J8)/J8*100,"-")</f>
        <v>16.054819780184626</v>
      </c>
      <c r="O8" s="1474">
        <f t="shared" ref="O8:O16" si="3">+IFERROR((M8-L8)/L8*100,"-")</f>
        <v>-5.2777277695165076E-2</v>
      </c>
      <c r="U8" s="528"/>
      <c r="V8" s="528"/>
    </row>
    <row r="9" spans="2:22" s="505" customFormat="1" ht="15" customHeight="1">
      <c r="B9" s="527"/>
      <c r="C9" s="1475"/>
      <c r="D9" s="1475"/>
      <c r="E9" s="1476" t="str">
        <f>IF(Indice_index!$Z$1=1,"Administração Central (AC)","Central Government (CG)")</f>
        <v>Administração Central (AC)</v>
      </c>
      <c r="F9" s="1476"/>
      <c r="G9" s="1476"/>
      <c r="H9" s="1477">
        <f t="shared" si="0"/>
        <v>-5185.6358291999932</v>
      </c>
      <c r="I9" s="1477">
        <f t="shared" si="1"/>
        <v>2018.2622382200352</v>
      </c>
      <c r="J9" s="1477">
        <f>+'6 - Conta AC'!F26</f>
        <v>45287.689750910002</v>
      </c>
      <c r="K9" s="1477">
        <f>+'6 - Conta AC'!G26</f>
        <v>53186.253843680002</v>
      </c>
      <c r="L9" s="1477">
        <f>+'6 - Conta AC'!F49</f>
        <v>50473.325580109995</v>
      </c>
      <c r="M9" s="1477">
        <f>+'6 - Conta AC'!G49</f>
        <v>51167.991605459967</v>
      </c>
      <c r="N9" s="1478">
        <f t="shared" si="2"/>
        <v>17.440863369744509</v>
      </c>
      <c r="O9" s="1478">
        <f t="shared" si="3"/>
        <v>1.3763032599217497</v>
      </c>
      <c r="Q9" s="529"/>
      <c r="U9" s="528"/>
      <c r="V9" s="528"/>
    </row>
    <row r="10" spans="2:22" s="505" customFormat="1" ht="15" customHeight="1">
      <c r="B10" s="527"/>
      <c r="C10" s="1475"/>
      <c r="D10" s="1475"/>
      <c r="E10" s="1475"/>
      <c r="F10" s="1479" t="str">
        <f>IF(Indice_index!$Z$1=1,"Subsetor Estado / Serviços integrados","State subsector")</f>
        <v>Subsetor Estado / Serviços integrados</v>
      </c>
      <c r="G10" s="1479"/>
      <c r="H10" s="1480">
        <f t="shared" si="0"/>
        <v>-5794.9928460200026</v>
      </c>
      <c r="I10" s="1480">
        <f t="shared" si="1"/>
        <v>1030.4949727399871</v>
      </c>
      <c r="J10" s="1480">
        <f>+'7 - Estado'!F32</f>
        <v>35804.812384859993</v>
      </c>
      <c r="K10" s="1480">
        <f>+'7 - Estado'!G32</f>
        <v>43214.040121239988</v>
      </c>
      <c r="L10" s="1480">
        <f>+'7 - Estado'!F59</f>
        <v>41599.805230879996</v>
      </c>
      <c r="M10" s="1480">
        <f>+'7 - Estado'!G59</f>
        <v>42183.545148500001</v>
      </c>
      <c r="N10" s="1481">
        <f t="shared" si="2"/>
        <v>20.693385170516841</v>
      </c>
      <c r="O10" s="1481">
        <f t="shared" si="3"/>
        <v>1.4032275256584339</v>
      </c>
      <c r="Q10" s="529"/>
      <c r="U10" s="530"/>
      <c r="V10" s="530"/>
    </row>
    <row r="11" spans="2:22" s="505" customFormat="1" ht="15" customHeight="1">
      <c r="B11" s="527"/>
      <c r="C11" s="1475"/>
      <c r="D11" s="1475"/>
      <c r="E11" s="1475"/>
      <c r="F11" s="1482" t="str">
        <f>IF(Indice_index!$Z$1=1,"Serviços e Fundos Autónomos","Autonomous Services and Funds")</f>
        <v>Serviços e Fundos Autónomos</v>
      </c>
      <c r="G11" s="1482"/>
      <c r="H11" s="1480">
        <f t="shared" si="0"/>
        <v>609.35701682000945</v>
      </c>
      <c r="I11" s="1480">
        <f t="shared" si="1"/>
        <v>987.7672654799826</v>
      </c>
      <c r="J11" s="1480">
        <f>+'9 - SFA'!F32</f>
        <v>25687.57253813</v>
      </c>
      <c r="K11" s="1480">
        <f>+'9 - SFA'!G32</f>
        <v>26436.592784699998</v>
      </c>
      <c r="L11" s="1480">
        <f>+'9 - SFA'!F59</f>
        <v>25078.21552130999</v>
      </c>
      <c r="M11" s="1480">
        <f>+'9 - SFA'!G59</f>
        <v>25448.825519220016</v>
      </c>
      <c r="N11" s="1481">
        <f t="shared" si="2"/>
        <v>2.9158856698435454</v>
      </c>
      <c r="O11" s="1481">
        <f t="shared" si="3"/>
        <v>1.4778164642340794</v>
      </c>
      <c r="Q11" s="529"/>
      <c r="U11" s="530"/>
      <c r="V11" s="530"/>
    </row>
    <row r="12" spans="2:22" s="505" customFormat="1" ht="15" customHeight="1">
      <c r="B12" s="527"/>
      <c r="C12" s="1475"/>
      <c r="D12" s="1475"/>
      <c r="E12" s="1475"/>
      <c r="F12" s="1483"/>
      <c r="G12" s="1484" t="str">
        <f>IF(Indice_index!$Z$1=1,"do qual: Entidades Públicas Reclassificadas (EPR)","of which: CG reclassified State Owned Enterprises")</f>
        <v>do qual: Entidades Públicas Reclassificadas (EPR)</v>
      </c>
      <c r="H12" s="1485">
        <f t="shared" si="0"/>
        <v>-662.27200784000161</v>
      </c>
      <c r="I12" s="1485">
        <f t="shared" si="1"/>
        <v>-259.02391837000505</v>
      </c>
      <c r="J12" s="1485">
        <f>+'10 - EPR'!F32</f>
        <v>8497.5545937299994</v>
      </c>
      <c r="K12" s="1485">
        <f>+'10 - EPR'!G32</f>
        <v>8643.9954972899959</v>
      </c>
      <c r="L12" s="1485">
        <f>+'10 - EPR'!F59</f>
        <v>9159.826601570001</v>
      </c>
      <c r="M12" s="1485">
        <f>+'10 - EPR'!G59</f>
        <v>8903.019415660001</v>
      </c>
      <c r="N12" s="1486">
        <f t="shared" si="2"/>
        <v>1.7233299526907342</v>
      </c>
      <c r="O12" s="1486">
        <f t="shared" si="3"/>
        <v>-2.8036249710882419</v>
      </c>
      <c r="Q12" s="529"/>
      <c r="U12" s="531"/>
      <c r="V12" s="531"/>
    </row>
    <row r="13" spans="2:22" s="505" customFormat="1" ht="15" customHeight="1">
      <c r="C13" s="1487"/>
      <c r="D13" s="1487"/>
      <c r="E13" s="1476" t="str">
        <f>IF(Indice_index!$Z$1=1,"Segurança Social","Social Security")</f>
        <v>Segurança Social</v>
      </c>
      <c r="F13" s="1487"/>
      <c r="G13" s="1487"/>
      <c r="H13" s="1480">
        <f t="shared" si="0"/>
        <v>449.15950484999485</v>
      </c>
      <c r="I13" s="1480">
        <f t="shared" si="1"/>
        <v>2897.7500813499901</v>
      </c>
      <c r="J13" s="1480">
        <f>+'13 - SS Eco'!F29</f>
        <v>23438.323260909998</v>
      </c>
      <c r="K13" s="1480">
        <f>+'13 - SS Eco'!G29</f>
        <v>24859.737827909994</v>
      </c>
      <c r="L13" s="1480">
        <f>+'13 - SS Eco'!F54</f>
        <v>22989.163756060003</v>
      </c>
      <c r="M13" s="1480">
        <f>+'13 - SS Eco'!G54</f>
        <v>21961.987746560004</v>
      </c>
      <c r="N13" s="1481">
        <f t="shared" si="2"/>
        <v>6.0644891325080632</v>
      </c>
      <c r="O13" s="1481">
        <f t="shared" si="3"/>
        <v>-4.4680877495129971</v>
      </c>
      <c r="Q13" s="529"/>
      <c r="U13" s="530"/>
      <c r="V13" s="530"/>
    </row>
    <row r="14" spans="2:22" ht="15" customHeight="1">
      <c r="C14" s="1487"/>
      <c r="D14" s="1479" t="str">
        <f>IF(Indice_index!$Z$1=1,"Administração Regional","Regional Government")</f>
        <v>Administração Regional</v>
      </c>
      <c r="E14" s="1475"/>
      <c r="F14" s="1487"/>
      <c r="G14" s="1487"/>
      <c r="H14" s="1480">
        <f t="shared" si="0"/>
        <v>-214.93233477999888</v>
      </c>
      <c r="I14" s="1480">
        <f t="shared" si="1"/>
        <v>-223.06090309000024</v>
      </c>
      <c r="J14" s="1480">
        <f>'14 - Adm R'!J35</f>
        <v>1839.6233113999999</v>
      </c>
      <c r="K14" s="1480">
        <f>'14 - Adm R'!K35</f>
        <v>1885.5604807700004</v>
      </c>
      <c r="L14" s="1480">
        <f>'14 - Adm R'!J58</f>
        <v>2054.5556461799988</v>
      </c>
      <c r="M14" s="1480">
        <f>'14 - Adm R'!K58</f>
        <v>2108.6213838600006</v>
      </c>
      <c r="N14" s="1481">
        <f t="shared" si="2"/>
        <v>2.4970965026009102</v>
      </c>
      <c r="O14" s="1481">
        <f t="shared" si="3"/>
        <v>2.6315051520033217</v>
      </c>
      <c r="P14" s="505"/>
      <c r="Q14" s="529"/>
      <c r="U14" s="530"/>
      <c r="V14" s="530"/>
    </row>
    <row r="15" spans="2:22" ht="15" customHeight="1">
      <c r="C15" s="1475"/>
      <c r="D15" s="1476" t="str">
        <f>IF(Indice_index!$Z$1=1,"Administração Local","Local Government")</f>
        <v>Administração Local</v>
      </c>
      <c r="E15" s="1476"/>
      <c r="F15" s="1476"/>
      <c r="G15" s="1476"/>
      <c r="H15" s="1480">
        <f t="shared" si="0"/>
        <v>259.39822451361943</v>
      </c>
      <c r="I15" s="1480">
        <f t="shared" si="1"/>
        <v>560.13943928859771</v>
      </c>
      <c r="J15" s="1480">
        <f>+'15 - Adm Loc'!D43</f>
        <v>6830.9015870934272</v>
      </c>
      <c r="K15" s="1480">
        <f>+'15 - Adm Loc'!E43</f>
        <v>7417.3239791620072</v>
      </c>
      <c r="L15" s="1480">
        <f>+'15 - Adm Loc'!D64</f>
        <v>6571.5033625798078</v>
      </c>
      <c r="M15" s="1480">
        <f>+'15 - Adm Loc'!E64</f>
        <v>6857.1845398734094</v>
      </c>
      <c r="N15" s="1481">
        <f t="shared" si="2"/>
        <v>8.58484615232328</v>
      </c>
      <c r="O15" s="1481">
        <f t="shared" si="3"/>
        <v>4.347272785712315</v>
      </c>
      <c r="P15" s="505"/>
      <c r="Q15" s="529"/>
      <c r="U15" s="530"/>
      <c r="V15" s="530"/>
    </row>
    <row r="16" spans="2:22" s="523" customFormat="1" ht="15" customHeight="1">
      <c r="B16" s="522"/>
      <c r="C16" s="1488" t="str">
        <f>IF(Indice_index!$Z$1=1,"Administrações Públicas","General Government")</f>
        <v>Administrações Públicas</v>
      </c>
      <c r="D16" s="1488"/>
      <c r="E16" s="1488"/>
      <c r="F16" s="1488"/>
      <c r="G16" s="1488"/>
      <c r="H16" s="1489">
        <f t="shared" si="0"/>
        <v>-4692.0104346163571</v>
      </c>
      <c r="I16" s="1489">
        <f t="shared" si="1"/>
        <v>5253.0908557686198</v>
      </c>
      <c r="J16" s="1489">
        <f>'2 - Conta Consol AP'!K27</f>
        <v>65263.956369314023</v>
      </c>
      <c r="K16" s="1489">
        <f>'2 - Conta Consol AP'!Q27</f>
        <v>75389.847117671918</v>
      </c>
      <c r="L16" s="1489">
        <f>'2 - Conta Consol AP'!K50</f>
        <v>69955.96680393038</v>
      </c>
      <c r="M16" s="1489">
        <f>'2 - Conta Consol AP'!Q50</f>
        <v>70136.756261903298</v>
      </c>
      <c r="N16" s="1489">
        <f t="shared" si="2"/>
        <v>15.515287934825405</v>
      </c>
      <c r="O16" s="1489">
        <f t="shared" si="3"/>
        <v>0.25843322054232659</v>
      </c>
      <c r="Q16" s="532"/>
      <c r="U16" s="533"/>
      <c r="V16" s="533"/>
    </row>
    <row r="17" spans="3:22" ht="4.5" customHeight="1">
      <c r="C17" s="1490"/>
      <c r="D17" s="1490"/>
      <c r="E17" s="1490"/>
      <c r="F17" s="1490"/>
      <c r="G17" s="1490"/>
      <c r="H17" s="1490"/>
      <c r="I17" s="1490"/>
      <c r="J17" s="1490"/>
      <c r="K17" s="1490"/>
      <c r="L17" s="1490"/>
      <c r="M17" s="1490"/>
      <c r="N17" s="1490"/>
      <c r="O17" s="1490"/>
      <c r="U17" s="534"/>
      <c r="V17" s="534"/>
    </row>
    <row r="18" spans="3:22" ht="15" customHeight="1">
      <c r="C18" s="1491" t="str">
        <f>IF(Indice_index!$Z$1=1,"Nota:","Note:")</f>
        <v>Nota:</v>
      </c>
      <c r="D18" s="1476"/>
      <c r="E18" s="1476"/>
      <c r="F18" s="1476"/>
      <c r="G18" s="1476"/>
      <c r="H18" s="1492"/>
      <c r="I18" s="1492"/>
      <c r="J18" s="1492"/>
      <c r="K18" s="1492"/>
      <c r="L18" s="1492"/>
      <c r="M18" s="1492"/>
      <c r="N18" s="1492"/>
      <c r="O18" s="1492"/>
      <c r="P18" s="505"/>
      <c r="Q18" s="535"/>
      <c r="U18" s="533"/>
      <c r="V18" s="533"/>
    </row>
    <row r="19" spans="3:22" ht="21.75" customHeight="1">
      <c r="C19" s="163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38"/>
      <c r="E19" s="1638"/>
      <c r="F19" s="1638"/>
      <c r="G19" s="1638"/>
      <c r="H19" s="1638"/>
      <c r="I19" s="1638"/>
      <c r="J19" s="1638"/>
      <c r="K19" s="1638"/>
      <c r="L19" s="1638"/>
      <c r="M19" s="1638"/>
      <c r="N19" s="1638"/>
      <c r="O19" s="1638"/>
      <c r="U19" s="534"/>
      <c r="V19" s="534"/>
    </row>
    <row r="20" spans="3:22" ht="15" customHeight="1">
      <c r="C20" s="135" t="str">
        <f>IF(Indice_index!$Z$1=1,"Fonte: Direção-Geral do Orçamento","Source: Budget General Directorate")</f>
        <v>Fonte: Direção-Geral do Orçamento</v>
      </c>
      <c r="D20" s="1476"/>
      <c r="E20" s="1476"/>
      <c r="F20" s="1476"/>
      <c r="G20" s="1476"/>
      <c r="H20" s="1478"/>
      <c r="I20" s="1493"/>
      <c r="J20" s="1476"/>
      <c r="K20" s="1476"/>
      <c r="L20" s="1476"/>
      <c r="M20" s="1478"/>
      <c r="N20" s="1493"/>
      <c r="O20" s="1493"/>
      <c r="U20" s="534"/>
      <c r="V20" s="18"/>
    </row>
    <row r="21" spans="3:22">
      <c r="C21" s="674"/>
      <c r="D21" s="674"/>
      <c r="E21" s="674"/>
      <c r="F21" s="674"/>
      <c r="G21" s="674"/>
      <c r="H21" s="674"/>
      <c r="I21" s="675"/>
      <c r="J21" s="674"/>
      <c r="K21" s="674"/>
      <c r="L21" s="674"/>
      <c r="M21" s="674"/>
      <c r="N21" s="674"/>
      <c r="O21" s="674"/>
    </row>
    <row r="23" spans="3:22">
      <c r="G23" s="504"/>
    </row>
    <row r="25" spans="3:22" s="501" customFormat="1">
      <c r="M25" s="503"/>
      <c r="U25" s="502"/>
      <c r="V25" s="502"/>
    </row>
    <row r="26" spans="3:22" s="501" customFormat="1">
      <c r="U26" s="502"/>
      <c r="V26" s="502"/>
    </row>
    <row r="27" spans="3:22" s="501" customFormat="1">
      <c r="U27" s="502"/>
      <c r="V27" s="502"/>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36" customFormat="1" ht="15" customHeight="1">
      <c r="C5" s="852" t="str">
        <f>+'5 - Conta AC + SS'!C5</f>
        <v>Período: janeiro a setembro</v>
      </c>
      <c r="D5" s="1494"/>
      <c r="E5" s="803"/>
      <c r="F5" s="1494"/>
      <c r="G5" s="1495"/>
      <c r="H5" s="1496"/>
      <c r="I5" s="1495"/>
      <c r="J5" s="1495"/>
      <c r="K5" s="1497"/>
      <c r="L5" s="1497"/>
      <c r="M5" s="1495"/>
      <c r="N5" s="1496"/>
      <c r="O5" s="1495"/>
      <c r="P5" s="1495"/>
      <c r="Q5" s="1498"/>
      <c r="R5" s="1494"/>
      <c r="S5" s="1499" t="str">
        <f>IF(Indice_index!$Z$1=1,"€ Milhões","€ Millions")</f>
        <v>€ Milhões</v>
      </c>
      <c r="X5" s="537"/>
      <c r="Y5" s="537"/>
      <c r="Z5" s="537"/>
      <c r="AA5" s="537"/>
      <c r="AB5" s="537"/>
      <c r="AC5" s="537"/>
      <c r="AD5" s="537"/>
      <c r="AE5" s="537"/>
    </row>
    <row r="6" spans="2:31" s="538" customFormat="1" ht="25.4" customHeight="1">
      <c r="C6" s="1500"/>
      <c r="D6" s="1501"/>
      <c r="E6" s="1502" t="str">
        <f>IF(Indice_index!$Z$1=1,"CGE","Final execution")</f>
        <v>CGE</v>
      </c>
      <c r="F6" s="1503"/>
      <c r="G6" s="1644" t="str">
        <f>IF(Indice_index!$Z$1=1,"Execução Acumulada","Accumulated Execution")</f>
        <v>Execução Acumulada</v>
      </c>
      <c r="H6" s="1644"/>
      <c r="I6" s="1644"/>
      <c r="J6" s="1644"/>
      <c r="K6" s="1644"/>
      <c r="L6" s="1644"/>
      <c r="M6" s="1644"/>
      <c r="N6" s="1644"/>
      <c r="O6" s="1644"/>
      <c r="P6" s="1644"/>
      <c r="Q6" s="1644"/>
      <c r="R6" s="1503"/>
      <c r="S6" s="1504" t="str">
        <f>IF(Indice_index!$Z$1=1,"Orçamento Inicial","Budget")</f>
        <v>Orçamento Inicial</v>
      </c>
      <c r="X6" s="539"/>
      <c r="Y6" s="539"/>
      <c r="Z6" s="539"/>
      <c r="AA6" s="539"/>
      <c r="AB6" s="539"/>
      <c r="AC6" s="539"/>
      <c r="AD6" s="539"/>
      <c r="AE6" s="539"/>
    </row>
    <row r="7" spans="2:31" ht="14.5">
      <c r="C7" s="1505"/>
      <c r="D7" s="1506"/>
      <c r="E7" s="1507" t="s">
        <v>67</v>
      </c>
      <c r="F7" s="1508"/>
      <c r="G7" s="1645" t="s">
        <v>67</v>
      </c>
      <c r="H7" s="1645"/>
      <c r="I7" s="1645"/>
      <c r="J7" s="1645"/>
      <c r="K7" s="1645"/>
      <c r="L7" s="1509"/>
      <c r="M7" s="1645" t="s">
        <v>74</v>
      </c>
      <c r="N7" s="1645"/>
      <c r="O7" s="1645"/>
      <c r="P7" s="1645"/>
      <c r="Q7" s="1645"/>
      <c r="R7" s="1508"/>
      <c r="S7" s="1510" t="s">
        <v>74</v>
      </c>
      <c r="W7" s="540"/>
      <c r="X7" s="541"/>
      <c r="Y7" s="541"/>
      <c r="Z7" s="541"/>
      <c r="AA7" s="541"/>
      <c r="AB7" s="541"/>
      <c r="AC7" s="541"/>
      <c r="AD7" s="541"/>
      <c r="AE7" s="541"/>
    </row>
    <row r="8" spans="2:31" ht="42" customHeight="1">
      <c r="C8" s="1511"/>
      <c r="D8" s="1512"/>
      <c r="E8" s="1513" t="str">
        <f>IF(Indice_index!$Z$1=1,"Adm. Públicas","General Government")</f>
        <v>Adm. Públicas</v>
      </c>
      <c r="F8" s="1512"/>
      <c r="G8" s="1513" t="str">
        <f>IF(Indice_index!$Z$1=1,"Estado","State")</f>
        <v>Estado</v>
      </c>
      <c r="H8" s="1513" t="str">
        <f>IF(Indice_index!$Z$1=1,"Serviços e Fundos Autónomos","Autonomous Funds and Services")</f>
        <v>Serviços e Fundos Autónomos</v>
      </c>
      <c r="I8" s="1513" t="str">
        <f>IF(Indice_index!$Z$1=1,"Adm. Local e Regional","Local and Regional Government")</f>
        <v>Adm. Local e Regional</v>
      </c>
      <c r="J8" s="1513" t="str">
        <f>IF(Indice_index!$Z$1=1,"Segurança Social","Social Security")</f>
        <v>Segurança Social</v>
      </c>
      <c r="K8" s="1513" t="str">
        <f>IF(Indice_index!$Z$1=1,"Adm. Públicas","General Government")</f>
        <v>Adm. Públicas</v>
      </c>
      <c r="L8" s="1512"/>
      <c r="M8" s="1513" t="str">
        <f>IF(Indice_index!$Z$1=1,"Estado","State")</f>
        <v>Estado</v>
      </c>
      <c r="N8" s="1513" t="str">
        <f>IF(Indice_index!$Z$1=1,"Serviços e Fundos Autónomos","Autonomous Funds and Services")</f>
        <v>Serviços e Fundos Autónomos</v>
      </c>
      <c r="O8" s="1513" t="str">
        <f>IF(Indice_index!$Z$1=1,"Adm. Local e Regional","Local and Regional Government")</f>
        <v>Adm. Local e Regional</v>
      </c>
      <c r="P8" s="1513" t="str">
        <f>IF(Indice_index!$Z$1=1,"Segurança Social","Social Security")</f>
        <v>Segurança Social</v>
      </c>
      <c r="Q8" s="1513" t="str">
        <f>IF(Indice_index!$Z$1=1,"Adm. Públicas","General Government")</f>
        <v>Adm. Públicas</v>
      </c>
      <c r="R8" s="1512"/>
      <c r="S8" s="1513" t="str">
        <f>IF(Indice_index!$Z$1=1,"Adm. Públicas","General Government")</f>
        <v>Adm. Públicas</v>
      </c>
      <c r="W8" s="540"/>
      <c r="X8" s="1643"/>
      <c r="Y8" s="1643"/>
      <c r="Z8" s="1643"/>
      <c r="AA8" s="1643"/>
      <c r="AB8" s="1643"/>
      <c r="AC8" s="1643"/>
      <c r="AD8" s="1643"/>
      <c r="AE8" s="1643"/>
    </row>
    <row r="9" spans="2:31" s="538" customFormat="1" ht="15" customHeight="1">
      <c r="C9" s="318" t="str">
        <f>IF(Indice_index!$Z$1=1,"Receita corrente","Current revenue")</f>
        <v>Receita corrente</v>
      </c>
      <c r="D9" s="1514"/>
      <c r="E9" s="1515">
        <f>E10+E13+E14+E17+E18</f>
        <v>89765.995140224419</v>
      </c>
      <c r="F9" s="1505"/>
      <c r="G9" s="1515">
        <f>G10+G13+G14+G17+G18</f>
        <v>35740.802287789993</v>
      </c>
      <c r="H9" s="1515">
        <f t="shared" ref="H9:K9" si="0">H10+H13+H14+H17+H18</f>
        <v>23581.253133200014</v>
      </c>
      <c r="I9" s="1515">
        <f t="shared" si="0"/>
        <v>8136.823499688121</v>
      </c>
      <c r="J9" s="1515">
        <f t="shared" si="0"/>
        <v>23437.78728886</v>
      </c>
      <c r="K9" s="1515">
        <f t="shared" si="0"/>
        <v>63830.001460788131</v>
      </c>
      <c r="L9" s="1515"/>
      <c r="M9" s="1515">
        <f>M10+M13+M14+M17+M18</f>
        <v>42912.655335939991</v>
      </c>
      <c r="N9" s="1515">
        <f t="shared" ref="N9" si="1">N10+N13+N14+N17+N18</f>
        <v>24556.788585180002</v>
      </c>
      <c r="O9" s="1515">
        <f t="shared" ref="O9" si="2">O10+O13+O14+O17+O18</f>
        <v>8963.7365638752835</v>
      </c>
      <c r="P9" s="1515">
        <f t="shared" ref="P9" si="3">P10+P13+P14+P17+P18</f>
        <v>24859.334562209999</v>
      </c>
      <c r="Q9" s="1515">
        <f t="shared" ref="Q9" si="4">Q10+Q13+Q14+Q17+Q18</f>
        <v>73664.077029975277</v>
      </c>
      <c r="R9" s="1505"/>
      <c r="S9" s="1515">
        <f>S10+S13+S14+S17+S18</f>
        <v>96777.098562379237</v>
      </c>
      <c r="T9" s="543"/>
      <c r="U9" s="542"/>
      <c r="V9" s="543"/>
      <c r="W9" s="544"/>
      <c r="X9" s="545"/>
      <c r="Y9" s="545"/>
      <c r="Z9" s="545"/>
      <c r="AA9" s="545"/>
      <c r="AB9" s="545"/>
      <c r="AC9" s="545"/>
      <c r="AD9" s="545"/>
      <c r="AE9" s="545"/>
    </row>
    <row r="10" spans="2:31" ht="15" customHeight="1">
      <c r="C10" s="793" t="str">
        <f>IF(Indice_index!$Z$1=1,"Receita Fiscal","Tax")</f>
        <v>Receita Fiscal</v>
      </c>
      <c r="D10" s="1516"/>
      <c r="E10" s="895">
        <f>E11+E12</f>
        <v>51432.173478075827</v>
      </c>
      <c r="F10" s="895"/>
      <c r="G10" s="895">
        <f t="shared" ref="G10:J10" si="5">G11+G12</f>
        <v>32762.172000079998</v>
      </c>
      <c r="H10" s="895">
        <f t="shared" si="5"/>
        <v>410.75917637000003</v>
      </c>
      <c r="I10" s="895">
        <f t="shared" si="5"/>
        <v>3524.7351715916338</v>
      </c>
      <c r="J10" s="895">
        <f t="shared" si="5"/>
        <v>157.74278835000001</v>
      </c>
      <c r="K10" s="895">
        <f>K11+K12</f>
        <v>36855.409136391638</v>
      </c>
      <c r="L10" s="895"/>
      <c r="M10" s="895">
        <f t="shared" ref="M10:P10" si="6">M11+M12</f>
        <v>39607.999809689994</v>
      </c>
      <c r="N10" s="895">
        <f t="shared" si="6"/>
        <v>464.14000428000008</v>
      </c>
      <c r="O10" s="895">
        <f t="shared" si="6"/>
        <v>3972.1114968512566</v>
      </c>
      <c r="P10" s="895">
        <f t="shared" si="6"/>
        <v>174.19791329999998</v>
      </c>
      <c r="Q10" s="895">
        <f>Q11+Q12</f>
        <v>44218.449224121257</v>
      </c>
      <c r="R10" s="895"/>
      <c r="S10" s="895">
        <f>S11+S12</f>
        <v>54751.217192179742</v>
      </c>
      <c r="T10" s="546"/>
      <c r="U10" s="547"/>
      <c r="V10" s="546"/>
      <c r="W10" s="548"/>
      <c r="X10" s="541"/>
      <c r="Y10" s="541"/>
      <c r="Z10" s="541"/>
      <c r="AA10" s="541"/>
      <c r="AB10" s="541"/>
      <c r="AC10" s="541"/>
      <c r="AD10" s="541"/>
      <c r="AE10" s="541"/>
    </row>
    <row r="11" spans="2:31" ht="15" customHeight="1">
      <c r="C11" s="1016" t="str">
        <f>IF(Indice_index!$Z$1=1,"Impostos diretos","Direct taxes")</f>
        <v>Impostos diretos</v>
      </c>
      <c r="D11" s="1516"/>
      <c r="E11" s="895">
        <v>23916.184590335437</v>
      </c>
      <c r="F11" s="246"/>
      <c r="G11" s="895">
        <v>14034.060857459999</v>
      </c>
      <c r="H11" s="895">
        <v>1.5595100000000001E-3</v>
      </c>
      <c r="I11" s="895">
        <v>2720.4110334242014</v>
      </c>
      <c r="J11" s="895">
        <v>0</v>
      </c>
      <c r="K11" s="895">
        <v>16754.473450394202</v>
      </c>
      <c r="L11" s="895"/>
      <c r="M11" s="895">
        <v>18284.830825969999</v>
      </c>
      <c r="N11" s="895">
        <v>0</v>
      </c>
      <c r="O11" s="895">
        <v>3123.5708939975284</v>
      </c>
      <c r="P11" s="895">
        <v>0</v>
      </c>
      <c r="Q11" s="895">
        <v>21408.401719967529</v>
      </c>
      <c r="R11" s="246"/>
      <c r="S11" s="895">
        <v>25045.517224378542</v>
      </c>
      <c r="T11" s="546"/>
      <c r="U11" s="547"/>
      <c r="V11" s="546"/>
      <c r="W11" s="548"/>
      <c r="X11" s="541"/>
      <c r="Y11" s="541"/>
      <c r="Z11" s="541"/>
      <c r="AA11" s="541"/>
      <c r="AB11" s="541"/>
      <c r="AC11" s="541"/>
      <c r="AD11" s="541"/>
      <c r="AE11" s="541"/>
    </row>
    <row r="12" spans="2:31" ht="15" customHeight="1">
      <c r="C12" s="1016" t="str">
        <f>IF(Indice_index!$Z$1=1,"Impostos indiretos","Indirect taxes")</f>
        <v>Impostos indiretos</v>
      </c>
      <c r="D12" s="1516"/>
      <c r="E12" s="895">
        <v>27515.988887740394</v>
      </c>
      <c r="F12" s="246"/>
      <c r="G12" s="895">
        <v>18728.11114262</v>
      </c>
      <c r="H12" s="895">
        <v>410.75761686000004</v>
      </c>
      <c r="I12" s="895">
        <v>804.32413816743258</v>
      </c>
      <c r="J12" s="895">
        <v>157.74278835000001</v>
      </c>
      <c r="K12" s="895">
        <v>20100.935685997432</v>
      </c>
      <c r="L12" s="895"/>
      <c r="M12" s="895">
        <v>21323.168983719996</v>
      </c>
      <c r="N12" s="895">
        <v>464.14000428000008</v>
      </c>
      <c r="O12" s="895">
        <v>848.54060285372805</v>
      </c>
      <c r="P12" s="895">
        <v>174.19791329999998</v>
      </c>
      <c r="Q12" s="895">
        <v>22810.047504153725</v>
      </c>
      <c r="R12" s="246"/>
      <c r="S12" s="895">
        <v>29705.699967801203</v>
      </c>
      <c r="T12" s="546"/>
      <c r="U12" s="547"/>
      <c r="V12" s="546"/>
      <c r="W12" s="548"/>
      <c r="X12" s="541"/>
      <c r="Y12" s="541"/>
      <c r="Z12" s="541"/>
      <c r="AA12" s="541"/>
      <c r="AB12" s="541"/>
      <c r="AC12" s="541"/>
      <c r="AD12" s="541"/>
      <c r="AE12" s="541"/>
    </row>
    <row r="13" spans="2:31" ht="15" customHeight="1">
      <c r="C13" s="746" t="str">
        <f>IF(Indice_index!$Z$1=1,"Contribuições de Segurança Social","Social security contributions")</f>
        <v>Contribuições de Segurança Social</v>
      </c>
      <c r="D13" s="1516"/>
      <c r="E13" s="895">
        <v>24205.521009030002</v>
      </c>
      <c r="F13" s="246"/>
      <c r="G13" s="895">
        <v>48.43034514</v>
      </c>
      <c r="H13" s="895">
        <v>2965.5383299300001</v>
      </c>
      <c r="I13" s="895">
        <v>0</v>
      </c>
      <c r="J13" s="895">
        <v>14441.192996029999</v>
      </c>
      <c r="K13" s="895">
        <v>17455.161671099999</v>
      </c>
      <c r="L13" s="895"/>
      <c r="M13" s="895">
        <v>50.946623719999998</v>
      </c>
      <c r="N13" s="895">
        <v>2889.1228319200004</v>
      </c>
      <c r="O13" s="895">
        <v>0</v>
      </c>
      <c r="P13" s="895">
        <v>16190.64396481</v>
      </c>
      <c r="Q13" s="895">
        <v>19130.71342045</v>
      </c>
      <c r="R13" s="246"/>
      <c r="S13" s="895">
        <v>25361.125842000001</v>
      </c>
      <c r="T13" s="546"/>
      <c r="U13" s="547"/>
      <c r="V13" s="546"/>
      <c r="W13" s="548"/>
      <c r="X13" s="541"/>
      <c r="Y13" s="541"/>
      <c r="Z13" s="541"/>
      <c r="AA13" s="541"/>
      <c r="AB13" s="541"/>
      <c r="AC13" s="541"/>
      <c r="AD13" s="541"/>
      <c r="AE13" s="541"/>
    </row>
    <row r="14" spans="2:31" ht="15" customHeight="1">
      <c r="C14" s="746" t="str">
        <f>IF(Indice_index!$Z$1=1,"Transferências Correntes","Current transfers")</f>
        <v>Transferências Correntes</v>
      </c>
      <c r="D14" s="1516"/>
      <c r="E14" s="895">
        <v>3017.7043054748233</v>
      </c>
      <c r="F14" s="246"/>
      <c r="G14" s="895">
        <v>914.93006679999996</v>
      </c>
      <c r="H14" s="895">
        <v>16561.300449700004</v>
      </c>
      <c r="I14" s="895">
        <v>3254.4278253450575</v>
      </c>
      <c r="J14" s="895">
        <v>8115.4868271000005</v>
      </c>
      <c r="K14" s="895">
        <v>2291.7985942250589</v>
      </c>
      <c r="L14" s="895"/>
      <c r="M14" s="895">
        <v>698.64556161999997</v>
      </c>
      <c r="N14" s="895">
        <v>17001.284465290002</v>
      </c>
      <c r="O14" s="895">
        <v>3531.0957376168367</v>
      </c>
      <c r="P14" s="895">
        <v>7867.3258111299992</v>
      </c>
      <c r="Q14" s="895">
        <v>1783.6319896768341</v>
      </c>
      <c r="R14" s="246"/>
      <c r="S14" s="895">
        <v>4960.3380585247996</v>
      </c>
      <c r="T14" s="546"/>
      <c r="U14" s="547"/>
      <c r="V14" s="546"/>
      <c r="W14" s="548"/>
      <c r="X14" s="541"/>
      <c r="Y14" s="541"/>
      <c r="Z14" s="541"/>
      <c r="AA14" s="541"/>
      <c r="AB14" s="541"/>
      <c r="AC14" s="541"/>
      <c r="AD14" s="541"/>
      <c r="AE14" s="541"/>
    </row>
    <row r="15" spans="2:31" ht="15" customHeight="1">
      <c r="C15" s="1517" t="str">
        <f>IF(Indice_index!$Z$1=1,"Administrações Públicas","General Government subsectors")</f>
        <v>Administrações Públicas</v>
      </c>
      <c r="D15" s="1516"/>
      <c r="E15" s="1518">
        <v>0</v>
      </c>
      <c r="F15" s="1519"/>
      <c r="G15" s="1518">
        <v>505.71664322999999</v>
      </c>
      <c r="H15" s="1518">
        <v>15815.331385520001</v>
      </c>
      <c r="I15" s="1518">
        <v>3102.3469654299993</v>
      </c>
      <c r="J15" s="1518">
        <v>7130.9515805400006</v>
      </c>
      <c r="K15" s="1518">
        <v>0</v>
      </c>
      <c r="L15" s="1518"/>
      <c r="M15" s="1518">
        <v>517.65295965000007</v>
      </c>
      <c r="N15" s="1518">
        <v>16372.33116089</v>
      </c>
      <c r="O15" s="1518">
        <v>3339.1262688100028</v>
      </c>
      <c r="P15" s="1518">
        <v>7085.6091966299991</v>
      </c>
      <c r="Q15" s="1518">
        <v>0</v>
      </c>
      <c r="R15" s="1519"/>
      <c r="S15" s="1518">
        <v>0</v>
      </c>
      <c r="T15" s="546"/>
      <c r="U15" s="547"/>
      <c r="V15" s="546"/>
      <c r="W15" s="548"/>
      <c r="X15" s="541"/>
      <c r="Y15" s="541"/>
      <c r="Z15" s="541"/>
      <c r="AA15" s="541"/>
      <c r="AB15" s="541"/>
      <c r="AC15" s="541"/>
      <c r="AD15" s="541"/>
      <c r="AE15" s="541"/>
    </row>
    <row r="16" spans="2:31" ht="15" customHeight="1">
      <c r="C16" s="1517" t="str">
        <f>IF(Indice_index!$Z$1=1,"Outras","Others")</f>
        <v>Outras</v>
      </c>
      <c r="D16" s="1516"/>
      <c r="E16" s="1518">
        <v>3017.7043054748233</v>
      </c>
      <c r="F16" s="1519"/>
      <c r="G16" s="1518">
        <v>409.21342356999997</v>
      </c>
      <c r="H16" s="1518">
        <v>745.96906418000094</v>
      </c>
      <c r="I16" s="1518">
        <v>152.08085991505806</v>
      </c>
      <c r="J16" s="1518">
        <v>984.53524656000002</v>
      </c>
      <c r="K16" s="1518">
        <v>2291.7985942250589</v>
      </c>
      <c r="L16" s="1518"/>
      <c r="M16" s="1518">
        <v>180.9926019699999</v>
      </c>
      <c r="N16" s="1518">
        <v>628.95330440000032</v>
      </c>
      <c r="O16" s="1518">
        <v>191.96946880683407</v>
      </c>
      <c r="P16" s="1518">
        <v>781.71661449999988</v>
      </c>
      <c r="Q16" s="1518">
        <v>1783.6319896768341</v>
      </c>
      <c r="R16" s="1519"/>
      <c r="S16" s="1518">
        <v>4960.3380585247996</v>
      </c>
      <c r="T16" s="546"/>
      <c r="U16" s="547"/>
      <c r="V16" s="546"/>
      <c r="W16" s="548"/>
      <c r="X16" s="541"/>
      <c r="Y16" s="541"/>
      <c r="Z16" s="541"/>
      <c r="AA16" s="541"/>
      <c r="AB16" s="541"/>
      <c r="AC16" s="541"/>
      <c r="AD16" s="541"/>
      <c r="AE16" s="541"/>
    </row>
    <row r="17" spans="3:31" ht="15" customHeight="1">
      <c r="C17" s="746" t="str">
        <f>IF(Indice_index!$Z$1=1,"Outras receitas correntes","Other current revenue")</f>
        <v>Outras receitas correntes</v>
      </c>
      <c r="D17" s="1516"/>
      <c r="E17" s="895">
        <v>11070.632556263767</v>
      </c>
      <c r="F17" s="246"/>
      <c r="G17" s="895">
        <v>2015.26643074</v>
      </c>
      <c r="H17" s="895">
        <v>3643.6370855000091</v>
      </c>
      <c r="I17" s="895">
        <v>1357.6605027514295</v>
      </c>
      <c r="J17" s="895">
        <v>723.3646773800001</v>
      </c>
      <c r="K17" s="895">
        <v>7227.6105223414388</v>
      </c>
      <c r="L17" s="895"/>
      <c r="M17" s="895">
        <v>2555.0595772600004</v>
      </c>
      <c r="N17" s="895">
        <v>4189.9605813199978</v>
      </c>
      <c r="O17" s="895">
        <v>1459.9883148871911</v>
      </c>
      <c r="P17" s="895">
        <v>627.16687296999999</v>
      </c>
      <c r="Q17" s="895">
        <v>8449.205061897188</v>
      </c>
      <c r="R17" s="246"/>
      <c r="S17" s="895">
        <v>11695.092231674706</v>
      </c>
      <c r="T17" s="546"/>
      <c r="U17" s="547"/>
      <c r="V17" s="546"/>
      <c r="W17" s="548"/>
      <c r="X17" s="541"/>
      <c r="Y17" s="541"/>
      <c r="Z17" s="541"/>
      <c r="AA17" s="541"/>
      <c r="AB17" s="541"/>
      <c r="AC17" s="541"/>
      <c r="AD17" s="541"/>
      <c r="AE17" s="541"/>
    </row>
    <row r="18" spans="3:31" ht="15" customHeight="1">
      <c r="C18" s="793" t="str">
        <f>IF(Indice_index!$Z$1=1,"Diferenças de consolidação","Consolidation differences")</f>
        <v>Diferenças de consolidação</v>
      </c>
      <c r="D18" s="1516"/>
      <c r="E18" s="895">
        <v>39.963791380003521</v>
      </c>
      <c r="F18" s="246"/>
      <c r="G18" s="895">
        <v>3.4450300000000004E-3</v>
      </c>
      <c r="H18" s="895">
        <v>1.8091699999999801E-2</v>
      </c>
      <c r="I18" s="895">
        <v>0</v>
      </c>
      <c r="J18" s="895">
        <v>0</v>
      </c>
      <c r="K18" s="895">
        <v>2.1536729999999803E-2</v>
      </c>
      <c r="L18" s="895"/>
      <c r="M18" s="895">
        <v>3.7636499999999999E-3</v>
      </c>
      <c r="N18" s="895">
        <v>12.280702369998917</v>
      </c>
      <c r="O18" s="895">
        <v>0.54101452000008976</v>
      </c>
      <c r="P18" s="895">
        <v>0</v>
      </c>
      <c r="Q18" s="895">
        <v>82.077333829998423</v>
      </c>
      <c r="R18" s="246"/>
      <c r="S18" s="895">
        <v>9.3252379999995192</v>
      </c>
      <c r="T18" s="546"/>
      <c r="U18" s="547"/>
      <c r="V18" s="546"/>
      <c r="W18" s="548"/>
      <c r="X18" s="541"/>
      <c r="Y18" s="541"/>
      <c r="Z18" s="541"/>
      <c r="AA18" s="541"/>
      <c r="AB18" s="541"/>
      <c r="AC18" s="541"/>
      <c r="AD18" s="541"/>
      <c r="AE18" s="541"/>
    </row>
    <row r="19" spans="3:31" s="538" customFormat="1" ht="15" customHeight="1">
      <c r="C19" s="318" t="str">
        <f>IF(Indice_index!$Z$1=1,"Receita de capital","Capital revenue")</f>
        <v>Receita de capital</v>
      </c>
      <c r="D19" s="1520"/>
      <c r="E19" s="1515">
        <f>E20+E21+E24+E25</f>
        <v>2152.4292713541913</v>
      </c>
      <c r="F19" s="246"/>
      <c r="G19" s="1515">
        <f>G20+G21+G24+G25</f>
        <v>64.01009707</v>
      </c>
      <c r="H19" s="1515">
        <f t="shared" ref="H19:M19" si="7">H20+H21+H24+H25</f>
        <v>2106.31940493</v>
      </c>
      <c r="I19" s="1515">
        <f t="shared" si="7"/>
        <v>1054.5551421558928</v>
      </c>
      <c r="J19" s="1515">
        <f t="shared" si="7"/>
        <v>0.53597205000000003</v>
      </c>
      <c r="K19" s="1515">
        <f t="shared" si="7"/>
        <v>1433.9549085258927</v>
      </c>
      <c r="L19" s="1515"/>
      <c r="M19" s="1515">
        <f t="shared" si="7"/>
        <v>301.38478529999998</v>
      </c>
      <c r="N19" s="1515">
        <f t="shared" ref="N19" si="8">N20+N21+N24+N25</f>
        <v>1879.8041995199994</v>
      </c>
      <c r="O19" s="1515">
        <f t="shared" ref="O19" si="9">O20+O21+O24+O25</f>
        <v>866.4039700566434</v>
      </c>
      <c r="P19" s="1515">
        <f t="shared" ref="P19" si="10">P20+P21+P24+P25</f>
        <v>0.40326570000000006</v>
      </c>
      <c r="Q19" s="1515">
        <f t="shared" ref="Q19" si="11">Q20+Q21+Q24+Q25</f>
        <v>1725.770087696643</v>
      </c>
      <c r="R19" s="246"/>
      <c r="S19" s="1515">
        <f>S20+S21+S24+S25</f>
        <v>4617.421407629301</v>
      </c>
      <c r="T19" s="543"/>
      <c r="U19" s="542"/>
      <c r="V19" s="543"/>
      <c r="W19" s="544"/>
      <c r="X19" s="545"/>
      <c r="Y19" s="545"/>
      <c r="Z19" s="545"/>
      <c r="AA19" s="545"/>
      <c r="AB19" s="545"/>
      <c r="AC19" s="545"/>
      <c r="AD19" s="545"/>
      <c r="AE19" s="545"/>
    </row>
    <row r="20" spans="3:31" s="538" customFormat="1" ht="15" customHeight="1">
      <c r="C20" s="746" t="str">
        <f>IF(Indice_index!$Z$1=1,"Venda de bens de investimento","Sale of investment goods")</f>
        <v>Venda de bens de investimento</v>
      </c>
      <c r="D20" s="1520"/>
      <c r="E20" s="895">
        <v>234.08499364003021</v>
      </c>
      <c r="F20" s="246"/>
      <c r="G20" s="895">
        <v>36.488217099999993</v>
      </c>
      <c r="H20" s="895">
        <v>60.404606969999996</v>
      </c>
      <c r="I20" s="895">
        <v>67.083011969404978</v>
      </c>
      <c r="J20" s="895">
        <v>0.53597205000000003</v>
      </c>
      <c r="K20" s="895">
        <v>164.51180808940495</v>
      </c>
      <c r="L20" s="895"/>
      <c r="M20" s="895">
        <v>35.108443600000008</v>
      </c>
      <c r="N20" s="895">
        <v>65.747485460000007</v>
      </c>
      <c r="O20" s="895">
        <v>36.837111420115136</v>
      </c>
      <c r="P20" s="895">
        <v>0.39831619000000007</v>
      </c>
      <c r="Q20" s="895">
        <v>138.09135667011515</v>
      </c>
      <c r="R20" s="246"/>
      <c r="S20" s="895">
        <v>260.02846068002685</v>
      </c>
      <c r="T20" s="543"/>
      <c r="U20" s="542"/>
      <c r="V20" s="543"/>
      <c r="W20" s="544"/>
      <c r="X20" s="545"/>
      <c r="Y20" s="545"/>
      <c r="Z20" s="545"/>
      <c r="AA20" s="545"/>
      <c r="AB20" s="545"/>
      <c r="AC20" s="545"/>
      <c r="AD20" s="545"/>
      <c r="AE20" s="545"/>
    </row>
    <row r="21" spans="3:31" s="538" customFormat="1" ht="15" customHeight="1">
      <c r="C21" s="746" t="str">
        <f>IF(Indice_index!$Z$1=1,"Transferências de Capital","Capital transfers")</f>
        <v>Transferências de Capital</v>
      </c>
      <c r="D21" s="1520"/>
      <c r="E21" s="895">
        <v>1867.3452393440825</v>
      </c>
      <c r="F21" s="246"/>
      <c r="G21" s="895">
        <v>27.331949460000004</v>
      </c>
      <c r="H21" s="895">
        <v>2032.73706425</v>
      </c>
      <c r="I21" s="895">
        <v>973.39060704348503</v>
      </c>
      <c r="J21" s="895">
        <v>0</v>
      </c>
      <c r="K21" s="895">
        <v>1241.9939130734849</v>
      </c>
      <c r="L21" s="895"/>
      <c r="M21" s="895">
        <v>246.15676102999998</v>
      </c>
      <c r="N21" s="895">
        <v>1793.2149743199993</v>
      </c>
      <c r="O21" s="895">
        <v>812.83448996725656</v>
      </c>
      <c r="P21" s="895">
        <v>0</v>
      </c>
      <c r="Q21" s="895">
        <v>1529.9800924372562</v>
      </c>
      <c r="R21" s="246"/>
      <c r="S21" s="895">
        <v>4283.4085149757511</v>
      </c>
      <c r="T21" s="543"/>
      <c r="U21" s="542"/>
      <c r="V21" s="543"/>
      <c r="W21" s="544"/>
      <c r="X21" s="545"/>
      <c r="Y21" s="545"/>
      <c r="Z21" s="545"/>
      <c r="AA21" s="545"/>
      <c r="AB21" s="545"/>
      <c r="AC21" s="545"/>
      <c r="AD21" s="545"/>
      <c r="AE21" s="545"/>
    </row>
    <row r="22" spans="3:31" s="538" customFormat="1" ht="15" customHeight="1">
      <c r="C22" s="1517" t="str">
        <f>IF(Indice_index!$Z$1=1,"Administrações Públicas","General Government subsectors")</f>
        <v>Administrações Públicas</v>
      </c>
      <c r="D22" s="1520"/>
      <c r="E22" s="895">
        <v>0</v>
      </c>
      <c r="F22" s="246"/>
      <c r="G22" s="895">
        <v>9.4610847099999997</v>
      </c>
      <c r="H22" s="895">
        <v>1349.6693602299999</v>
      </c>
      <c r="I22" s="895">
        <v>432.33526274000002</v>
      </c>
      <c r="J22" s="895">
        <v>0</v>
      </c>
      <c r="K22" s="895">
        <v>0</v>
      </c>
      <c r="L22" s="895"/>
      <c r="M22" s="895">
        <v>11.588629630000002</v>
      </c>
      <c r="N22" s="895">
        <v>929.30530354999985</v>
      </c>
      <c r="O22" s="895">
        <v>381.33219969999993</v>
      </c>
      <c r="P22" s="895">
        <v>0</v>
      </c>
      <c r="Q22" s="895">
        <v>0</v>
      </c>
      <c r="R22" s="246"/>
      <c r="S22" s="895">
        <v>0</v>
      </c>
      <c r="T22" s="543"/>
      <c r="U22" s="542"/>
      <c r="V22" s="543"/>
      <c r="W22" s="544"/>
      <c r="X22" s="545"/>
      <c r="Y22" s="545"/>
      <c r="Z22" s="545"/>
      <c r="AA22" s="545"/>
      <c r="AB22" s="545"/>
      <c r="AC22" s="545"/>
      <c r="AD22" s="545"/>
      <c r="AE22" s="545"/>
    </row>
    <row r="23" spans="3:31" s="538" customFormat="1" ht="15" customHeight="1">
      <c r="C23" s="1517" t="str">
        <f>IF(Indice_index!$Z$1=1,"Outras","Others")</f>
        <v>Outras</v>
      </c>
      <c r="D23" s="1520"/>
      <c r="E23" s="1518">
        <v>1867.3452393440825</v>
      </c>
      <c r="F23" s="1519"/>
      <c r="G23" s="1518">
        <v>17.870864750000003</v>
      </c>
      <c r="H23" s="1518">
        <v>683.06770401999995</v>
      </c>
      <c r="I23" s="1518">
        <v>541.05534430348496</v>
      </c>
      <c r="J23" s="1518">
        <v>0</v>
      </c>
      <c r="K23" s="1518">
        <v>1241.9939130734849</v>
      </c>
      <c r="L23" s="1518"/>
      <c r="M23" s="1518">
        <v>234.56813139999997</v>
      </c>
      <c r="N23" s="1518">
        <v>863.90967076999959</v>
      </c>
      <c r="O23" s="1518">
        <v>431.50229026725668</v>
      </c>
      <c r="P23" s="1518">
        <v>0</v>
      </c>
      <c r="Q23" s="1518">
        <v>1529.9800924372562</v>
      </c>
      <c r="R23" s="1519"/>
      <c r="S23" s="1518">
        <v>4283.4085149757511</v>
      </c>
      <c r="T23" s="543"/>
      <c r="U23" s="542"/>
      <c r="V23" s="543"/>
      <c r="W23" s="544"/>
      <c r="X23" s="545"/>
      <c r="Y23" s="545"/>
      <c r="Z23" s="545"/>
      <c r="AA23" s="545"/>
      <c r="AB23" s="545"/>
      <c r="AC23" s="545"/>
      <c r="AD23" s="545"/>
      <c r="AE23" s="545"/>
    </row>
    <row r="24" spans="3:31" s="538" customFormat="1" ht="15" customHeight="1">
      <c r="C24" s="746" t="str">
        <f>IF(Indice_index!$Z$1=1,"Outras receitas de capital","Other capital revenue")</f>
        <v>Outras receitas de capital</v>
      </c>
      <c r="D24" s="1520"/>
      <c r="E24" s="1518">
        <v>42.809041090078466</v>
      </c>
      <c r="F24" s="1519"/>
      <c r="G24" s="1518">
        <v>0.18993050999999905</v>
      </c>
      <c r="H24" s="1518">
        <v>13.177733709999998</v>
      </c>
      <c r="I24" s="1518">
        <v>14.081523143002885</v>
      </c>
      <c r="J24" s="1518">
        <v>0</v>
      </c>
      <c r="K24" s="1518">
        <v>27.449187363002881</v>
      </c>
      <c r="L24" s="1518"/>
      <c r="M24" s="1518">
        <v>20.119580669999998</v>
      </c>
      <c r="N24" s="1518">
        <v>20.841739740000005</v>
      </c>
      <c r="O24" s="1518">
        <v>16.732368669271743</v>
      </c>
      <c r="P24" s="1518">
        <v>4.9495099999999998E-3</v>
      </c>
      <c r="Q24" s="1518">
        <v>57.698638589271745</v>
      </c>
      <c r="R24" s="1519"/>
      <c r="S24" s="1518">
        <v>64.622553296611642</v>
      </c>
      <c r="T24" s="543"/>
      <c r="U24" s="542"/>
      <c r="V24" s="543"/>
      <c r="W24" s="544"/>
      <c r="X24" s="545"/>
      <c r="Y24" s="545"/>
      <c r="Z24" s="545"/>
      <c r="AA24" s="545"/>
      <c r="AB24" s="545"/>
      <c r="AC24" s="545"/>
      <c r="AD24" s="545"/>
      <c r="AE24" s="545"/>
    </row>
    <row r="25" spans="3:31" ht="15" customHeight="1">
      <c r="C25" s="793" t="str">
        <f>IF(Indice_index!$Z$1=1,"Diferenças de consolidação","Consolidation differences")</f>
        <v>Diferenças de consolidação</v>
      </c>
      <c r="D25" s="1516"/>
      <c r="E25" s="895">
        <v>8.1899972800002416</v>
      </c>
      <c r="F25" s="246"/>
      <c r="G25" s="895">
        <v>0</v>
      </c>
      <c r="H25" s="895">
        <v>0</v>
      </c>
      <c r="I25" s="895">
        <v>0</v>
      </c>
      <c r="J25" s="895">
        <v>0</v>
      </c>
      <c r="K25" s="895">
        <v>0</v>
      </c>
      <c r="L25" s="895"/>
      <c r="M25" s="895">
        <v>0</v>
      </c>
      <c r="N25" s="895">
        <v>0</v>
      </c>
      <c r="O25" s="895">
        <v>0</v>
      </c>
      <c r="P25" s="895">
        <v>0</v>
      </c>
      <c r="Q25" s="895">
        <v>0</v>
      </c>
      <c r="R25" s="246"/>
      <c r="S25" s="895">
        <v>9.3618786769106919</v>
      </c>
      <c r="T25" s="546"/>
      <c r="U25" s="547"/>
      <c r="V25" s="546"/>
      <c r="W25" s="548"/>
      <c r="X25" s="541"/>
      <c r="Y25" s="541"/>
      <c r="Z25" s="541"/>
      <c r="AA25" s="541"/>
      <c r="AB25" s="541"/>
      <c r="AC25" s="541"/>
      <c r="AD25" s="541"/>
      <c r="AE25" s="541"/>
    </row>
    <row r="26" spans="3:31" s="549" customFormat="1" ht="4.5" customHeight="1">
      <c r="C26" s="1418"/>
      <c r="D26" s="774"/>
      <c r="E26" s="1521"/>
      <c r="F26" s="774"/>
      <c r="G26" s="1521"/>
      <c r="H26" s="1521"/>
      <c r="I26" s="1521"/>
      <c r="J26" s="1521"/>
      <c r="K26" s="1521"/>
      <c r="L26" s="1521"/>
      <c r="M26" s="1521"/>
      <c r="N26" s="1521"/>
      <c r="O26" s="1521"/>
      <c r="P26" s="1521"/>
      <c r="Q26" s="1521"/>
      <c r="R26" s="774"/>
      <c r="S26" s="1521"/>
      <c r="T26" s="546"/>
      <c r="U26" s="550"/>
      <c r="V26" s="546"/>
      <c r="W26" s="548"/>
      <c r="X26" s="541"/>
      <c r="Y26" s="541"/>
      <c r="Z26" s="551"/>
      <c r="AA26" s="551"/>
      <c r="AB26" s="551"/>
      <c r="AC26" s="551"/>
      <c r="AD26" s="541"/>
      <c r="AE26" s="541"/>
    </row>
    <row r="27" spans="3:31" s="538" customFormat="1" ht="13.5" customHeight="1">
      <c r="C27" s="1522" t="str">
        <f>IF(Indice_index!$Z$1=1,"Receita efetiva","Effective revenue")</f>
        <v>Receita efetiva</v>
      </c>
      <c r="D27" s="318"/>
      <c r="E27" s="1523">
        <f>E9+E19</f>
        <v>91918.424411578613</v>
      </c>
      <c r="F27" s="1515"/>
      <c r="G27" s="1523">
        <f t="shared" ref="G27:J27" si="12">G9+G19</f>
        <v>35804.812384859993</v>
      </c>
      <c r="H27" s="1523">
        <f t="shared" si="12"/>
        <v>25687.572538130014</v>
      </c>
      <c r="I27" s="1523">
        <f t="shared" si="12"/>
        <v>9191.3786418440141</v>
      </c>
      <c r="J27" s="1523">
        <f t="shared" si="12"/>
        <v>23438.323260909998</v>
      </c>
      <c r="K27" s="1523">
        <f>K9+K19</f>
        <v>65263.956369314023</v>
      </c>
      <c r="L27" s="1515"/>
      <c r="M27" s="1523">
        <f t="shared" ref="M27:P27" si="13">M9+M19</f>
        <v>43214.040121239988</v>
      </c>
      <c r="N27" s="1523">
        <f t="shared" si="13"/>
        <v>26436.592784700002</v>
      </c>
      <c r="O27" s="1523">
        <f t="shared" si="13"/>
        <v>9830.1405339319263</v>
      </c>
      <c r="P27" s="1523">
        <f t="shared" si="13"/>
        <v>24859.737827909998</v>
      </c>
      <c r="Q27" s="1523">
        <f>Q9+Q19</f>
        <v>75389.847117671918</v>
      </c>
      <c r="R27" s="1515"/>
      <c r="S27" s="1523">
        <f>S9+S19</f>
        <v>101394.51997000854</v>
      </c>
      <c r="T27" s="543"/>
      <c r="U27" s="542"/>
      <c r="V27" s="543"/>
      <c r="W27" s="544"/>
      <c r="X27" s="545"/>
      <c r="Y27" s="545"/>
      <c r="Z27" s="545"/>
      <c r="AA27" s="545"/>
      <c r="AB27" s="545"/>
      <c r="AC27" s="545"/>
      <c r="AD27" s="545"/>
      <c r="AE27" s="545"/>
    </row>
    <row r="28" spans="3:31" s="549" customFormat="1" ht="4.5" customHeight="1">
      <c r="C28" s="1418"/>
      <c r="D28" s="774"/>
      <c r="E28" s="1521"/>
      <c r="F28" s="774"/>
      <c r="G28" s="1521"/>
      <c r="H28" s="1521"/>
      <c r="I28" s="1521"/>
      <c r="J28" s="1521"/>
      <c r="K28" s="1521"/>
      <c r="L28" s="1521"/>
      <c r="M28" s="1521"/>
      <c r="N28" s="1521"/>
      <c r="O28" s="1521"/>
      <c r="P28" s="1521"/>
      <c r="Q28" s="1521"/>
      <c r="R28" s="774"/>
      <c r="S28" s="1521"/>
      <c r="T28" s="546"/>
      <c r="U28" s="550"/>
      <c r="V28" s="546"/>
      <c r="W28" s="548"/>
      <c r="X28" s="541"/>
      <c r="Y28" s="541"/>
      <c r="Z28" s="551"/>
      <c r="AA28" s="551"/>
      <c r="AB28" s="551"/>
      <c r="AC28" s="551"/>
      <c r="AD28" s="541"/>
      <c r="AE28" s="541"/>
    </row>
    <row r="29" spans="3:31" s="538" customFormat="1" ht="15" customHeight="1">
      <c r="C29" s="318" t="str">
        <f>IF(Indice_index!$Z$1=1,"Despesa corrente","Current expenditure")</f>
        <v>Despesa corrente</v>
      </c>
      <c r="D29" s="1520"/>
      <c r="E29" s="1515">
        <f>E30+E34+E35+E36+E39+E40+E41</f>
        <v>92213.860103929823</v>
      </c>
      <c r="F29" s="246"/>
      <c r="G29" s="1515">
        <f>G30+G34+G35+G36+G39+G40+G41</f>
        <v>39329.436832979998</v>
      </c>
      <c r="H29" s="1515">
        <f t="shared" ref="H29:K29" si="14">H30+H34+H35+H36+H39+H40+H41</f>
        <v>22261.827041049994</v>
      </c>
      <c r="I29" s="1515">
        <f t="shared" si="14"/>
        <v>6948.5219051667282</v>
      </c>
      <c r="J29" s="1515">
        <f t="shared" si="14"/>
        <v>22966.204520339998</v>
      </c>
      <c r="K29" s="1515">
        <f t="shared" si="14"/>
        <v>64439.325550786714</v>
      </c>
      <c r="L29" s="1515"/>
      <c r="M29" s="1515">
        <f>M30+M34+M35+M36+M39+M40+M41</f>
        <v>40384.265889460017</v>
      </c>
      <c r="N29" s="1515">
        <f t="shared" ref="N29" si="15">N30+N34+N35+N36+N39+N40+N41</f>
        <v>22848.743789629967</v>
      </c>
      <c r="O29" s="1515">
        <f t="shared" ref="O29" si="16">O30+O34+O35+O36+O39+O40+O41</f>
        <v>7410.1594456179482</v>
      </c>
      <c r="P29" s="1515">
        <f t="shared" ref="P29" si="17">P30+P34+P35+P36+P39+P40+P41</f>
        <v>21939.308268240005</v>
      </c>
      <c r="Q29" s="1515">
        <f t="shared" ref="Q29" si="18">Q30+Q34+Q35+Q36+Q39+Q40+Q41</f>
        <v>64954.039375717919</v>
      </c>
      <c r="R29" s="246"/>
      <c r="S29" s="1515">
        <f>S30+S34+S35+S36+S39+S40+S41</f>
        <v>95189.59823413963</v>
      </c>
      <c r="T29" s="543"/>
      <c r="U29" s="542"/>
      <c r="V29" s="543"/>
      <c r="W29" s="544"/>
      <c r="X29" s="545"/>
      <c r="Y29" s="545"/>
      <c r="Z29" s="545"/>
      <c r="AA29" s="545"/>
      <c r="AB29" s="545"/>
      <c r="AC29" s="545"/>
      <c r="AD29" s="545"/>
      <c r="AE29" s="545"/>
    </row>
    <row r="30" spans="3:31" ht="15" customHeight="1">
      <c r="C30" s="793" t="str">
        <f>IF(Indice_index!$Z$1=1,"Despesas com o pessoal","Compensation of employees")</f>
        <v>Despesas com o pessoal</v>
      </c>
      <c r="D30" s="1516"/>
      <c r="E30" s="895">
        <f>E31+E32+E33</f>
        <v>23503.247919816382</v>
      </c>
      <c r="F30" s="246"/>
      <c r="G30" s="895">
        <f>G31+G32+G33</f>
        <v>7336.3086787899956</v>
      </c>
      <c r="H30" s="895">
        <f t="shared" ref="H30:M30" si="19">H31+H32+H33</f>
        <v>6080.6076765899943</v>
      </c>
      <c r="I30" s="895">
        <f t="shared" si="19"/>
        <v>3244.4889693061191</v>
      </c>
      <c r="J30" s="895">
        <f t="shared" si="19"/>
        <v>208.41252995000002</v>
      </c>
      <c r="K30" s="895">
        <f t="shared" si="19"/>
        <v>16869.817854636109</v>
      </c>
      <c r="L30" s="895"/>
      <c r="M30" s="895">
        <f t="shared" si="19"/>
        <v>7321.3213923900003</v>
      </c>
      <c r="N30" s="895">
        <f t="shared" ref="N30" si="20">N31+N32+N33</f>
        <v>6229.5373203900008</v>
      </c>
      <c r="O30" s="895">
        <f t="shared" ref="O30" si="21">O31+O32+O33</f>
        <v>3545.8069947569884</v>
      </c>
      <c r="P30" s="895">
        <f t="shared" ref="P30" si="22">P31+P32+P33</f>
        <v>216.48226336999994</v>
      </c>
      <c r="Q30" s="895">
        <f t="shared" ref="Q30" si="23">Q31+Q32+Q33</f>
        <v>17313.14797090699</v>
      </c>
      <c r="R30" s="246"/>
      <c r="S30" s="895">
        <f>S31+S32+S33</f>
        <v>24073.728630554066</v>
      </c>
      <c r="T30" s="546"/>
      <c r="U30" s="547"/>
      <c r="V30" s="546"/>
      <c r="W30" s="548"/>
      <c r="X30" s="541"/>
      <c r="Y30" s="541"/>
      <c r="Z30" s="541"/>
      <c r="AA30" s="541"/>
      <c r="AB30" s="541"/>
      <c r="AC30" s="541"/>
      <c r="AD30" s="541"/>
      <c r="AE30" s="541"/>
    </row>
    <row r="31" spans="3:31" ht="15" customHeight="1">
      <c r="C31" s="1517" t="str">
        <f>IF(Indice_index!$Z$1=1,"Remunerações Certas e Permanentes","Certain and permanent wages")</f>
        <v>Remunerações Certas e Permanentes</v>
      </c>
      <c r="D31" s="1516"/>
      <c r="E31" s="895">
        <v>16863.182267150922</v>
      </c>
      <c r="F31" s="246"/>
      <c r="G31" s="895">
        <v>5269.8901124499953</v>
      </c>
      <c r="H31" s="895">
        <v>4216.101637449995</v>
      </c>
      <c r="I31" s="895">
        <v>2409.0108861012714</v>
      </c>
      <c r="J31" s="895">
        <v>166.33133185000003</v>
      </c>
      <c r="K31" s="895">
        <v>12061.33396785126</v>
      </c>
      <c r="L31" s="895"/>
      <c r="M31" s="895">
        <v>5275.6502970900001</v>
      </c>
      <c r="N31" s="895">
        <v>4355.3968809900007</v>
      </c>
      <c r="O31" s="895">
        <v>2641.2564537722574</v>
      </c>
      <c r="P31" s="895">
        <v>173.55571447999995</v>
      </c>
      <c r="Q31" s="895">
        <v>12445.859346332258</v>
      </c>
      <c r="R31" s="246"/>
      <c r="S31" s="895">
        <v>17750.481857474613</v>
      </c>
      <c r="T31" s="546"/>
      <c r="U31" s="547"/>
      <c r="V31" s="546"/>
      <c r="W31" s="548"/>
      <c r="X31" s="541"/>
      <c r="Y31" s="541"/>
      <c r="Z31" s="541"/>
      <c r="AA31" s="541"/>
      <c r="AB31" s="541"/>
      <c r="AC31" s="541"/>
      <c r="AD31" s="541"/>
      <c r="AE31" s="541"/>
    </row>
    <row r="32" spans="3:31" ht="15" customHeight="1">
      <c r="C32" s="1517" t="str">
        <f>IF(Indice_index!$Z$1=1,"Abonos Variáveis ou Eventuais","Variable or contingent bonuses")</f>
        <v>Abonos Variáveis ou Eventuais</v>
      </c>
      <c r="D32" s="1516"/>
      <c r="E32" s="895">
        <v>1572.0595564559444</v>
      </c>
      <c r="F32" s="246"/>
      <c r="G32" s="895">
        <v>282.4304809300001</v>
      </c>
      <c r="H32" s="895">
        <v>709.58615932999953</v>
      </c>
      <c r="I32" s="895">
        <v>174.48107994964835</v>
      </c>
      <c r="J32" s="895">
        <v>3.82070387</v>
      </c>
      <c r="K32" s="895">
        <v>1170.3184240796479</v>
      </c>
      <c r="L32" s="895"/>
      <c r="M32" s="895">
        <v>294.39156960999969</v>
      </c>
      <c r="N32" s="895">
        <v>700.28141444999994</v>
      </c>
      <c r="O32" s="895">
        <v>191.56794168263613</v>
      </c>
      <c r="P32" s="895">
        <v>3.9563772699999999</v>
      </c>
      <c r="Q32" s="895">
        <v>1190.1973030126358</v>
      </c>
      <c r="R32" s="246"/>
      <c r="S32" s="895">
        <v>1512.1656374667184</v>
      </c>
      <c r="T32" s="546"/>
      <c r="U32" s="547"/>
      <c r="V32" s="546"/>
      <c r="W32" s="548"/>
      <c r="X32" s="541"/>
      <c r="Y32" s="541"/>
      <c r="Z32" s="541"/>
      <c r="AA32" s="541"/>
      <c r="AB32" s="541"/>
      <c r="AC32" s="541"/>
      <c r="AD32" s="541"/>
      <c r="AE32" s="541"/>
    </row>
    <row r="33" spans="3:31" ht="15" customHeight="1">
      <c r="C33" s="1517" t="str">
        <f>IF(Indice_index!$Z$1=1,"Segurança social","Social security")</f>
        <v>Segurança social</v>
      </c>
      <c r="D33" s="1516"/>
      <c r="E33" s="895">
        <v>5068.0060962095167</v>
      </c>
      <c r="F33" s="246"/>
      <c r="G33" s="895">
        <v>1783.9880854100006</v>
      </c>
      <c r="H33" s="895">
        <v>1154.9198798099999</v>
      </c>
      <c r="I33" s="895">
        <v>660.99700325519962</v>
      </c>
      <c r="J33" s="895">
        <v>38.260494230000006</v>
      </c>
      <c r="K33" s="895">
        <v>3638.1654627052003</v>
      </c>
      <c r="L33" s="895"/>
      <c r="M33" s="895">
        <v>1751.279525690001</v>
      </c>
      <c r="N33" s="895">
        <v>1173.8590249500003</v>
      </c>
      <c r="O33" s="895">
        <v>712.98259930209474</v>
      </c>
      <c r="P33" s="895">
        <v>38.970171620000002</v>
      </c>
      <c r="Q33" s="895">
        <v>3677.0913215620958</v>
      </c>
      <c r="R33" s="246"/>
      <c r="S33" s="895">
        <v>4811.0811356127342</v>
      </c>
      <c r="T33" s="546"/>
      <c r="U33" s="547"/>
      <c r="V33" s="546"/>
      <c r="W33" s="548"/>
      <c r="X33" s="541"/>
      <c r="Y33" s="541"/>
      <c r="Z33" s="541"/>
      <c r="AA33" s="541"/>
      <c r="AB33" s="541"/>
      <c r="AC33" s="541"/>
      <c r="AD33" s="541"/>
      <c r="AE33" s="541"/>
    </row>
    <row r="34" spans="3:31" ht="15" customHeight="1">
      <c r="C34" s="793" t="str">
        <f>IF(Indice_index!$Z$1=1,"Aquisição de bens e serviços","Purchase of goods and services")</f>
        <v>Aquisição de bens e serviços</v>
      </c>
      <c r="D34" s="1516"/>
      <c r="E34" s="895">
        <v>14824.748358832137</v>
      </c>
      <c r="F34" s="246"/>
      <c r="G34" s="895">
        <v>884.19231544999946</v>
      </c>
      <c r="H34" s="895">
        <v>6281.031468139995</v>
      </c>
      <c r="I34" s="895">
        <v>2283.1481103182905</v>
      </c>
      <c r="J34" s="895">
        <v>65.585589769999999</v>
      </c>
      <c r="K34" s="895">
        <v>9509.9214483582855</v>
      </c>
      <c r="L34" s="895"/>
      <c r="M34" s="895">
        <v>910.78984132000221</v>
      </c>
      <c r="N34" s="895">
        <v>6806.5188782999621</v>
      </c>
      <c r="O34" s="895">
        <v>2469.2471090214103</v>
      </c>
      <c r="P34" s="895">
        <v>57.095162390000006</v>
      </c>
      <c r="Q34" s="895">
        <v>10242.954226141374</v>
      </c>
      <c r="R34" s="246"/>
      <c r="S34" s="895">
        <v>15878.382236609272</v>
      </c>
      <c r="T34" s="546"/>
      <c r="U34" s="547"/>
      <c r="V34" s="546"/>
      <c r="W34" s="548"/>
      <c r="X34" s="541"/>
      <c r="Y34" s="541"/>
      <c r="Z34" s="541"/>
      <c r="AA34" s="541"/>
      <c r="AB34" s="541"/>
      <c r="AC34" s="541"/>
      <c r="AD34" s="541"/>
      <c r="AE34" s="541"/>
    </row>
    <row r="35" spans="3:31" ht="15" customHeight="1">
      <c r="C35" s="793" t="str">
        <f>IF(Indice_index!$Z$1=1,"Juros e outros encargos","Interests and other charges")</f>
        <v>Juros e outros encargos</v>
      </c>
      <c r="D35" s="1516"/>
      <c r="E35" s="895">
        <v>6950.9798698186814</v>
      </c>
      <c r="F35" s="246"/>
      <c r="G35" s="895">
        <v>4402.1719706700005</v>
      </c>
      <c r="H35" s="895">
        <v>325.30220678999984</v>
      </c>
      <c r="I35" s="895">
        <v>107.95546888075474</v>
      </c>
      <c r="J35" s="895">
        <v>4.8935239800000003</v>
      </c>
      <c r="K35" s="895">
        <v>4706.9932920507554</v>
      </c>
      <c r="L35" s="895"/>
      <c r="M35" s="895">
        <v>4028.8168751400012</v>
      </c>
      <c r="N35" s="895">
        <v>149.25097287</v>
      </c>
      <c r="O35" s="895">
        <v>130.074042427595</v>
      </c>
      <c r="P35" s="895">
        <v>5.1500028799999997</v>
      </c>
      <c r="Q35" s="895">
        <v>4263.7833060775974</v>
      </c>
      <c r="R35" s="246"/>
      <c r="S35" s="895">
        <v>6811.6674575227453</v>
      </c>
      <c r="T35" s="546"/>
      <c r="U35" s="547"/>
      <c r="V35" s="546"/>
      <c r="W35" s="548"/>
      <c r="X35" s="541"/>
      <c r="Y35" s="541"/>
      <c r="Z35" s="541"/>
      <c r="AA35" s="541"/>
      <c r="AB35" s="541"/>
      <c r="AC35" s="541"/>
      <c r="AD35" s="541"/>
      <c r="AE35" s="541"/>
    </row>
    <row r="36" spans="3:31" ht="15" customHeight="1">
      <c r="C36" s="793" t="str">
        <f>IF(Indice_index!$Z$1=1,"Transferências correntes","Current transfers")</f>
        <v>Transferências correntes</v>
      </c>
      <c r="D36" s="1516"/>
      <c r="E36" s="895">
        <v>43772.156764577245</v>
      </c>
      <c r="F36" s="246"/>
      <c r="G36" s="895">
        <v>26334.367461720005</v>
      </c>
      <c r="H36" s="895">
        <v>8751.0541415400021</v>
      </c>
      <c r="I36" s="895">
        <v>805.33665552861396</v>
      </c>
      <c r="J36" s="895">
        <v>21960.420726649998</v>
      </c>
      <c r="K36" s="895">
        <v>31268.007558328613</v>
      </c>
      <c r="L36" s="895"/>
      <c r="M36" s="895">
        <v>27668.426519120003</v>
      </c>
      <c r="N36" s="895">
        <v>8987.2861872700032</v>
      </c>
      <c r="O36" s="895">
        <v>778.06805227998973</v>
      </c>
      <c r="P36" s="895">
        <v>21012.464339200007</v>
      </c>
      <c r="Q36" s="895">
        <v>31080.948440749999</v>
      </c>
      <c r="R36" s="246"/>
      <c r="S36" s="895">
        <v>43612.929022356679</v>
      </c>
      <c r="T36" s="546"/>
      <c r="U36" s="547"/>
      <c r="V36" s="546"/>
      <c r="W36" s="548"/>
      <c r="X36" s="541"/>
      <c r="Y36" s="541"/>
      <c r="Z36" s="541"/>
      <c r="AA36" s="541"/>
      <c r="AB36" s="541"/>
      <c r="AC36" s="541"/>
      <c r="AD36" s="541"/>
      <c r="AE36" s="541"/>
    </row>
    <row r="37" spans="3:31" ht="15" customHeight="1">
      <c r="C37" s="1517" t="str">
        <f>IF(Indice_index!$Z$1=1,"Administrações Públicas","General Government subsectors")</f>
        <v>Administrações Públicas</v>
      </c>
      <c r="D37" s="1516"/>
      <c r="E37" s="895">
        <v>0</v>
      </c>
      <c r="F37" s="246"/>
      <c r="G37" s="895">
        <v>24154.773394380005</v>
      </c>
      <c r="H37" s="895">
        <v>775.87992612000016</v>
      </c>
      <c r="I37" s="895">
        <v>109.41532616000002</v>
      </c>
      <c r="J37" s="895">
        <v>1543.1027804500002</v>
      </c>
      <c r="K37" s="895">
        <v>0</v>
      </c>
      <c r="L37" s="895"/>
      <c r="M37" s="895">
        <v>25190.953005290005</v>
      </c>
      <c r="N37" s="895">
        <v>729.15657719999967</v>
      </c>
      <c r="O37" s="895">
        <v>132.64428191000005</v>
      </c>
      <c r="P37" s="895">
        <v>1312.5427927199999</v>
      </c>
      <c r="Q37" s="895">
        <v>0</v>
      </c>
      <c r="R37" s="246"/>
      <c r="S37" s="895">
        <v>0</v>
      </c>
      <c r="T37" s="546"/>
      <c r="U37" s="547"/>
      <c r="V37" s="546"/>
      <c r="W37" s="548"/>
      <c r="X37" s="541"/>
      <c r="Y37" s="541"/>
      <c r="Z37" s="541"/>
      <c r="AA37" s="541"/>
      <c r="AB37" s="541"/>
      <c r="AC37" s="541"/>
      <c r="AD37" s="541"/>
      <c r="AE37" s="541"/>
    </row>
    <row r="38" spans="3:31" ht="15" customHeight="1">
      <c r="C38" s="1517" t="str">
        <f>IF(Indice_index!$Z$1=1,"Outras","Others")</f>
        <v>Outras</v>
      </c>
      <c r="D38" s="1516"/>
      <c r="E38" s="1518">
        <v>43772.156764577245</v>
      </c>
      <c r="F38" s="1519"/>
      <c r="G38" s="1518">
        <v>2179.5940673399996</v>
      </c>
      <c r="H38" s="1518">
        <v>7975.1742154200019</v>
      </c>
      <c r="I38" s="1518">
        <v>695.9213293686139</v>
      </c>
      <c r="J38" s="1518">
        <v>20417.317946199997</v>
      </c>
      <c r="K38" s="1518">
        <v>31268.007558328613</v>
      </c>
      <c r="L38" s="1518"/>
      <c r="M38" s="1518">
        <v>2477.4735138300002</v>
      </c>
      <c r="N38" s="1518">
        <v>8258.1296100700038</v>
      </c>
      <c r="O38" s="1518">
        <v>645.42377036998971</v>
      </c>
      <c r="P38" s="1518">
        <v>19699.921546480007</v>
      </c>
      <c r="Q38" s="1518">
        <v>31080.948440749999</v>
      </c>
      <c r="R38" s="1519"/>
      <c r="S38" s="1518">
        <v>43612.929022356679</v>
      </c>
      <c r="T38" s="546"/>
      <c r="U38" s="547"/>
      <c r="V38" s="546"/>
      <c r="W38" s="548"/>
      <c r="X38" s="541"/>
      <c r="Y38" s="541"/>
      <c r="Z38" s="541"/>
      <c r="AA38" s="541"/>
      <c r="AB38" s="541"/>
      <c r="AC38" s="541"/>
      <c r="AD38" s="541"/>
      <c r="AE38" s="541"/>
    </row>
    <row r="39" spans="3:31" ht="15" customHeight="1">
      <c r="C39" s="793" t="str">
        <f>IF(Indice_index!$Z$1=1,"Subsídios","Subsidies")</f>
        <v>Subsídios</v>
      </c>
      <c r="D39" s="1516"/>
      <c r="E39" s="895">
        <v>2149.9127327166143</v>
      </c>
      <c r="F39" s="246"/>
      <c r="G39" s="895">
        <v>38.690883529999994</v>
      </c>
      <c r="H39" s="895">
        <v>684.93227738999985</v>
      </c>
      <c r="I39" s="895">
        <v>428.09440692617028</v>
      </c>
      <c r="J39" s="895">
        <v>718.61513706999995</v>
      </c>
      <c r="K39" s="895">
        <v>1494.5555231961698</v>
      </c>
      <c r="L39" s="895"/>
      <c r="M39" s="895">
        <v>150.83954320000001</v>
      </c>
      <c r="N39" s="895">
        <v>509.22165537000018</v>
      </c>
      <c r="O39" s="895">
        <v>378.80107011645816</v>
      </c>
      <c r="P39" s="895">
        <v>638.24589954999999</v>
      </c>
      <c r="Q39" s="895">
        <v>1464.1721602564585</v>
      </c>
      <c r="R39" s="246"/>
      <c r="S39" s="895">
        <v>2114.0344561551046</v>
      </c>
      <c r="T39" s="546"/>
      <c r="U39" s="547"/>
      <c r="V39" s="546"/>
      <c r="W39" s="548"/>
      <c r="X39" s="541"/>
      <c r="Y39" s="541"/>
      <c r="Z39" s="541"/>
      <c r="AA39" s="541"/>
      <c r="AB39" s="541"/>
      <c r="AC39" s="541"/>
      <c r="AD39" s="541"/>
      <c r="AE39" s="541"/>
    </row>
    <row r="40" spans="3:31" ht="15" customHeight="1">
      <c r="C40" s="793" t="str">
        <f>IF(Indice_index!$Z$1=1,"Outras despesas correntes","Other current expenditures")</f>
        <v>Outras despesas correntes</v>
      </c>
      <c r="D40" s="1516"/>
      <c r="E40" s="895">
        <v>767.44553545876136</v>
      </c>
      <c r="F40" s="246"/>
      <c r="G40" s="895">
        <v>330.17127486000004</v>
      </c>
      <c r="H40" s="895">
        <v>134.10577387000009</v>
      </c>
      <c r="I40" s="895">
        <v>79.167715826779272</v>
      </c>
      <c r="J40" s="895">
        <v>8.2770129200000024</v>
      </c>
      <c r="K40" s="895">
        <v>551.72177747677938</v>
      </c>
      <c r="L40" s="895"/>
      <c r="M40" s="895">
        <v>303.29219999999987</v>
      </c>
      <c r="N40" s="895">
        <v>151.89250070000003</v>
      </c>
      <c r="O40" s="895">
        <v>108.16217701550705</v>
      </c>
      <c r="P40" s="895">
        <v>9.8706008499999989</v>
      </c>
      <c r="Q40" s="895">
        <v>573.21747856550701</v>
      </c>
      <c r="R40" s="246"/>
      <c r="S40" s="895">
        <v>2461.5376299429199</v>
      </c>
      <c r="T40" s="546"/>
      <c r="U40" s="547"/>
      <c r="V40" s="546"/>
      <c r="W40" s="548"/>
      <c r="X40" s="541"/>
      <c r="Y40" s="541"/>
      <c r="Z40" s="541"/>
      <c r="AA40" s="541"/>
      <c r="AB40" s="541"/>
      <c r="AC40" s="541"/>
      <c r="AD40" s="541"/>
      <c r="AE40" s="541"/>
    </row>
    <row r="41" spans="3:31" ht="15" customHeight="1">
      <c r="C41" s="793" t="str">
        <f>IF(Indice_index!$Z$1=1,"Diferenças de consolidação","Consolidation differences")</f>
        <v>Diferenças de consolidação</v>
      </c>
      <c r="D41" s="1516"/>
      <c r="E41" s="895">
        <v>245.36892270998956</v>
      </c>
      <c r="F41" s="246"/>
      <c r="G41" s="895">
        <v>3.5342479600000161</v>
      </c>
      <c r="H41" s="895">
        <v>4.7934967300020617</v>
      </c>
      <c r="I41" s="895">
        <v>0.33057837999990625</v>
      </c>
      <c r="J41" s="895">
        <v>0</v>
      </c>
      <c r="K41" s="895">
        <v>38.308096740009546</v>
      </c>
      <c r="L41" s="895"/>
      <c r="M41" s="895">
        <v>0.77951829000005546</v>
      </c>
      <c r="N41" s="895">
        <v>15.036274729997785</v>
      </c>
      <c r="O41" s="895">
        <v>0</v>
      </c>
      <c r="P41" s="895">
        <v>0</v>
      </c>
      <c r="Q41" s="895">
        <v>15.815793019997841</v>
      </c>
      <c r="R41" s="246"/>
      <c r="S41" s="895">
        <v>237.31880099884347</v>
      </c>
      <c r="T41" s="546"/>
      <c r="U41" s="547"/>
      <c r="V41" s="546"/>
      <c r="W41" s="548"/>
      <c r="X41" s="541"/>
      <c r="Y41" s="541"/>
      <c r="Z41" s="541"/>
      <c r="AA41" s="541"/>
      <c r="AB41" s="541"/>
      <c r="AC41" s="541"/>
      <c r="AD41" s="541"/>
      <c r="AE41" s="541"/>
    </row>
    <row r="42" spans="3:31" s="538" customFormat="1" ht="15" customHeight="1">
      <c r="C42" s="318" t="str">
        <f>IF(Indice_index!$Z$1=1,"Despesa de capital","Capital expenditure")</f>
        <v>Despesa de capital</v>
      </c>
      <c r="D42" s="1520"/>
      <c r="E42" s="1515">
        <f>E43+E44+E47+E48</f>
        <v>8347.7309172296245</v>
      </c>
      <c r="F42" s="246"/>
      <c r="G42" s="1515">
        <f>G43+G44+G47+G48</f>
        <v>2270.3683979000007</v>
      </c>
      <c r="H42" s="1515">
        <f t="shared" ref="H42:K42" si="24">H43+H44+H47+H48</f>
        <v>2816.3884802600005</v>
      </c>
      <c r="I42" s="1515">
        <f t="shared" si="24"/>
        <v>2198.3908469436628</v>
      </c>
      <c r="J42" s="1515">
        <f t="shared" si="24"/>
        <v>22.959235719999999</v>
      </c>
      <c r="K42" s="1515">
        <f t="shared" si="24"/>
        <v>5516.6412531436636</v>
      </c>
      <c r="L42" s="1515"/>
      <c r="M42" s="1515">
        <f>M43+M44+M47+M48</f>
        <v>1799.2792590400002</v>
      </c>
      <c r="N42" s="1515">
        <f t="shared" ref="N42" si="25">N43+N44+N47+N48</f>
        <v>2600.0817295900006</v>
      </c>
      <c r="O42" s="1515">
        <f t="shared" ref="O42" si="26">O43+O44+O47+O48</f>
        <v>2082.9025521153785</v>
      </c>
      <c r="P42" s="1515">
        <f t="shared" ref="P42" si="27">P43+P44+P47+P48</f>
        <v>22.679478320000001</v>
      </c>
      <c r="Q42" s="1515">
        <f t="shared" ref="Q42" si="28">Q43+Q44+Q47+Q48</f>
        <v>5182.7168861853788</v>
      </c>
      <c r="R42" s="246"/>
      <c r="S42" s="1515">
        <f>S43+S44+S47+S48</f>
        <v>11396.598151081178</v>
      </c>
      <c r="T42" s="543"/>
      <c r="U42" s="552"/>
      <c r="V42" s="543"/>
      <c r="W42" s="544"/>
      <c r="X42" s="545"/>
      <c r="Y42" s="545"/>
      <c r="Z42" s="545"/>
      <c r="AA42" s="545"/>
      <c r="AB42" s="545"/>
      <c r="AC42" s="545"/>
      <c r="AD42" s="545"/>
      <c r="AE42" s="545"/>
    </row>
    <row r="43" spans="3:31" ht="15" customHeight="1">
      <c r="C43" s="793" t="str">
        <f>IF(Indice_index!$Z$1=1,"Investimentos","Investments")</f>
        <v>Investimentos</v>
      </c>
      <c r="D43" s="1516"/>
      <c r="E43" s="895">
        <v>6350.2217419787266</v>
      </c>
      <c r="F43" s="246"/>
      <c r="G43" s="895">
        <v>341.65544617</v>
      </c>
      <c r="H43" s="895">
        <v>1896.0942548500004</v>
      </c>
      <c r="I43" s="895">
        <v>1852.1354297674579</v>
      </c>
      <c r="J43" s="895">
        <v>20.70649006</v>
      </c>
      <c r="K43" s="895">
        <v>4110.5916208474582</v>
      </c>
      <c r="L43" s="895"/>
      <c r="M43" s="895">
        <v>467.69692453000005</v>
      </c>
      <c r="N43" s="895">
        <v>1935.3375898600004</v>
      </c>
      <c r="O43" s="895">
        <v>1739.7987375138334</v>
      </c>
      <c r="P43" s="895">
        <v>20.49941643</v>
      </c>
      <c r="Q43" s="895">
        <v>4163.3326683338337</v>
      </c>
      <c r="R43" s="246"/>
      <c r="S43" s="895">
        <v>9105.9564992394389</v>
      </c>
      <c r="T43" s="546"/>
      <c r="U43" s="547"/>
      <c r="V43" s="546"/>
      <c r="W43" s="548"/>
      <c r="X43" s="541"/>
      <c r="Y43" s="541"/>
      <c r="Z43" s="541"/>
      <c r="AA43" s="541"/>
      <c r="AB43" s="541"/>
      <c r="AC43" s="541"/>
      <c r="AD43" s="541"/>
      <c r="AE43" s="541"/>
    </row>
    <row r="44" spans="3:31" ht="15" customHeight="1">
      <c r="C44" s="793" t="str">
        <f>IF(Indice_index!$Z$1=1,"Transferências de capital","Capital transfers")</f>
        <v>Transferências de capital</v>
      </c>
      <c r="D44" s="1516"/>
      <c r="E44" s="895">
        <v>1784.3860212726904</v>
      </c>
      <c r="F44" s="246"/>
      <c r="G44" s="895">
        <v>1901.4849532000003</v>
      </c>
      <c r="H44" s="895">
        <v>897.96388387000013</v>
      </c>
      <c r="I44" s="895">
        <v>338.84161018120506</v>
      </c>
      <c r="J44" s="895">
        <v>2.2527456599999995</v>
      </c>
      <c r="K44" s="895">
        <v>1254.0406622412054</v>
      </c>
      <c r="L44" s="895"/>
      <c r="M44" s="895">
        <v>1322.5770801799999</v>
      </c>
      <c r="N44" s="895">
        <v>537.59857483999997</v>
      </c>
      <c r="O44" s="895">
        <v>332.24208260164693</v>
      </c>
      <c r="P44" s="895">
        <v>2.1800618900000002</v>
      </c>
      <c r="Q44" s="895">
        <v>864.220511901647</v>
      </c>
      <c r="R44" s="246"/>
      <c r="S44" s="895">
        <v>2030.9235200694229</v>
      </c>
      <c r="T44" s="546"/>
      <c r="U44" s="547"/>
      <c r="V44" s="546"/>
      <c r="W44" s="548"/>
      <c r="X44" s="541"/>
      <c r="Y44" s="541"/>
      <c r="Z44" s="541"/>
      <c r="AA44" s="541"/>
      <c r="AB44" s="541"/>
      <c r="AC44" s="541"/>
      <c r="AD44" s="541"/>
      <c r="AE44" s="541"/>
    </row>
    <row r="45" spans="3:31" ht="15" customHeight="1">
      <c r="C45" s="1517" t="str">
        <f>IF(Indice_index!$Z$1=1,"Administrações Públicas","General Government subsectors")</f>
        <v>Administrações Públicas</v>
      </c>
      <c r="D45" s="1516"/>
      <c r="E45" s="895">
        <v>0</v>
      </c>
      <c r="F45" s="246"/>
      <c r="G45" s="895">
        <v>1853.8529122000002</v>
      </c>
      <c r="H45" s="895">
        <v>24.879895009999998</v>
      </c>
      <c r="I45" s="895">
        <v>7.7697234599999963</v>
      </c>
      <c r="J45" s="895">
        <v>0</v>
      </c>
      <c r="K45" s="895">
        <v>0</v>
      </c>
      <c r="L45" s="895"/>
      <c r="M45" s="895">
        <v>1282.4378438699998</v>
      </c>
      <c r="N45" s="895">
        <v>36.883802199999998</v>
      </c>
      <c r="O45" s="895">
        <v>11.055641539999991</v>
      </c>
      <c r="P45" s="895">
        <v>0</v>
      </c>
      <c r="Q45" s="895">
        <v>0</v>
      </c>
      <c r="R45" s="246"/>
      <c r="S45" s="895">
        <v>0</v>
      </c>
      <c r="T45" s="546"/>
      <c r="U45" s="547"/>
      <c r="V45" s="546"/>
      <c r="W45" s="548"/>
      <c r="X45" s="541"/>
      <c r="Y45" s="541"/>
      <c r="Z45" s="541"/>
      <c r="AA45" s="541"/>
      <c r="AB45" s="541"/>
      <c r="AC45" s="541"/>
      <c r="AD45" s="541"/>
      <c r="AE45" s="541"/>
    </row>
    <row r="46" spans="3:31" ht="15" customHeight="1">
      <c r="C46" s="1517" t="str">
        <f>IF(Indice_index!$Z$1=1,"Outras","Others")</f>
        <v>Outras</v>
      </c>
      <c r="D46" s="1516"/>
      <c r="E46" s="1518">
        <v>1784.3860212726904</v>
      </c>
      <c r="F46" s="1519"/>
      <c r="G46" s="1518">
        <v>47.632041000000001</v>
      </c>
      <c r="H46" s="1518">
        <v>873.08398886000009</v>
      </c>
      <c r="I46" s="1518">
        <v>331.07188672120503</v>
      </c>
      <c r="J46" s="1518">
        <v>2.2527456599999995</v>
      </c>
      <c r="K46" s="1518">
        <v>1254.0406622412054</v>
      </c>
      <c r="L46" s="1518"/>
      <c r="M46" s="1518">
        <v>40.139236310000001</v>
      </c>
      <c r="N46" s="1518">
        <v>500.71477263999998</v>
      </c>
      <c r="O46" s="1518">
        <v>321.18644106164692</v>
      </c>
      <c r="P46" s="1518">
        <v>2.1800618900000002</v>
      </c>
      <c r="Q46" s="1518">
        <v>864.220511901647</v>
      </c>
      <c r="R46" s="1519"/>
      <c r="S46" s="1518">
        <v>2030.9235200694229</v>
      </c>
      <c r="T46" s="546"/>
      <c r="U46" s="547"/>
      <c r="V46" s="546"/>
      <c r="W46" s="548"/>
      <c r="X46" s="541"/>
      <c r="Y46" s="541"/>
      <c r="Z46" s="541"/>
      <c r="AA46" s="541"/>
      <c r="AB46" s="541"/>
      <c r="AC46" s="541"/>
      <c r="AD46" s="541"/>
      <c r="AE46" s="541"/>
    </row>
    <row r="47" spans="3:31" ht="15" customHeight="1">
      <c r="C47" s="793" t="str">
        <f>IF(Indice_index!$Z$1=1,"Outras despesas de capital","Other capital expenditures")</f>
        <v>Outras despesas de capital</v>
      </c>
      <c r="D47" s="1516"/>
      <c r="E47" s="895">
        <v>161.298410108208</v>
      </c>
      <c r="F47" s="246"/>
      <c r="G47" s="895">
        <v>23.196165269999995</v>
      </c>
      <c r="H47" s="895">
        <v>16.384662979999998</v>
      </c>
      <c r="I47" s="895">
        <v>7.413806994999999</v>
      </c>
      <c r="J47" s="895">
        <v>0</v>
      </c>
      <c r="K47" s="895">
        <v>46.994635244999998</v>
      </c>
      <c r="L47" s="895"/>
      <c r="M47" s="895">
        <v>5.4423464099999999</v>
      </c>
      <c r="N47" s="895">
        <v>87.125990540000004</v>
      </c>
      <c r="O47" s="895">
        <v>10.663095119898033</v>
      </c>
      <c r="P47" s="895">
        <v>0</v>
      </c>
      <c r="Q47" s="895">
        <v>103.23143206989803</v>
      </c>
      <c r="R47" s="246"/>
      <c r="S47" s="895">
        <v>257.19700877231622</v>
      </c>
      <c r="T47" s="546"/>
      <c r="U47" s="547"/>
      <c r="V47" s="546"/>
      <c r="W47" s="548"/>
      <c r="X47" s="541"/>
      <c r="Y47" s="541"/>
      <c r="Z47" s="541"/>
      <c r="AA47" s="541"/>
      <c r="AB47" s="541"/>
      <c r="AC47" s="541"/>
      <c r="AD47" s="541"/>
      <c r="AE47" s="541"/>
    </row>
    <row r="48" spans="3:31" ht="15" customHeight="1">
      <c r="C48" s="793" t="str">
        <f>IF(Indice_index!$Z$1=1,"Diferenças de consolidação","Consolidation differences")</f>
        <v>Diferenças de consolidação</v>
      </c>
      <c r="D48" s="1516"/>
      <c r="E48" s="895">
        <v>51.824743870000162</v>
      </c>
      <c r="F48" s="246"/>
      <c r="G48" s="895">
        <v>4.0318332600000009</v>
      </c>
      <c r="H48" s="895">
        <v>5.9456785600000472</v>
      </c>
      <c r="I48" s="895">
        <v>0</v>
      </c>
      <c r="J48" s="895">
        <v>0</v>
      </c>
      <c r="K48" s="895">
        <v>105.01433481000029</v>
      </c>
      <c r="L48" s="895"/>
      <c r="M48" s="895">
        <v>3.5629079200000007</v>
      </c>
      <c r="N48" s="895">
        <v>40.019574349999885</v>
      </c>
      <c r="O48" s="895">
        <v>0.19863688000003776</v>
      </c>
      <c r="P48" s="895">
        <v>0</v>
      </c>
      <c r="Q48" s="895">
        <v>51.93227387999984</v>
      </c>
      <c r="R48" s="246"/>
      <c r="S48" s="895">
        <v>2.5211229999999887</v>
      </c>
      <c r="T48" s="546"/>
      <c r="U48" s="547"/>
      <c r="V48" s="546"/>
      <c r="W48" s="548"/>
      <c r="X48" s="541"/>
      <c r="Y48" s="541"/>
      <c r="Z48" s="541"/>
      <c r="AA48" s="541"/>
      <c r="AB48" s="541"/>
      <c r="AC48" s="541"/>
      <c r="AD48" s="541"/>
      <c r="AE48" s="541"/>
    </row>
    <row r="49" spans="3:31" s="549" customFormat="1" ht="4.5" customHeight="1">
      <c r="C49" s="774"/>
      <c r="D49" s="774"/>
      <c r="E49" s="1524"/>
      <c r="F49" s="774"/>
      <c r="G49" s="1524"/>
      <c r="H49" s="1524"/>
      <c r="I49" s="1524"/>
      <c r="J49" s="1524"/>
      <c r="K49" s="1524"/>
      <c r="L49" s="1524"/>
      <c r="M49" s="1524"/>
      <c r="N49" s="1524"/>
      <c r="O49" s="1524"/>
      <c r="P49" s="1524"/>
      <c r="Q49" s="1524"/>
      <c r="R49" s="774"/>
      <c r="S49" s="1524"/>
      <c r="T49" s="546"/>
      <c r="U49" s="547"/>
      <c r="V49" s="547"/>
      <c r="W49" s="548"/>
      <c r="X49" s="541"/>
      <c r="Y49" s="541"/>
      <c r="Z49" s="547"/>
      <c r="AA49" s="547"/>
      <c r="AB49" s="548"/>
      <c r="AC49" s="541"/>
      <c r="AD49" s="541"/>
      <c r="AE49" s="541"/>
    </row>
    <row r="50" spans="3:31" s="538" customFormat="1" ht="15" customHeight="1">
      <c r="C50" s="1522" t="str">
        <f>IF(Indice_index!$Z$1=1,"Despesa efetiva","Effective expenditure")</f>
        <v>Despesa efetiva</v>
      </c>
      <c r="D50" s="318"/>
      <c r="E50" s="1523">
        <f>E29+E42</f>
        <v>100561.59102115945</v>
      </c>
      <c r="F50" s="1515"/>
      <c r="G50" s="1523">
        <f t="shared" ref="G50:J50" si="29">G29+G42</f>
        <v>41599.805230879996</v>
      </c>
      <c r="H50" s="1523">
        <f t="shared" si="29"/>
        <v>25078.215521309994</v>
      </c>
      <c r="I50" s="1523">
        <f t="shared" si="29"/>
        <v>9146.912752110391</v>
      </c>
      <c r="J50" s="1523">
        <f t="shared" si="29"/>
        <v>22989.163756059999</v>
      </c>
      <c r="K50" s="1523">
        <f>K29+K42</f>
        <v>69955.96680393038</v>
      </c>
      <c r="L50" s="1515"/>
      <c r="M50" s="1523">
        <f t="shared" ref="M50:P50" si="30">M29+M42</f>
        <v>42183.545148500016</v>
      </c>
      <c r="N50" s="1523">
        <f t="shared" si="30"/>
        <v>25448.825519219969</v>
      </c>
      <c r="O50" s="1523">
        <f t="shared" si="30"/>
        <v>9493.0619977333263</v>
      </c>
      <c r="P50" s="1523">
        <f t="shared" si="30"/>
        <v>21961.987746560004</v>
      </c>
      <c r="Q50" s="1523">
        <f>Q29+Q42</f>
        <v>70136.756261903298</v>
      </c>
      <c r="R50" s="1515"/>
      <c r="S50" s="1523">
        <f>S29+S42</f>
        <v>106586.19638522081</v>
      </c>
      <c r="T50" s="543"/>
      <c r="U50" s="552"/>
      <c r="V50" s="543"/>
      <c r="W50" s="544"/>
      <c r="X50" s="545"/>
      <c r="Y50" s="545"/>
      <c r="Z50" s="552"/>
      <c r="AA50" s="543"/>
      <c r="AB50" s="544"/>
      <c r="AC50" s="545"/>
      <c r="AD50" s="545"/>
      <c r="AE50" s="545"/>
    </row>
    <row r="51" spans="3:31" s="549" customFormat="1" ht="4.5" customHeight="1">
      <c r="C51" s="793"/>
      <c r="D51" s="793"/>
      <c r="E51" s="1525"/>
      <c r="F51" s="1526"/>
      <c r="G51" s="1525"/>
      <c r="H51" s="1525"/>
      <c r="I51" s="1525"/>
      <c r="J51" s="1525"/>
      <c r="K51" s="1525"/>
      <c r="L51" s="1527"/>
      <c r="M51" s="1525"/>
      <c r="N51" s="1525"/>
      <c r="O51" s="1525"/>
      <c r="P51" s="1525"/>
      <c r="Q51" s="1525"/>
      <c r="R51" s="1526"/>
      <c r="S51" s="1525"/>
      <c r="T51" s="546"/>
      <c r="U51" s="547"/>
      <c r="V51" s="546"/>
      <c r="W51" s="548"/>
      <c r="X51" s="541"/>
      <c r="Y51" s="541"/>
      <c r="Z51" s="541"/>
      <c r="AA51" s="541"/>
      <c r="AB51" s="541"/>
      <c r="AC51" s="541"/>
      <c r="AD51" s="541"/>
      <c r="AE51" s="541"/>
    </row>
    <row r="52" spans="3:31" s="538" customFormat="1" ht="15" customHeight="1">
      <c r="C52" s="1522" t="str">
        <f>IF(Indice_index!$Z$1=1,"Saldo global","Overall balance")</f>
        <v>Saldo global</v>
      </c>
      <c r="D52" s="318"/>
      <c r="E52" s="1523">
        <f>+E27-E50</f>
        <v>-8643.1666095808323</v>
      </c>
      <c r="F52" s="1515"/>
      <c r="G52" s="1523">
        <f t="shared" ref="G52:J52" si="31">+G27-G50</f>
        <v>-5794.9928460200026</v>
      </c>
      <c r="H52" s="1523">
        <f t="shared" si="31"/>
        <v>609.35701682002036</v>
      </c>
      <c r="I52" s="1523">
        <f t="shared" si="31"/>
        <v>44.465889733623044</v>
      </c>
      <c r="J52" s="1523">
        <f t="shared" si="31"/>
        <v>449.15950484999848</v>
      </c>
      <c r="K52" s="1523">
        <f>+K27-K50</f>
        <v>-4692.0104346163571</v>
      </c>
      <c r="L52" s="1515"/>
      <c r="M52" s="1523">
        <f t="shared" ref="M52:P52" si="32">+M27-M50</f>
        <v>1030.4949727399726</v>
      </c>
      <c r="N52" s="1523">
        <f t="shared" si="32"/>
        <v>987.76726548003353</v>
      </c>
      <c r="O52" s="1523">
        <f t="shared" si="32"/>
        <v>337.07853619859998</v>
      </c>
      <c r="P52" s="1523">
        <f t="shared" si="32"/>
        <v>2897.7500813499937</v>
      </c>
      <c r="Q52" s="1523">
        <f>+Q27-Q50</f>
        <v>5253.0908557686198</v>
      </c>
      <c r="R52" s="1515"/>
      <c r="S52" s="1523">
        <f>+S27-S50</f>
        <v>-5191.6764152122778</v>
      </c>
      <c r="T52" s="543"/>
      <c r="AD52" s="545"/>
      <c r="AE52" s="545"/>
    </row>
    <row r="53" spans="3:31" ht="15" customHeight="1">
      <c r="C53" s="748" t="str">
        <f>IF(Indice_index!$Z$1=1,"Despesa primária","Primary expenditure")</f>
        <v>Despesa primária</v>
      </c>
      <c r="D53" s="752"/>
      <c r="E53" s="752">
        <f t="shared" ref="E53" si="33">E50-E35</f>
        <v>93610.611151340767</v>
      </c>
      <c r="F53" s="752"/>
      <c r="G53" s="752">
        <f t="shared" ref="G53:K53" si="34">G50-G35</f>
        <v>37197.633260209994</v>
      </c>
      <c r="H53" s="752">
        <f t="shared" si="34"/>
        <v>24752.913314519996</v>
      </c>
      <c r="I53" s="752">
        <f t="shared" si="34"/>
        <v>9038.9572832296362</v>
      </c>
      <c r="J53" s="752">
        <f t="shared" si="34"/>
        <v>22984.270232079998</v>
      </c>
      <c r="K53" s="752">
        <f t="shared" si="34"/>
        <v>65248.973511879623</v>
      </c>
      <c r="L53" s="752"/>
      <c r="M53" s="752">
        <f t="shared" ref="M53:Q53" si="35">M50-M35</f>
        <v>38154.728273360015</v>
      </c>
      <c r="N53" s="752">
        <f t="shared" si="35"/>
        <v>25299.57454634997</v>
      </c>
      <c r="O53" s="752">
        <f t="shared" si="35"/>
        <v>9362.9879553057308</v>
      </c>
      <c r="P53" s="752">
        <f t="shared" si="35"/>
        <v>21956.837743680004</v>
      </c>
      <c r="Q53" s="752">
        <f t="shared" si="35"/>
        <v>65872.972955825695</v>
      </c>
      <c r="R53" s="752"/>
      <c r="S53" s="752">
        <f t="shared" ref="S53" si="36">S50-S35</f>
        <v>99774.528927698062</v>
      </c>
      <c r="T53" s="546"/>
      <c r="X53" s="17"/>
      <c r="Y53" s="17"/>
      <c r="Z53" s="17"/>
      <c r="AA53" s="17"/>
      <c r="AB53" s="17"/>
      <c r="AC53" s="17"/>
      <c r="AD53" s="541"/>
      <c r="AE53" s="541"/>
    </row>
    <row r="54" spans="3:31" ht="15" customHeight="1">
      <c r="C54" s="748" t="str">
        <f>IF(Indice_index!$Z$1=1," Saldo corrente","Current balance")</f>
        <v xml:space="preserve"> Saldo corrente</v>
      </c>
      <c r="D54" s="752"/>
      <c r="E54" s="752">
        <f t="shared" ref="E54" si="37">E9-E29</f>
        <v>-2447.8649637054041</v>
      </c>
      <c r="F54" s="752"/>
      <c r="G54" s="752">
        <f t="shared" ref="G54:K54" si="38">G9-G29</f>
        <v>-3588.6345451900052</v>
      </c>
      <c r="H54" s="752">
        <f t="shared" si="38"/>
        <v>1319.4260921500208</v>
      </c>
      <c r="I54" s="752">
        <f t="shared" si="38"/>
        <v>1188.3015945213929</v>
      </c>
      <c r="J54" s="752">
        <f t="shared" si="38"/>
        <v>471.58276852000199</v>
      </c>
      <c r="K54" s="752">
        <f t="shared" si="38"/>
        <v>-609.32408999858308</v>
      </c>
      <c r="L54" s="752"/>
      <c r="M54" s="752">
        <f>M9-M29</f>
        <v>2528.3894464799741</v>
      </c>
      <c r="N54" s="752">
        <f t="shared" ref="N54:Q54" si="39">N9-N29</f>
        <v>1708.0447955500349</v>
      </c>
      <c r="O54" s="752">
        <f t="shared" si="39"/>
        <v>1553.5771182573353</v>
      </c>
      <c r="P54" s="752">
        <f t="shared" si="39"/>
        <v>2920.0262939699933</v>
      </c>
      <c r="Q54" s="752">
        <f t="shared" si="39"/>
        <v>8710.0376542573576</v>
      </c>
      <c r="R54" s="752"/>
      <c r="S54" s="752">
        <f t="shared" ref="S54" si="40">S9-S29</f>
        <v>1587.5003282396065</v>
      </c>
      <c r="T54" s="546"/>
      <c r="X54" s="17"/>
      <c r="Y54" s="17"/>
      <c r="Z54" s="17"/>
      <c r="AA54" s="17"/>
      <c r="AB54" s="17"/>
      <c r="AC54" s="17"/>
      <c r="AD54" s="541"/>
      <c r="AE54" s="541"/>
    </row>
    <row r="55" spans="3:31" ht="15" customHeight="1">
      <c r="C55" s="748" t="str">
        <f>IF(Indice_index!$Z$1=1,"Saldo de capital","Capital balance")</f>
        <v>Saldo de capital</v>
      </c>
      <c r="D55" s="179"/>
      <c r="E55" s="895">
        <f t="shared" ref="E55" si="41">E19-E42</f>
        <v>-6195.3016458754337</v>
      </c>
      <c r="F55" s="895"/>
      <c r="G55" s="895">
        <f t="shared" ref="G55:K55" si="42">G19-G42</f>
        <v>-2206.3583008300006</v>
      </c>
      <c r="H55" s="895">
        <f t="shared" si="42"/>
        <v>-710.06907533000049</v>
      </c>
      <c r="I55" s="895">
        <f t="shared" si="42"/>
        <v>-1143.8357047877701</v>
      </c>
      <c r="J55" s="895">
        <f t="shared" si="42"/>
        <v>-22.423263669999997</v>
      </c>
      <c r="K55" s="895">
        <f t="shared" si="42"/>
        <v>-4082.6863446177708</v>
      </c>
      <c r="L55" s="895"/>
      <c r="M55" s="895">
        <f>M19-M42</f>
        <v>-1497.8944737400002</v>
      </c>
      <c r="N55" s="895">
        <f t="shared" ref="N55:Q55" si="43">N19-N42</f>
        <v>-720.27753007000115</v>
      </c>
      <c r="O55" s="895">
        <f t="shared" si="43"/>
        <v>-1216.4985820587351</v>
      </c>
      <c r="P55" s="895">
        <f t="shared" si="43"/>
        <v>-22.276212620000003</v>
      </c>
      <c r="Q55" s="895">
        <f t="shared" si="43"/>
        <v>-3456.946798488736</v>
      </c>
      <c r="R55" s="895"/>
      <c r="S55" s="895">
        <f t="shared" ref="S55" si="44">S19-S42</f>
        <v>-6779.176743451877</v>
      </c>
      <c r="T55" s="546"/>
      <c r="X55" s="17"/>
      <c r="Y55" s="17"/>
      <c r="Z55" s="17"/>
      <c r="AA55" s="17"/>
      <c r="AB55" s="17"/>
      <c r="AC55" s="17"/>
      <c r="AD55" s="541"/>
      <c r="AE55" s="541"/>
    </row>
    <row r="56" spans="3:31" s="20" customFormat="1" ht="15" customHeight="1">
      <c r="C56" s="762" t="str">
        <f>IF(Indice_index!$Z$1=1,"Saldo primário","Primary balance")</f>
        <v>Saldo primário</v>
      </c>
      <c r="D56" s="1528"/>
      <c r="E56" s="1529">
        <f t="shared" ref="E56" si="45">E27-E53</f>
        <v>-1692.1867397621536</v>
      </c>
      <c r="F56" s="1529"/>
      <c r="G56" s="1529">
        <f t="shared" ref="G56:K56" si="46">G27-G53</f>
        <v>-1392.8208753500003</v>
      </c>
      <c r="H56" s="1529">
        <f t="shared" si="46"/>
        <v>934.65922361001867</v>
      </c>
      <c r="I56" s="1529">
        <f t="shared" si="46"/>
        <v>152.42135861437782</v>
      </c>
      <c r="J56" s="1529">
        <f t="shared" si="46"/>
        <v>454.05302882999968</v>
      </c>
      <c r="K56" s="1529">
        <f t="shared" si="46"/>
        <v>14.982857434399193</v>
      </c>
      <c r="L56" s="1529"/>
      <c r="M56" s="1529">
        <f>M27-M53</f>
        <v>5059.3118478799734</v>
      </c>
      <c r="N56" s="1529">
        <f t="shared" ref="N56:Q56" si="47">N27-N53</f>
        <v>1137.0182383500323</v>
      </c>
      <c r="O56" s="1529">
        <f t="shared" si="47"/>
        <v>467.15257862619546</v>
      </c>
      <c r="P56" s="1529">
        <f t="shared" si="47"/>
        <v>2902.9000842299938</v>
      </c>
      <c r="Q56" s="1529">
        <f t="shared" si="47"/>
        <v>9516.8741618462227</v>
      </c>
      <c r="R56" s="1529"/>
      <c r="S56" s="1529">
        <f t="shared" ref="S56" si="48">S27-S53</f>
        <v>1619.9910423104739</v>
      </c>
      <c r="T56" s="546"/>
      <c r="U56" s="553"/>
      <c r="V56" s="17"/>
      <c r="W56" s="17"/>
      <c r="X56" s="17"/>
      <c r="Y56" s="17"/>
      <c r="Z56" s="17"/>
      <c r="AA56" s="17"/>
      <c r="AB56" s="17"/>
      <c r="AC56" s="17"/>
      <c r="AD56" s="541"/>
      <c r="AE56" s="541"/>
    </row>
    <row r="57" spans="3:31" ht="4.5" customHeight="1">
      <c r="C57" s="1646"/>
      <c r="D57" s="1646"/>
      <c r="E57" s="1646"/>
      <c r="F57" s="1646"/>
      <c r="G57" s="1646"/>
      <c r="H57" s="1646"/>
      <c r="I57" s="1646"/>
      <c r="J57" s="1646"/>
      <c r="K57" s="1646"/>
      <c r="L57" s="1646"/>
      <c r="M57" s="1646"/>
      <c r="N57" s="1646"/>
      <c r="O57" s="1646"/>
      <c r="P57" s="1646"/>
      <c r="Q57" s="1646"/>
      <c r="R57" s="1530"/>
      <c r="S57" s="1530"/>
      <c r="X57" s="17"/>
      <c r="Y57" s="17"/>
      <c r="Z57" s="17"/>
      <c r="AA57" s="17"/>
      <c r="AB57" s="17"/>
      <c r="AC57" s="17"/>
      <c r="AD57" s="541"/>
      <c r="AE57" s="541"/>
    </row>
    <row r="58" spans="3:31" ht="15" customHeight="1">
      <c r="C58" s="1531" t="str">
        <f>IF(Indice_index!$Z$1=1,"Notas:","Notes:")</f>
        <v>Notas:</v>
      </c>
      <c r="D58" s="1516"/>
      <c r="E58" s="1532"/>
      <c r="F58" s="1516"/>
      <c r="G58" s="1516"/>
      <c r="H58" s="1516"/>
      <c r="I58" s="1516"/>
      <c r="J58" s="1516"/>
      <c r="K58" s="1516"/>
      <c r="L58" s="1533"/>
      <c r="M58" s="1516"/>
      <c r="N58" s="1516"/>
      <c r="O58" s="1516"/>
      <c r="P58" s="1516"/>
      <c r="Q58" s="1534"/>
      <c r="R58" s="1516"/>
      <c r="S58" s="1532"/>
      <c r="X58" s="17"/>
      <c r="Y58" s="17"/>
      <c r="Z58" s="17"/>
      <c r="AA58" s="17"/>
      <c r="AB58" s="17"/>
      <c r="AC58" s="17"/>
      <c r="AD58" s="541"/>
      <c r="AE58" s="541"/>
    </row>
    <row r="59" spans="3:31" ht="18.75" customHeight="1">
      <c r="C59" s="1646"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46"/>
      <c r="E59" s="1646"/>
      <c r="F59" s="1646"/>
      <c r="G59" s="1646"/>
      <c r="H59" s="1646"/>
      <c r="I59" s="1646"/>
      <c r="J59" s="1646"/>
      <c r="K59" s="1646"/>
      <c r="L59" s="1646"/>
      <c r="M59" s="1646"/>
      <c r="N59" s="1646"/>
      <c r="O59" s="1646"/>
      <c r="P59" s="1646"/>
      <c r="Q59" s="1646"/>
      <c r="R59" s="1646"/>
      <c r="S59" s="1646"/>
      <c r="U59" s="554"/>
      <c r="X59" s="17"/>
      <c r="Y59" s="17"/>
      <c r="Z59" s="17"/>
      <c r="AA59" s="17"/>
      <c r="AB59" s="17"/>
      <c r="AC59" s="17"/>
      <c r="AD59" s="541"/>
      <c r="AE59" s="541"/>
    </row>
    <row r="60" spans="3:31" ht="14.15" hidden="1" customHeight="1">
      <c r="C60" s="1647"/>
      <c r="D60" s="1647"/>
      <c r="E60" s="1647"/>
      <c r="F60" s="1647"/>
      <c r="G60" s="1647"/>
      <c r="H60" s="1647"/>
      <c r="I60" s="1647"/>
      <c r="J60" s="1647"/>
      <c r="K60" s="1647"/>
      <c r="L60" s="1647"/>
      <c r="M60" s="1647"/>
      <c r="N60" s="1647"/>
      <c r="O60" s="1647"/>
      <c r="P60" s="1647"/>
      <c r="Q60" s="1647"/>
      <c r="R60" s="1535"/>
      <c r="S60" s="1535"/>
      <c r="X60" s="17"/>
      <c r="Y60" s="17"/>
      <c r="Z60" s="17"/>
      <c r="AA60" s="17"/>
      <c r="AB60" s="17"/>
      <c r="AC60" s="17"/>
      <c r="AD60" s="541"/>
      <c r="AE60" s="541"/>
    </row>
    <row r="61" spans="3:31" s="20" customFormat="1" ht="15" customHeight="1">
      <c r="C61" s="1536" t="str">
        <f>IF(Indice_index!$Z$1=1,"Fonte: Direção-Geral do Orçamento","Source: Budget General Directorate")</f>
        <v>Fonte: Direção-Geral do Orçamento</v>
      </c>
      <c r="D61" s="1418"/>
      <c r="E61" s="1418"/>
      <c r="F61" s="1418"/>
      <c r="G61" s="1418"/>
      <c r="H61" s="1418"/>
      <c r="I61" s="1418"/>
      <c r="J61" s="1418"/>
      <c r="K61" s="1418"/>
      <c r="L61" s="1418"/>
      <c r="M61" s="1418"/>
      <c r="N61" s="1418"/>
      <c r="O61" s="1418"/>
      <c r="P61" s="1418"/>
      <c r="Q61" s="1418"/>
      <c r="R61" s="1418"/>
      <c r="S61" s="1418"/>
      <c r="W61" s="555"/>
      <c r="X61" s="556"/>
      <c r="Y61" s="556"/>
      <c r="Z61" s="556"/>
      <c r="AA61" s="556"/>
      <c r="AB61" s="556"/>
      <c r="AC61" s="556"/>
      <c r="AD61" s="556"/>
      <c r="AE61" s="556"/>
    </row>
    <row r="62" spans="3:31" s="20" customFormat="1" ht="15" customHeight="1">
      <c r="C62" s="1536"/>
      <c r="D62" s="1418"/>
      <c r="E62" s="1418"/>
      <c r="F62" s="1418"/>
      <c r="G62" s="1418"/>
      <c r="H62" s="1418"/>
      <c r="I62" s="1418"/>
      <c r="J62" s="1418"/>
      <c r="K62" s="1418"/>
      <c r="L62" s="1418"/>
      <c r="M62" s="1418"/>
      <c r="N62" s="1418"/>
      <c r="O62" s="1418"/>
      <c r="P62" s="1418"/>
      <c r="Q62" s="1418"/>
      <c r="R62" s="1418"/>
      <c r="S62" s="1418"/>
      <c r="W62" s="555"/>
      <c r="X62" s="556"/>
      <c r="Y62" s="556"/>
      <c r="Z62" s="556"/>
      <c r="AA62" s="556"/>
      <c r="AB62" s="556"/>
      <c r="AC62" s="556"/>
      <c r="AD62" s="556"/>
      <c r="AE62" s="556"/>
    </row>
    <row r="63" spans="3:31" s="20" customFormat="1" ht="15" customHeight="1">
      <c r="C63" s="1536"/>
      <c r="D63" s="1418"/>
      <c r="E63" s="1418"/>
      <c r="F63" s="1418"/>
      <c r="G63" s="1418"/>
      <c r="H63" s="1418"/>
      <c r="I63" s="1418"/>
      <c r="J63" s="1418"/>
      <c r="K63" s="1418"/>
      <c r="L63" s="1418"/>
      <c r="M63" s="1418"/>
      <c r="N63" s="1418"/>
      <c r="O63" s="1418"/>
      <c r="P63" s="1418"/>
      <c r="Q63" s="1418"/>
      <c r="R63" s="1418"/>
      <c r="S63" s="1418"/>
      <c r="W63" s="555"/>
      <c r="X63" s="556"/>
      <c r="Y63" s="556"/>
      <c r="Z63" s="556"/>
      <c r="AA63" s="556"/>
      <c r="AB63" s="556"/>
      <c r="AC63" s="556"/>
      <c r="AD63" s="556"/>
      <c r="AE63" s="556"/>
    </row>
    <row r="64" spans="3:31" s="557" customFormat="1" ht="15" customHeight="1">
      <c r="C64" s="852" t="str">
        <f>+'5 - Conta AC + SS'!C5</f>
        <v>Período: janeiro a setembro</v>
      </c>
      <c r="D64" s="1537"/>
      <c r="E64" s="1537"/>
      <c r="F64" s="1537"/>
      <c r="G64" s="1537"/>
      <c r="H64" s="1537"/>
      <c r="I64" s="1537"/>
      <c r="J64" s="1537"/>
      <c r="K64" s="1537"/>
      <c r="L64" s="1537"/>
      <c r="M64" s="1537"/>
      <c r="N64" s="1537"/>
      <c r="O64" s="1537"/>
      <c r="P64" s="1537"/>
      <c r="Q64" s="1537"/>
      <c r="R64" s="1418"/>
      <c r="S64" s="1418"/>
      <c r="W64" s="558"/>
      <c r="X64" s="559"/>
      <c r="Y64" s="559"/>
      <c r="Z64" s="559"/>
      <c r="AA64" s="559"/>
      <c r="AB64" s="559"/>
      <c r="AC64" s="559"/>
      <c r="AD64" s="559"/>
      <c r="AE64" s="559"/>
    </row>
    <row r="65" spans="3:32" ht="20.5" customHeight="1">
      <c r="C65" s="1538"/>
      <c r="D65" s="1538"/>
      <c r="E65" s="1538"/>
      <c r="F65" s="1538"/>
      <c r="G65" s="1644" t="str">
        <f>IF(Indice_index!$Z$1=1,"Variação Homóloga Absoluta","YOY Variation")</f>
        <v>Variação Homóloga Absoluta</v>
      </c>
      <c r="H65" s="1644"/>
      <c r="I65" s="1644"/>
      <c r="J65" s="1644"/>
      <c r="K65" s="1644"/>
      <c r="L65" s="1539"/>
      <c r="M65" s="1644" t="str">
        <f>IF(Indice_index!$Z$1=1,"Variação Homóloga Relativa (%)","Relative YOY Variation")</f>
        <v>Variação Homóloga Relativa (%)</v>
      </c>
      <c r="N65" s="1644"/>
      <c r="O65" s="1644"/>
      <c r="P65" s="1644"/>
      <c r="Q65" s="1644"/>
      <c r="R65" s="1418"/>
      <c r="S65" s="1418"/>
      <c r="U65" s="540"/>
      <c r="V65" s="541"/>
      <c r="W65" s="541"/>
      <c r="X65" s="541"/>
      <c r="Y65" s="541"/>
      <c r="Z65" s="541"/>
      <c r="AA65" s="541"/>
      <c r="AB65" s="541"/>
      <c r="AC65" s="541"/>
      <c r="AD65" s="17"/>
      <c r="AE65" s="17"/>
    </row>
    <row r="66" spans="3:32" ht="36" customHeight="1">
      <c r="C66" s="1540"/>
      <c r="D66" s="1540"/>
      <c r="E66" s="1540"/>
      <c r="F66" s="1540"/>
      <c r="G66" s="1541" t="str">
        <f>IF(Indice_index!$Z$1=1,"Estado","State")</f>
        <v>Estado</v>
      </c>
      <c r="H66" s="1541" t="str">
        <f>IF(Indice_index!$Z$1=1,"Serviços e Fundos Autónomos","Autonomous Funds and Services")</f>
        <v>Serviços e Fundos Autónomos</v>
      </c>
      <c r="I66" s="1541" t="str">
        <f>IF(Indice_index!$Z$1=1,"Adm. Local e Regional","Local and Regional Government")</f>
        <v>Adm. Local e Regional</v>
      </c>
      <c r="J66" s="1541" t="str">
        <f>IF(Indice_index!$Z$1=1,"Segurança Social","Social Security")</f>
        <v>Segurança Social</v>
      </c>
      <c r="K66" s="1541" t="str">
        <f>IF(Indice_index!$Z$1=1,"Adm. Públicas","General Government")</f>
        <v>Adm. Públicas</v>
      </c>
      <c r="L66" s="1542"/>
      <c r="M66" s="1541" t="str">
        <f>IF(Indice_index!$Z$1=1,"Estado","State")</f>
        <v>Estado</v>
      </c>
      <c r="N66" s="1541" t="str">
        <f>IF(Indice_index!$Z$1=1,"Serviços e Fundos Autónomos","Autonomous Funds and Services")</f>
        <v>Serviços e Fundos Autónomos</v>
      </c>
      <c r="O66" s="1541" t="str">
        <f>IF(Indice_index!$Z$1=1,"Adm. Local e Regional","Local and Regional Government")</f>
        <v>Adm. Local e Regional</v>
      </c>
      <c r="P66" s="1541" t="str">
        <f>IF(Indice_index!$Z$1=1,"Segurança Social","Social Security")</f>
        <v>Segurança Social</v>
      </c>
      <c r="Q66" s="1541" t="str">
        <f>IF(Indice_index!$Z$1=1,"Adm. Públicas","General Government")</f>
        <v>Adm. Públicas</v>
      </c>
      <c r="R66" s="1418"/>
      <c r="S66" s="1418"/>
      <c r="U66" s="540"/>
      <c r="V66" s="541"/>
      <c r="W66" s="541"/>
      <c r="X66" s="541"/>
      <c r="Y66" s="541"/>
      <c r="Z66" s="541"/>
      <c r="AA66" s="541"/>
      <c r="AB66" s="541"/>
      <c r="AC66" s="541"/>
      <c r="AD66" s="17"/>
      <c r="AE66" s="17"/>
    </row>
    <row r="67" spans="3:32" s="538" customFormat="1" ht="15" customHeight="1">
      <c r="C67" s="318" t="str">
        <f>IF(Indice_index!$Z$1=1,"Receita corrente","Current revenue")</f>
        <v>Receita corrente</v>
      </c>
      <c r="D67" s="318"/>
      <c r="E67" s="318"/>
      <c r="F67" s="318"/>
      <c r="G67" s="1543">
        <f t="shared" ref="G67:G83" si="49">M9-G9</f>
        <v>7171.8530481499984</v>
      </c>
      <c r="H67" s="1543">
        <f t="shared" ref="H67:H83" si="50">N9-H9</f>
        <v>975.53545197998756</v>
      </c>
      <c r="I67" s="1543">
        <f t="shared" ref="I67:I83" si="51">O9-I9</f>
        <v>826.91306418716249</v>
      </c>
      <c r="J67" s="1543">
        <f t="shared" ref="J67:J83" si="52">P9-J9</f>
        <v>1421.5472733499992</v>
      </c>
      <c r="K67" s="1543">
        <f t="shared" ref="K67:K83" si="53">Q9-K9</f>
        <v>9834.0755691871454</v>
      </c>
      <c r="L67" s="1543"/>
      <c r="M67" s="1544">
        <f t="shared" ref="M67:M75" si="54">IF(IFERROR((M9-G9)/G9*100,"")&gt;500,"-",IFERROR((M9-G9)/G9*100,""))</f>
        <v>20.066290035688688</v>
      </c>
      <c r="N67" s="1544">
        <f t="shared" ref="N67:N75" si="55">IF(IFERROR((N9-H9)/H9*100,"")&gt;500,"-",IFERROR((N9-H9)/H9*100,""))</f>
        <v>4.1369109880192605</v>
      </c>
      <c r="O67" s="1544">
        <f t="shared" ref="O67:O75" si="56">IF(IFERROR((O9-I9)/I9*100,"")&gt;500,"-",IFERROR((O9-I9)/I9*100,""))</f>
        <v>10.162602939818683</v>
      </c>
      <c r="P67" s="1544">
        <f t="shared" ref="P67:P75" si="57">IF(IFERROR((P9-J9)/J9*100,"")&gt;500,"-",IFERROR((P9-J9)/J9*100,""))</f>
        <v>6.0651940212191526</v>
      </c>
      <c r="Q67" s="1544">
        <f t="shared" ref="Q67:Q75" si="58">IF(IFERROR((Q9-K9)/K9*100,"")&gt;500,"-",IFERROR((Q9-K9)/K9*100,""))</f>
        <v>15.406666683578862</v>
      </c>
      <c r="R67" s="1418"/>
      <c r="S67" s="1418"/>
      <c r="T67" s="560"/>
      <c r="U67" s="544"/>
      <c r="V67" s="545"/>
      <c r="W67" s="545"/>
      <c r="X67" s="545"/>
      <c r="Y67" s="545"/>
      <c r="Z67" s="545"/>
      <c r="AA67" s="545"/>
      <c r="AB67" s="545"/>
      <c r="AC67" s="545"/>
      <c r="AD67" s="560"/>
      <c r="AE67" s="560"/>
      <c r="AF67" s="560"/>
    </row>
    <row r="68" spans="3:32" ht="15" customHeight="1">
      <c r="C68" s="793" t="str">
        <f>IF(Indice_index!$Z$1=1,"Receita Fiscal","Tax")</f>
        <v>Receita Fiscal</v>
      </c>
      <c r="D68" s="1418"/>
      <c r="E68" s="793"/>
      <c r="F68" s="1418"/>
      <c r="G68" s="1518">
        <f t="shared" si="49"/>
        <v>6845.8278096099966</v>
      </c>
      <c r="H68" s="1518">
        <f t="shared" si="50"/>
        <v>53.38082791000005</v>
      </c>
      <c r="I68" s="1518">
        <f t="shared" si="51"/>
        <v>447.37632525962272</v>
      </c>
      <c r="J68" s="1518">
        <f t="shared" si="52"/>
        <v>16.45512494999997</v>
      </c>
      <c r="K68" s="1518">
        <f t="shared" si="53"/>
        <v>7363.0400877296197</v>
      </c>
      <c r="L68" s="1518"/>
      <c r="M68" s="1518">
        <f t="shared" si="54"/>
        <v>20.895524904738551</v>
      </c>
      <c r="N68" s="1518">
        <f t="shared" si="55"/>
        <v>12.995650731833228</v>
      </c>
      <c r="O68" s="1518">
        <f t="shared" si="56"/>
        <v>12.692480526348449</v>
      </c>
      <c r="P68" s="1518">
        <f t="shared" si="57"/>
        <v>10.431617902866854</v>
      </c>
      <c r="Q68" s="1518">
        <f t="shared" si="58"/>
        <v>19.978180300430399</v>
      </c>
      <c r="R68" s="1418"/>
      <c r="S68" s="1418"/>
      <c r="T68" s="561"/>
      <c r="U68" s="548"/>
      <c r="V68" s="541"/>
      <c r="W68" s="541"/>
      <c r="X68" s="541"/>
      <c r="Y68" s="541"/>
      <c r="Z68" s="541"/>
      <c r="AA68" s="541"/>
      <c r="AB68" s="541"/>
      <c r="AC68" s="541"/>
      <c r="AD68" s="561"/>
      <c r="AE68" s="561"/>
      <c r="AF68" s="561"/>
    </row>
    <row r="69" spans="3:32" ht="15" customHeight="1">
      <c r="C69" s="748" t="str">
        <f>IF(Indice_index!$Z$1=1,"Impostos diretos","Direct taxes")</f>
        <v>Impostos diretos</v>
      </c>
      <c r="D69" s="1418"/>
      <c r="E69" s="748"/>
      <c r="F69" s="1418"/>
      <c r="G69" s="1518">
        <f t="shared" si="49"/>
        <v>4250.7699685099997</v>
      </c>
      <c r="H69" s="1518">
        <f t="shared" si="50"/>
        <v>-1.5595100000000001E-3</v>
      </c>
      <c r="I69" s="1518">
        <f t="shared" si="51"/>
        <v>403.15986057332702</v>
      </c>
      <c r="J69" s="1518">
        <f t="shared" si="52"/>
        <v>0</v>
      </c>
      <c r="K69" s="1518">
        <f t="shared" si="53"/>
        <v>4653.9282695733273</v>
      </c>
      <c r="L69" s="1518"/>
      <c r="M69" s="1518">
        <f t="shared" si="54"/>
        <v>30.288952083676079</v>
      </c>
      <c r="N69" s="1518">
        <f t="shared" si="55"/>
        <v>-100</v>
      </c>
      <c r="O69" s="1518">
        <f t="shared" si="56"/>
        <v>14.819814197925332</v>
      </c>
      <c r="P69" s="1518" t="str">
        <f t="shared" si="57"/>
        <v>-</v>
      </c>
      <c r="Q69" s="1518">
        <f t="shared" si="58"/>
        <v>27.7772278750057</v>
      </c>
      <c r="R69" s="1418"/>
      <c r="S69" s="1418"/>
      <c r="T69" s="561"/>
      <c r="U69" s="548"/>
      <c r="V69" s="541"/>
      <c r="W69" s="541"/>
      <c r="X69" s="541"/>
      <c r="Y69" s="541"/>
      <c r="Z69" s="541"/>
      <c r="AA69" s="541"/>
      <c r="AB69" s="541"/>
      <c r="AC69" s="541"/>
      <c r="AD69" s="561"/>
      <c r="AE69" s="561"/>
      <c r="AF69" s="561"/>
    </row>
    <row r="70" spans="3:32" ht="15" customHeight="1">
      <c r="C70" s="748" t="str">
        <f>IF(Indice_index!$Z$1=1,"Impostos indiretos","Indirect taxes")</f>
        <v>Impostos indiretos</v>
      </c>
      <c r="D70" s="1418"/>
      <c r="E70" s="748"/>
      <c r="F70" s="1418"/>
      <c r="G70" s="1518">
        <f t="shared" si="49"/>
        <v>2595.0578410999951</v>
      </c>
      <c r="H70" s="1518">
        <f t="shared" si="50"/>
        <v>53.382387420000043</v>
      </c>
      <c r="I70" s="1518">
        <f t="shared" si="51"/>
        <v>44.216464686295467</v>
      </c>
      <c r="J70" s="1518">
        <f t="shared" si="52"/>
        <v>16.45512494999997</v>
      </c>
      <c r="K70" s="1518">
        <f t="shared" si="53"/>
        <v>2709.1118181562924</v>
      </c>
      <c r="L70" s="1518"/>
      <c r="M70" s="1518">
        <f t="shared" si="54"/>
        <v>13.856484625373467</v>
      </c>
      <c r="N70" s="1518">
        <f t="shared" si="55"/>
        <v>12.996079738722058</v>
      </c>
      <c r="O70" s="1518">
        <f t="shared" si="56"/>
        <v>5.4973439920674272</v>
      </c>
      <c r="P70" s="1518">
        <f t="shared" si="57"/>
        <v>10.431617902866854</v>
      </c>
      <c r="Q70" s="1518">
        <f t="shared" si="58"/>
        <v>13.477540849222727</v>
      </c>
      <c r="R70" s="1418"/>
      <c r="S70" s="1418"/>
      <c r="T70" s="561"/>
      <c r="U70" s="548"/>
      <c r="V70" s="541"/>
      <c r="W70" s="541"/>
      <c r="X70" s="541"/>
      <c r="Y70" s="541"/>
      <c r="Z70" s="541"/>
      <c r="AA70" s="541"/>
      <c r="AB70" s="541"/>
      <c r="AC70" s="541"/>
      <c r="AD70" s="561"/>
      <c r="AE70" s="561"/>
      <c r="AF70" s="561"/>
    </row>
    <row r="71" spans="3:32" ht="15" customHeight="1">
      <c r="C71" s="746" t="str">
        <f>IF(Indice_index!$Z$1=1,"Contribuições de Segurança Social","Social security contributions")</f>
        <v>Contribuições de Segurança Social</v>
      </c>
      <c r="D71" s="1418"/>
      <c r="E71" s="746"/>
      <c r="F71" s="1418"/>
      <c r="G71" s="1518">
        <f t="shared" si="49"/>
        <v>2.516278579999998</v>
      </c>
      <c r="H71" s="1518">
        <f t="shared" si="50"/>
        <v>-76.415498009999737</v>
      </c>
      <c r="I71" s="1518">
        <f t="shared" si="51"/>
        <v>0</v>
      </c>
      <c r="J71" s="1518">
        <f t="shared" si="52"/>
        <v>1749.4509687800019</v>
      </c>
      <c r="K71" s="1518">
        <f t="shared" si="53"/>
        <v>1675.551749350001</v>
      </c>
      <c r="L71" s="1518"/>
      <c r="M71" s="1518">
        <f t="shared" si="54"/>
        <v>5.1956651820796793</v>
      </c>
      <c r="N71" s="1518">
        <f t="shared" si="55"/>
        <v>-2.5767833529166855</v>
      </c>
      <c r="O71" s="1518" t="str">
        <f t="shared" si="56"/>
        <v>-</v>
      </c>
      <c r="P71" s="1518">
        <f t="shared" si="57"/>
        <v>12.114310564653072</v>
      </c>
      <c r="Q71" s="1518">
        <f t="shared" si="58"/>
        <v>9.5991763406245791</v>
      </c>
      <c r="R71" s="1418"/>
      <c r="S71" s="1418"/>
      <c r="T71" s="561"/>
      <c r="U71" s="548"/>
      <c r="V71" s="541"/>
      <c r="W71" s="541"/>
      <c r="X71" s="541"/>
      <c r="Y71" s="541"/>
      <c r="Z71" s="541"/>
      <c r="AA71" s="541"/>
      <c r="AB71" s="541"/>
      <c r="AC71" s="541"/>
      <c r="AD71" s="561"/>
      <c r="AE71" s="561"/>
      <c r="AF71" s="561"/>
    </row>
    <row r="72" spans="3:32" ht="15" customHeight="1">
      <c r="C72" s="746" t="str">
        <f>IF(Indice_index!$Z$1=1,"Transferências Correntes","Current transfers")</f>
        <v>Transferências Correntes</v>
      </c>
      <c r="D72" s="1418"/>
      <c r="E72" s="746"/>
      <c r="F72" s="1418"/>
      <c r="G72" s="1518">
        <f t="shared" si="49"/>
        <v>-216.28450518</v>
      </c>
      <c r="H72" s="1518">
        <f t="shared" si="50"/>
        <v>439.98401558999831</v>
      </c>
      <c r="I72" s="1518">
        <f t="shared" si="51"/>
        <v>276.66791227177919</v>
      </c>
      <c r="J72" s="1518">
        <f t="shared" si="52"/>
        <v>-248.16101597000124</v>
      </c>
      <c r="K72" s="1518">
        <f t="shared" si="53"/>
        <v>-508.16660454822477</v>
      </c>
      <c r="L72" s="1518"/>
      <c r="M72" s="1518">
        <f t="shared" si="54"/>
        <v>-23.639457596629505</v>
      </c>
      <c r="N72" s="1518">
        <f t="shared" si="55"/>
        <v>2.6566996772162796</v>
      </c>
      <c r="O72" s="1518">
        <f t="shared" si="56"/>
        <v>8.5012766335490895</v>
      </c>
      <c r="P72" s="1518">
        <f t="shared" si="57"/>
        <v>-3.0578697403748909</v>
      </c>
      <c r="Q72" s="1518">
        <f t="shared" si="58"/>
        <v>-22.173266264702225</v>
      </c>
      <c r="R72" s="1418"/>
      <c r="S72" s="1418"/>
      <c r="T72" s="561"/>
      <c r="U72" s="548"/>
      <c r="V72" s="541"/>
      <c r="W72" s="541"/>
      <c r="X72" s="541"/>
      <c r="Y72" s="541"/>
      <c r="Z72" s="541"/>
      <c r="AA72" s="541"/>
      <c r="AB72" s="541"/>
      <c r="AC72" s="541"/>
      <c r="AD72" s="561"/>
      <c r="AE72" s="561"/>
      <c r="AF72" s="561"/>
    </row>
    <row r="73" spans="3:32" ht="15" customHeight="1">
      <c r="C73" s="1517" t="str">
        <f>IF(Indice_index!$Z$1=1,"Administrações Públicas","General Government subsectors")</f>
        <v>Administrações Públicas</v>
      </c>
      <c r="D73" s="1418"/>
      <c r="E73" s="746"/>
      <c r="F73" s="1418"/>
      <c r="G73" s="1518">
        <f t="shared" si="49"/>
        <v>11.936316420000082</v>
      </c>
      <c r="H73" s="1518">
        <f t="shared" si="50"/>
        <v>556.99977536999904</v>
      </c>
      <c r="I73" s="1518">
        <f t="shared" si="51"/>
        <v>236.77930338000351</v>
      </c>
      <c r="J73" s="1518">
        <f t="shared" si="52"/>
        <v>-45.342383910001445</v>
      </c>
      <c r="K73" s="1518">
        <f t="shared" si="53"/>
        <v>0</v>
      </c>
      <c r="L73" s="1518"/>
      <c r="M73" s="1518">
        <f t="shared" si="54"/>
        <v>2.3602775545932437</v>
      </c>
      <c r="N73" s="1518">
        <f t="shared" si="55"/>
        <v>3.5218975928634015</v>
      </c>
      <c r="O73" s="1518">
        <f t="shared" si="56"/>
        <v>7.6322637673502403</v>
      </c>
      <c r="P73" s="1518">
        <f t="shared" si="57"/>
        <v>-0.63585320132783507</v>
      </c>
      <c r="Q73" s="1518" t="str">
        <f t="shared" si="58"/>
        <v>-</v>
      </c>
      <c r="R73" s="1418"/>
      <c r="S73" s="1418"/>
      <c r="T73" s="561"/>
      <c r="U73" s="548"/>
      <c r="V73" s="541"/>
      <c r="W73" s="541"/>
      <c r="X73" s="541"/>
      <c r="Y73" s="541"/>
      <c r="Z73" s="541"/>
      <c r="AA73" s="541"/>
      <c r="AB73" s="541"/>
      <c r="AC73" s="541"/>
      <c r="AD73" s="561"/>
      <c r="AE73" s="561"/>
      <c r="AF73" s="561"/>
    </row>
    <row r="74" spans="3:32" ht="15" customHeight="1">
      <c r="C74" s="1517" t="str">
        <f>IF(Indice_index!$Z$1=1,"Outras","Others")</f>
        <v>Outras</v>
      </c>
      <c r="D74" s="1418"/>
      <c r="E74" s="746"/>
      <c r="F74" s="1418"/>
      <c r="G74" s="1518">
        <f t="shared" si="49"/>
        <v>-228.22082160000008</v>
      </c>
      <c r="H74" s="1518">
        <f t="shared" si="50"/>
        <v>-117.01575978000062</v>
      </c>
      <c r="I74" s="1518">
        <f t="shared" si="51"/>
        <v>39.888608891776016</v>
      </c>
      <c r="J74" s="1518">
        <f t="shared" si="52"/>
        <v>-202.81863206000014</v>
      </c>
      <c r="K74" s="1518">
        <f t="shared" si="53"/>
        <v>-508.16660454822477</v>
      </c>
      <c r="L74" s="1518"/>
      <c r="M74" s="1518">
        <f t="shared" si="54"/>
        <v>-55.770609773498961</v>
      </c>
      <c r="N74" s="1518">
        <f t="shared" si="55"/>
        <v>-15.686409182213076</v>
      </c>
      <c r="O74" s="1518">
        <f t="shared" si="56"/>
        <v>26.228552964557839</v>
      </c>
      <c r="P74" s="1518">
        <f t="shared" si="57"/>
        <v>-20.600443993107959</v>
      </c>
      <c r="Q74" s="1518">
        <f t="shared" si="58"/>
        <v>-22.173266264702225</v>
      </c>
      <c r="R74" s="1418"/>
      <c r="S74" s="1418"/>
      <c r="T74" s="561"/>
      <c r="U74" s="548"/>
      <c r="V74" s="541"/>
      <c r="W74" s="541"/>
      <c r="X74" s="541"/>
      <c r="Y74" s="541"/>
      <c r="Z74" s="541"/>
      <c r="AA74" s="541"/>
      <c r="AB74" s="541"/>
      <c r="AC74" s="541"/>
      <c r="AD74" s="561"/>
      <c r="AE74" s="561"/>
      <c r="AF74" s="561"/>
    </row>
    <row r="75" spans="3:32" ht="15" customHeight="1">
      <c r="C75" s="746" t="str">
        <f>IF(Indice_index!$Z$1=1,"Outras receitas correntes","Other current revenue")</f>
        <v>Outras receitas correntes</v>
      </c>
      <c r="D75" s="1418"/>
      <c r="E75" s="746"/>
      <c r="F75" s="1418"/>
      <c r="G75" s="1518">
        <f t="shared" si="49"/>
        <v>539.79314652000039</v>
      </c>
      <c r="H75" s="1518">
        <f t="shared" si="50"/>
        <v>546.32349581998869</v>
      </c>
      <c r="I75" s="1518">
        <f t="shared" si="51"/>
        <v>102.32781213576163</v>
      </c>
      <c r="J75" s="1518">
        <f t="shared" si="52"/>
        <v>-96.197804410000117</v>
      </c>
      <c r="K75" s="1518">
        <f t="shared" si="53"/>
        <v>1221.5945395557492</v>
      </c>
      <c r="L75" s="1518"/>
      <c r="M75" s="1518">
        <f t="shared" si="54"/>
        <v>26.785200124719484</v>
      </c>
      <c r="N75" s="1518">
        <f t="shared" si="55"/>
        <v>14.993905347876263</v>
      </c>
      <c r="O75" s="1518">
        <f t="shared" si="56"/>
        <v>7.5370692399450743</v>
      </c>
      <c r="P75" s="1518">
        <f t="shared" si="57"/>
        <v>-13.298659364793009</v>
      </c>
      <c r="Q75" s="1518">
        <f t="shared" si="58"/>
        <v>16.901775985018137</v>
      </c>
      <c r="R75" s="1418"/>
      <c r="S75" s="1418"/>
      <c r="T75" s="561"/>
      <c r="U75" s="548"/>
      <c r="V75" s="541"/>
      <c r="W75" s="541"/>
      <c r="X75" s="541"/>
      <c r="Y75" s="541"/>
      <c r="Z75" s="541"/>
      <c r="AA75" s="541"/>
      <c r="AB75" s="541"/>
      <c r="AC75" s="541"/>
      <c r="AD75" s="561"/>
      <c r="AE75" s="561"/>
      <c r="AF75" s="561"/>
    </row>
    <row r="76" spans="3:32" ht="15" customHeight="1">
      <c r="C76" s="793" t="str">
        <f>IF(Indice_index!$Z$1=1,"Diferenças de consolidação","Consolidation differences")</f>
        <v>Diferenças de consolidação</v>
      </c>
      <c r="D76" s="1418"/>
      <c r="E76" s="1545"/>
      <c r="F76" s="1418"/>
      <c r="G76" s="1518">
        <f t="shared" si="49"/>
        <v>3.1861999999999949E-4</v>
      </c>
      <c r="H76" s="1518">
        <f t="shared" si="50"/>
        <v>12.262610669998917</v>
      </c>
      <c r="I76" s="1518">
        <f t="shared" si="51"/>
        <v>0.54101452000008976</v>
      </c>
      <c r="J76" s="1518">
        <f t="shared" si="52"/>
        <v>0</v>
      </c>
      <c r="K76" s="1518">
        <f t="shared" si="53"/>
        <v>82.055797099998429</v>
      </c>
      <c r="L76" s="1518"/>
      <c r="M76" s="1546" t="s">
        <v>2</v>
      </c>
      <c r="N76" s="1546" t="s">
        <v>2</v>
      </c>
      <c r="O76" s="1546" t="s">
        <v>2</v>
      </c>
      <c r="P76" s="1546" t="s">
        <v>2</v>
      </c>
      <c r="Q76" s="1546" t="s">
        <v>2</v>
      </c>
      <c r="R76" s="1418"/>
      <c r="S76" s="1418"/>
      <c r="T76" s="561"/>
      <c r="U76" s="548"/>
      <c r="V76" s="541"/>
      <c r="W76" s="541"/>
      <c r="X76" s="541"/>
      <c r="Y76" s="541"/>
      <c r="Z76" s="541"/>
      <c r="AA76" s="541"/>
      <c r="AB76" s="541"/>
      <c r="AC76" s="541"/>
      <c r="AD76" s="561"/>
      <c r="AE76" s="561"/>
      <c r="AF76" s="561"/>
    </row>
    <row r="77" spans="3:32" s="538" customFormat="1" ht="15" customHeight="1">
      <c r="C77" s="318" t="str">
        <f>IF(Indice_index!$Z$1=1,"Receita de capital","Capital revenue")</f>
        <v>Receita de capital</v>
      </c>
      <c r="D77" s="318"/>
      <c r="E77" s="318"/>
      <c r="F77" s="318"/>
      <c r="G77" s="1543">
        <f t="shared" si="49"/>
        <v>237.37468822999998</v>
      </c>
      <c r="H77" s="1543">
        <f t="shared" si="50"/>
        <v>-226.51520541000059</v>
      </c>
      <c r="I77" s="1543">
        <f t="shared" si="51"/>
        <v>-188.15117209924938</v>
      </c>
      <c r="J77" s="1543">
        <f t="shared" si="52"/>
        <v>-0.13270634999999997</v>
      </c>
      <c r="K77" s="1543">
        <f t="shared" si="53"/>
        <v>291.8151791707503</v>
      </c>
      <c r="L77" s="1543"/>
      <c r="M77" s="1543">
        <f t="shared" ref="M77:Q82" si="59">IF(IFERROR((M19-G19)/G19*100,"")&gt;500,"-",IFERROR((M19-G19)/G19*100,""))</f>
        <v>370.83944423707459</v>
      </c>
      <c r="N77" s="1543">
        <f t="shared" si="59"/>
        <v>-10.754076750174955</v>
      </c>
      <c r="O77" s="1543">
        <f t="shared" si="59"/>
        <v>-17.841757588379895</v>
      </c>
      <c r="P77" s="1543">
        <f t="shared" si="59"/>
        <v>-24.759938507987489</v>
      </c>
      <c r="Q77" s="1543">
        <f t="shared" si="59"/>
        <v>20.350373462631165</v>
      </c>
      <c r="R77" s="318"/>
      <c r="S77" s="1418"/>
      <c r="T77" s="560"/>
      <c r="U77" s="544"/>
      <c r="V77" s="545"/>
      <c r="W77" s="545"/>
      <c r="X77" s="545"/>
      <c r="Y77" s="545"/>
      <c r="Z77" s="545"/>
      <c r="AA77" s="545"/>
      <c r="AB77" s="545"/>
      <c r="AC77" s="545"/>
      <c r="AD77" s="560"/>
      <c r="AE77" s="560"/>
      <c r="AF77" s="560"/>
    </row>
    <row r="78" spans="3:32" s="538" customFormat="1" ht="15" customHeight="1">
      <c r="C78" s="746" t="str">
        <f>IF(Indice_index!$Z$1=1,"Venda de bens de investimento","Sale of investment goods")</f>
        <v>Venda de bens de investimento</v>
      </c>
      <c r="D78" s="318"/>
      <c r="E78" s="318"/>
      <c r="F78" s="318"/>
      <c r="G78" s="1518">
        <f t="shared" si="49"/>
        <v>-1.3797734999999847</v>
      </c>
      <c r="H78" s="1518">
        <f t="shared" si="50"/>
        <v>5.342878490000011</v>
      </c>
      <c r="I78" s="1518">
        <f t="shared" si="51"/>
        <v>-30.245900549289843</v>
      </c>
      <c r="J78" s="1518">
        <f t="shared" si="52"/>
        <v>-0.13765585999999996</v>
      </c>
      <c r="K78" s="1518">
        <f t="shared" si="53"/>
        <v>-26.420451419289805</v>
      </c>
      <c r="L78" s="1543"/>
      <c r="M78" s="1518">
        <f t="shared" si="59"/>
        <v>-3.781422085432574</v>
      </c>
      <c r="N78" s="1518">
        <f t="shared" si="59"/>
        <v>8.8451506565609428</v>
      </c>
      <c r="O78" s="1518">
        <f t="shared" si="59"/>
        <v>-45.087272710838185</v>
      </c>
      <c r="P78" s="1518">
        <f t="shared" si="59"/>
        <v>-25.683402707286685</v>
      </c>
      <c r="Q78" s="1518">
        <f t="shared" si="59"/>
        <v>-16.05991188482437</v>
      </c>
      <c r="R78" s="318"/>
      <c r="S78" s="1418"/>
      <c r="T78" s="560"/>
      <c r="U78" s="544"/>
      <c r="V78" s="545"/>
      <c r="W78" s="545"/>
      <c r="X78" s="545"/>
      <c r="Y78" s="545"/>
      <c r="Z78" s="545"/>
      <c r="AA78" s="545"/>
      <c r="AB78" s="545"/>
      <c r="AC78" s="545"/>
      <c r="AD78" s="560"/>
      <c r="AE78" s="560"/>
      <c r="AF78" s="560"/>
    </row>
    <row r="79" spans="3:32" s="538" customFormat="1" ht="15" customHeight="1">
      <c r="C79" s="793" t="str">
        <f>IF(Indice_index!$Z$1=1,"Transferências de Capital","Capital transfers")</f>
        <v>Transferências de Capital</v>
      </c>
      <c r="D79" s="318"/>
      <c r="E79" s="318"/>
      <c r="F79" s="318"/>
      <c r="G79" s="1518">
        <f t="shared" si="49"/>
        <v>218.82481156999998</v>
      </c>
      <c r="H79" s="1518">
        <f t="shared" si="50"/>
        <v>-239.52208993000067</v>
      </c>
      <c r="I79" s="1518">
        <f t="shared" si="51"/>
        <v>-160.55611707622847</v>
      </c>
      <c r="J79" s="1518">
        <f t="shared" si="52"/>
        <v>0</v>
      </c>
      <c r="K79" s="1518">
        <f t="shared" si="53"/>
        <v>287.98617936377127</v>
      </c>
      <c r="L79" s="1543"/>
      <c r="M79" s="1518" t="str">
        <f t="shared" si="59"/>
        <v>-</v>
      </c>
      <c r="N79" s="1518">
        <f t="shared" si="59"/>
        <v>-11.783230312592096</v>
      </c>
      <c r="O79" s="1518">
        <f t="shared" si="59"/>
        <v>-16.494520895767781</v>
      </c>
      <c r="P79" s="1518" t="str">
        <f t="shared" si="59"/>
        <v>-</v>
      </c>
      <c r="Q79" s="1518">
        <f t="shared" si="59"/>
        <v>23.187406663782259</v>
      </c>
      <c r="R79" s="318"/>
      <c r="S79" s="1418"/>
      <c r="T79" s="560"/>
      <c r="U79" s="544"/>
      <c r="V79" s="545"/>
      <c r="W79" s="545"/>
      <c r="X79" s="545"/>
      <c r="Y79" s="545"/>
      <c r="Z79" s="545"/>
      <c r="AA79" s="545"/>
      <c r="AB79" s="545"/>
      <c r="AC79" s="545"/>
      <c r="AD79" s="560"/>
      <c r="AE79" s="560"/>
      <c r="AF79" s="560"/>
    </row>
    <row r="80" spans="3:32" s="538" customFormat="1" ht="15" customHeight="1">
      <c r="C80" s="1517" t="str">
        <f>IF(Indice_index!$Z$1=1,"Administrações Públicas","General Government subsectors")</f>
        <v>Administrações Públicas</v>
      </c>
      <c r="D80" s="318"/>
      <c r="E80" s="318"/>
      <c r="F80" s="318"/>
      <c r="G80" s="1518">
        <f t="shared" si="49"/>
        <v>2.1275449200000018</v>
      </c>
      <c r="H80" s="1518">
        <f t="shared" si="50"/>
        <v>-420.36405668000009</v>
      </c>
      <c r="I80" s="1518">
        <f t="shared" si="51"/>
        <v>-51.003063040000086</v>
      </c>
      <c r="J80" s="1518">
        <f t="shared" si="52"/>
        <v>0</v>
      </c>
      <c r="K80" s="1518">
        <f t="shared" si="53"/>
        <v>0</v>
      </c>
      <c r="L80" s="1543"/>
      <c r="M80" s="1518">
        <f t="shared" si="59"/>
        <v>22.487325557409598</v>
      </c>
      <c r="N80" s="1518">
        <f t="shared" si="59"/>
        <v>-31.145706427562747</v>
      </c>
      <c r="O80" s="1518">
        <f t="shared" si="59"/>
        <v>-11.797109196404497</v>
      </c>
      <c r="P80" s="1518" t="str">
        <f t="shared" si="59"/>
        <v>-</v>
      </c>
      <c r="Q80" s="1518" t="str">
        <f t="shared" si="59"/>
        <v>-</v>
      </c>
      <c r="R80" s="318"/>
      <c r="S80" s="1418"/>
      <c r="T80" s="560"/>
      <c r="U80" s="544"/>
      <c r="V80" s="545"/>
      <c r="W80" s="545"/>
      <c r="X80" s="545"/>
      <c r="Y80" s="545"/>
      <c r="Z80" s="545"/>
      <c r="AA80" s="545"/>
      <c r="AB80" s="545"/>
      <c r="AC80" s="545"/>
      <c r="AD80" s="560"/>
      <c r="AE80" s="560"/>
      <c r="AF80" s="560"/>
    </row>
    <row r="81" spans="2:32" s="538" customFormat="1" ht="15" customHeight="1">
      <c r="C81" s="1517" t="str">
        <f>IF(Indice_index!$Z$1=1,"Outras","Others")</f>
        <v>Outras</v>
      </c>
      <c r="D81" s="318"/>
      <c r="E81" s="318"/>
      <c r="F81" s="318"/>
      <c r="G81" s="1518">
        <f t="shared" si="49"/>
        <v>216.69726664999996</v>
      </c>
      <c r="H81" s="1518">
        <f t="shared" si="50"/>
        <v>180.84196674999964</v>
      </c>
      <c r="I81" s="1518">
        <f t="shared" si="51"/>
        <v>-109.55305403622827</v>
      </c>
      <c r="J81" s="1518">
        <f t="shared" si="52"/>
        <v>0</v>
      </c>
      <c r="K81" s="1518">
        <f t="shared" si="53"/>
        <v>287.98617936377127</v>
      </c>
      <c r="L81" s="1543"/>
      <c r="M81" s="1518" t="str">
        <f t="shared" si="59"/>
        <v>-</v>
      </c>
      <c r="N81" s="1518">
        <f t="shared" si="59"/>
        <v>26.474969565345557</v>
      </c>
      <c r="O81" s="1518">
        <f t="shared" si="59"/>
        <v>-20.248031035948618</v>
      </c>
      <c r="P81" s="1518" t="str">
        <f t="shared" si="59"/>
        <v>-</v>
      </c>
      <c r="Q81" s="1518">
        <f t="shared" si="59"/>
        <v>23.187406663782259</v>
      </c>
      <c r="R81" s="318"/>
      <c r="S81" s="1418"/>
      <c r="T81" s="560"/>
      <c r="U81" s="544"/>
      <c r="V81" s="545"/>
      <c r="W81" s="545"/>
      <c r="X81" s="545"/>
      <c r="Y81" s="545"/>
      <c r="Z81" s="545"/>
      <c r="AA81" s="545"/>
      <c r="AB81" s="545"/>
      <c r="AC81" s="545"/>
      <c r="AD81" s="560"/>
      <c r="AE81" s="560"/>
      <c r="AF81" s="560"/>
    </row>
    <row r="82" spans="2:32" ht="15" customHeight="1">
      <c r="C82" s="746" t="str">
        <f>IF(Indice_index!$Z$1=1,"Outras receitas de capital","Other capital revenue")</f>
        <v>Outras receitas de capital</v>
      </c>
      <c r="D82" s="1418"/>
      <c r="E82" s="1547"/>
      <c r="F82" s="1418"/>
      <c r="G82" s="1518">
        <f t="shared" si="49"/>
        <v>19.929650159999998</v>
      </c>
      <c r="H82" s="1518">
        <f t="shared" si="50"/>
        <v>7.6640060300000066</v>
      </c>
      <c r="I82" s="1518">
        <f t="shared" si="51"/>
        <v>2.6508455262688582</v>
      </c>
      <c r="J82" s="1518">
        <f t="shared" si="52"/>
        <v>4.9495099999999998E-3</v>
      </c>
      <c r="K82" s="1518">
        <f t="shared" si="53"/>
        <v>30.249451226268864</v>
      </c>
      <c r="L82" s="1543"/>
      <c r="M82" s="1518" t="str">
        <f t="shared" si="59"/>
        <v>-</v>
      </c>
      <c r="N82" s="1518">
        <f t="shared" si="59"/>
        <v>58.158756267658774</v>
      </c>
      <c r="O82" s="1518">
        <f t="shared" si="59"/>
        <v>18.824991439836282</v>
      </c>
      <c r="P82" s="1518" t="str">
        <f t="shared" si="59"/>
        <v>-</v>
      </c>
      <c r="Q82" s="1518">
        <f t="shared" si="59"/>
        <v>110.20162756089562</v>
      </c>
      <c r="R82" s="1418"/>
      <c r="S82" s="1418"/>
      <c r="T82" s="561"/>
      <c r="U82" s="548"/>
      <c r="V82" s="541"/>
      <c r="W82" s="541"/>
      <c r="X82" s="541"/>
      <c r="Y82" s="541"/>
      <c r="Z82" s="541"/>
      <c r="AA82" s="541"/>
      <c r="AB82" s="541"/>
      <c r="AC82" s="541"/>
      <c r="AD82" s="561"/>
      <c r="AE82" s="561"/>
      <c r="AF82" s="561"/>
    </row>
    <row r="83" spans="2:32" ht="15" customHeight="1">
      <c r="B83" s="549"/>
      <c r="C83" s="793" t="str">
        <f>IF(Indice_index!$Z$1=1,"Diferenças de consolidação","Consolidation differences")</f>
        <v>Diferenças de consolidação</v>
      </c>
      <c r="D83" s="1418"/>
      <c r="E83" s="1418"/>
      <c r="F83" s="1418"/>
      <c r="G83" s="1518">
        <f t="shared" si="49"/>
        <v>0</v>
      </c>
      <c r="H83" s="1518">
        <f t="shared" si="50"/>
        <v>0</v>
      </c>
      <c r="I83" s="1518">
        <f t="shared" si="51"/>
        <v>0</v>
      </c>
      <c r="J83" s="1518">
        <f t="shared" si="52"/>
        <v>0</v>
      </c>
      <c r="K83" s="1518">
        <f t="shared" si="53"/>
        <v>0</v>
      </c>
      <c r="L83" s="1518"/>
      <c r="M83" s="1546" t="s">
        <v>2</v>
      </c>
      <c r="N83" s="1546" t="s">
        <v>2</v>
      </c>
      <c r="O83" s="1546" t="s">
        <v>2</v>
      </c>
      <c r="P83" s="1546" t="s">
        <v>2</v>
      </c>
      <c r="Q83" s="1546" t="s">
        <v>2</v>
      </c>
      <c r="R83" s="1418"/>
      <c r="S83" s="1418"/>
      <c r="T83" s="561"/>
      <c r="U83" s="548"/>
      <c r="V83" s="541"/>
      <c r="W83" s="541"/>
      <c r="X83" s="541"/>
      <c r="Y83" s="541"/>
      <c r="Z83" s="541"/>
      <c r="AA83" s="541"/>
      <c r="AB83" s="541"/>
      <c r="AC83" s="541"/>
      <c r="AD83" s="561"/>
      <c r="AE83" s="561"/>
      <c r="AF83" s="561"/>
    </row>
    <row r="84" spans="2:32" s="538" customFormat="1" ht="4.5" customHeight="1">
      <c r="C84" s="1418"/>
      <c r="D84" s="318"/>
      <c r="E84" s="318"/>
      <c r="F84" s="318"/>
      <c r="G84" s="1548"/>
      <c r="H84" s="1548"/>
      <c r="I84" s="1548"/>
      <c r="J84" s="1548"/>
      <c r="K84" s="1548"/>
      <c r="L84" s="1548"/>
      <c r="M84" s="1548"/>
      <c r="N84" s="1548"/>
      <c r="O84" s="1548"/>
      <c r="P84" s="1548"/>
      <c r="Q84" s="1548"/>
      <c r="R84" s="318"/>
      <c r="S84" s="1418"/>
      <c r="T84" s="560"/>
      <c r="U84" s="544"/>
      <c r="V84" s="545"/>
      <c r="W84" s="545"/>
      <c r="X84" s="545"/>
      <c r="Y84" s="545"/>
      <c r="Z84" s="545"/>
      <c r="AA84" s="545"/>
      <c r="AB84" s="545"/>
      <c r="AC84" s="545"/>
      <c r="AD84" s="560"/>
      <c r="AE84" s="560"/>
      <c r="AF84" s="560"/>
    </row>
    <row r="85" spans="2:32" ht="15" customHeight="1">
      <c r="B85" s="549"/>
      <c r="C85" s="1522" t="str">
        <f>IF(Indice_index!$Z$1=1,"Receita efetiva","Effective revenue")</f>
        <v>Receita efetiva</v>
      </c>
      <c r="D85" s="1522"/>
      <c r="E85" s="1522"/>
      <c r="F85" s="1522"/>
      <c r="G85" s="1549">
        <f>M27-G27</f>
        <v>7409.2277363799949</v>
      </c>
      <c r="H85" s="1549">
        <f>N27-H27</f>
        <v>749.02024656998765</v>
      </c>
      <c r="I85" s="1549">
        <f>O27-I27</f>
        <v>638.7618920879122</v>
      </c>
      <c r="J85" s="1549">
        <f>P27-J27</f>
        <v>1421.4145669999998</v>
      </c>
      <c r="K85" s="1549">
        <f>Q27-K27</f>
        <v>10125.890748357895</v>
      </c>
      <c r="L85" s="1543"/>
      <c r="M85" s="1549">
        <f>IF(IFERROR((M27-G27)/G27*100,"")&gt;500,"-",IFERROR((M27-G27)/G27*100,""))</f>
        <v>20.693385170516841</v>
      </c>
      <c r="N85" s="1549">
        <f>IF(IFERROR((N27-H27)/H27*100,"")&gt;500,"-",IFERROR((N27-H27)/H27*100,""))</f>
        <v>2.9158856698435009</v>
      </c>
      <c r="O85" s="1549">
        <f>IF(IFERROR((O27-I27)/I27*100,"")&gt;500,"-",IFERROR((O27-I27)/I27*100,""))</f>
        <v>6.9495765214146479</v>
      </c>
      <c r="P85" s="1549">
        <f>IF(IFERROR((P27-J27)/J27*100,"")&gt;500,"-",IFERROR((P27-J27)/J27*100,""))</f>
        <v>6.0644891325080783</v>
      </c>
      <c r="Q85" s="1549">
        <f>IF(IFERROR((Q27-K27)/K27*100,"")&gt;500,"-",IFERROR((Q27-K27)/K27*100,""))</f>
        <v>15.515287934825405</v>
      </c>
      <c r="R85" s="1522"/>
      <c r="S85" s="1418"/>
      <c r="T85" s="561"/>
      <c r="U85" s="561"/>
      <c r="V85" s="19"/>
      <c r="W85" s="19"/>
      <c r="AD85" s="561"/>
      <c r="AE85" s="561"/>
      <c r="AF85" s="561"/>
    </row>
    <row r="86" spans="2:32" s="538" customFormat="1" ht="4.5" customHeight="1">
      <c r="C86" s="1418"/>
      <c r="D86" s="318"/>
      <c r="E86" s="318"/>
      <c r="F86" s="318"/>
      <c r="G86" s="1548"/>
      <c r="H86" s="1548"/>
      <c r="I86" s="1548"/>
      <c r="J86" s="1548"/>
      <c r="K86" s="1550"/>
      <c r="L86" s="1548"/>
      <c r="M86" s="1548"/>
      <c r="N86" s="1548"/>
      <c r="O86" s="1548"/>
      <c r="P86" s="1548"/>
      <c r="Q86" s="1548"/>
      <c r="R86" s="318"/>
      <c r="S86" s="1418"/>
      <c r="T86" s="560"/>
      <c r="U86" s="560"/>
      <c r="V86" s="539"/>
      <c r="W86" s="539"/>
      <c r="X86" s="539"/>
      <c r="Y86" s="539"/>
      <c r="Z86" s="539"/>
      <c r="AA86" s="539"/>
      <c r="AB86" s="539"/>
      <c r="AC86" s="539"/>
      <c r="AD86" s="560"/>
      <c r="AE86" s="560"/>
      <c r="AF86" s="560"/>
    </row>
    <row r="87" spans="2:32" ht="15" customHeight="1">
      <c r="C87" s="318" t="str">
        <f>IF(Indice_index!$Z$1=1,"Despesa corrente","Current expenditure")</f>
        <v>Despesa corrente</v>
      </c>
      <c r="D87" s="1418"/>
      <c r="E87" s="793"/>
      <c r="F87" s="1418"/>
      <c r="G87" s="1543">
        <f t="shared" ref="G87:G106" si="60">M29-G29</f>
        <v>1054.8290564800191</v>
      </c>
      <c r="H87" s="1543">
        <f t="shared" ref="H87:H106" si="61">N29-H29</f>
        <v>586.9167485799735</v>
      </c>
      <c r="I87" s="1543">
        <f t="shared" ref="I87:I106" si="62">O29-I29</f>
        <v>461.63754045122005</v>
      </c>
      <c r="J87" s="1543">
        <f t="shared" ref="J87:J106" si="63">P29-J29</f>
        <v>-1026.8962520999921</v>
      </c>
      <c r="K87" s="1543">
        <f t="shared" ref="K87:K106" si="64">Q29-K29</f>
        <v>514.71382493120473</v>
      </c>
      <c r="L87" s="1543"/>
      <c r="M87" s="1543">
        <f t="shared" ref="M87:M98" si="65">IF(IFERROR((M29-G29)/G29*100,"")&gt;500,"-",IFERROR((M29-G29)/G29*100,""))</f>
        <v>2.6820344795669286</v>
      </c>
      <c r="N87" s="1543">
        <f t="shared" ref="N87:N98" si="66">IF(IFERROR((N29-H29)/H29*100,"")&gt;500,"-",IFERROR((N29-H29)/H29*100,""))</f>
        <v>2.6364266845561262</v>
      </c>
      <c r="O87" s="1543">
        <f t="shared" ref="O87:O98" si="67">IF(IFERROR((O29-I29)/I29*100,"")&gt;500,"-",IFERROR((O29-I29)/I29*100,""))</f>
        <v>6.6436797170914748</v>
      </c>
      <c r="P87" s="1543">
        <f t="shared" ref="P87:P98" si="68">IF(IFERROR((P29-J29)/J29*100,"")&gt;500,"-",IFERROR((P29-J29)/J29*100,""))</f>
        <v>-4.4713363550800151</v>
      </c>
      <c r="Q87" s="1543">
        <f t="shared" ref="Q87:Q98" si="69">IF(IFERROR((Q29-K29)/K29*100,"")&gt;500,"-",IFERROR((Q29-K29)/K29*100,""))</f>
        <v>0.79875731245129511</v>
      </c>
      <c r="R87" s="1418"/>
      <c r="S87" s="1418"/>
      <c r="T87" s="561"/>
      <c r="U87" s="561"/>
      <c r="V87" s="19"/>
      <c r="W87" s="19"/>
      <c r="AD87" s="561"/>
      <c r="AE87" s="561"/>
      <c r="AF87" s="561"/>
    </row>
    <row r="88" spans="2:32" ht="15" customHeight="1">
      <c r="C88" s="793" t="str">
        <f>IF(Indice_index!$Z$1=1,"Despesas com o pessoal","Compensation of employees")</f>
        <v>Despesas com o pessoal</v>
      </c>
      <c r="D88" s="1418"/>
      <c r="E88" s="793"/>
      <c r="F88" s="1418"/>
      <c r="G88" s="1518">
        <f t="shared" si="60"/>
        <v>-14.987286399995355</v>
      </c>
      <c r="H88" s="1518">
        <f t="shared" si="61"/>
        <v>148.92964380000649</v>
      </c>
      <c r="I88" s="1518">
        <f t="shared" si="62"/>
        <v>301.3180254508693</v>
      </c>
      <c r="J88" s="1518">
        <f t="shared" si="63"/>
        <v>8.0697334199999204</v>
      </c>
      <c r="K88" s="1518">
        <f t="shared" si="64"/>
        <v>443.33011627088126</v>
      </c>
      <c r="L88" s="1518"/>
      <c r="M88" s="1518">
        <f t="shared" si="65"/>
        <v>-0.20428920123447236</v>
      </c>
      <c r="N88" s="1518">
        <f t="shared" si="66"/>
        <v>2.4492559250842221</v>
      </c>
      <c r="O88" s="1518">
        <f t="shared" si="67"/>
        <v>9.2870719642270974</v>
      </c>
      <c r="P88" s="1518">
        <f t="shared" si="68"/>
        <v>3.8720001249137561</v>
      </c>
      <c r="Q88" s="1518">
        <f t="shared" si="69"/>
        <v>2.627948446693197</v>
      </c>
      <c r="R88" s="1418"/>
      <c r="S88" s="1418"/>
      <c r="T88" s="561"/>
      <c r="U88" s="561"/>
      <c r="V88" s="19"/>
      <c r="W88" s="19"/>
      <c r="AD88" s="561"/>
      <c r="AE88" s="561"/>
      <c r="AF88" s="561"/>
    </row>
    <row r="89" spans="2:32" ht="15" customHeight="1">
      <c r="C89" s="1018" t="str">
        <f>IF(Indice_index!$Z$1=1,"Remunerações Certas e Permanentes","Certain and permanent wages")</f>
        <v>Remunerações Certas e Permanentes</v>
      </c>
      <c r="D89" s="1418"/>
      <c r="E89" s="793"/>
      <c r="F89" s="1418"/>
      <c r="G89" s="1518">
        <f t="shared" si="60"/>
        <v>5.7601846400048089</v>
      </c>
      <c r="H89" s="1518">
        <f t="shared" si="61"/>
        <v>139.29524354000569</v>
      </c>
      <c r="I89" s="1518">
        <f t="shared" si="62"/>
        <v>232.24556767098602</v>
      </c>
      <c r="J89" s="1518">
        <f t="shared" si="63"/>
        <v>7.2243826299999228</v>
      </c>
      <c r="K89" s="1518">
        <f t="shared" si="64"/>
        <v>384.52537848099746</v>
      </c>
      <c r="L89" s="1518"/>
      <c r="M89" s="1518">
        <f t="shared" si="65"/>
        <v>0.10930369546789037</v>
      </c>
      <c r="N89" s="1518">
        <f t="shared" si="66"/>
        <v>3.3038872284932621</v>
      </c>
      <c r="O89" s="1518">
        <f t="shared" si="67"/>
        <v>9.6407022903433539</v>
      </c>
      <c r="P89" s="1518">
        <f t="shared" si="68"/>
        <v>4.3433684740256719</v>
      </c>
      <c r="Q89" s="1518">
        <f t="shared" si="69"/>
        <v>3.1880833372653976</v>
      </c>
      <c r="R89" s="1418"/>
      <c r="S89" s="1418"/>
      <c r="T89" s="561"/>
      <c r="U89" s="561"/>
      <c r="V89" s="19"/>
      <c r="W89" s="19"/>
      <c r="AD89" s="561"/>
      <c r="AE89" s="561"/>
      <c r="AF89" s="561"/>
    </row>
    <row r="90" spans="2:32" ht="15" customHeight="1">
      <c r="C90" s="1018" t="str">
        <f>IF(Indice_index!$Z$1=1,"Abonos Variáveis ou Eventuais","Variable or contingent bonuses")</f>
        <v>Abonos Variáveis ou Eventuais</v>
      </c>
      <c r="D90" s="1418"/>
      <c r="E90" s="793"/>
      <c r="F90" s="1418"/>
      <c r="G90" s="1518">
        <f t="shared" si="60"/>
        <v>11.961088679999591</v>
      </c>
      <c r="H90" s="1518">
        <f t="shared" si="61"/>
        <v>-9.3047448799995891</v>
      </c>
      <c r="I90" s="1518">
        <f t="shared" si="62"/>
        <v>17.086861732987785</v>
      </c>
      <c r="J90" s="1518">
        <f t="shared" si="63"/>
        <v>0.13567339999999994</v>
      </c>
      <c r="K90" s="1518">
        <f t="shared" si="64"/>
        <v>19.878878932987845</v>
      </c>
      <c r="L90" s="1518"/>
      <c r="M90" s="1518">
        <f t="shared" si="65"/>
        <v>4.2350558766226527</v>
      </c>
      <c r="N90" s="1518">
        <f t="shared" si="66"/>
        <v>-1.3112917660041805</v>
      </c>
      <c r="O90" s="1518">
        <f t="shared" si="67"/>
        <v>9.7929596366085665</v>
      </c>
      <c r="P90" s="1518">
        <f t="shared" si="68"/>
        <v>3.5510053805871098</v>
      </c>
      <c r="Q90" s="1518">
        <f t="shared" si="69"/>
        <v>1.6985871984900887</v>
      </c>
      <c r="R90" s="1418"/>
      <c r="S90" s="1418"/>
      <c r="T90" s="561"/>
      <c r="U90" s="561"/>
      <c r="V90" s="19"/>
      <c r="W90" s="19"/>
      <c r="AD90" s="561"/>
      <c r="AE90" s="561"/>
      <c r="AF90" s="561"/>
    </row>
    <row r="91" spans="2:32" ht="15" customHeight="1">
      <c r="C91" s="1018" t="str">
        <f>IF(Indice_index!$Z$1=1,"Segurança social","Social security")</f>
        <v>Segurança social</v>
      </c>
      <c r="D91" s="1418"/>
      <c r="E91" s="793"/>
      <c r="F91" s="1418"/>
      <c r="G91" s="1518">
        <f t="shared" si="60"/>
        <v>-32.708559719999585</v>
      </c>
      <c r="H91" s="1518">
        <f t="shared" si="61"/>
        <v>18.939145140000392</v>
      </c>
      <c r="I91" s="1518">
        <f t="shared" si="62"/>
        <v>51.985596046895125</v>
      </c>
      <c r="J91" s="1518">
        <f t="shared" si="63"/>
        <v>0.70967738999999597</v>
      </c>
      <c r="K91" s="1518">
        <f t="shared" si="64"/>
        <v>38.925858856895502</v>
      </c>
      <c r="L91" s="1518"/>
      <c r="M91" s="1518">
        <f t="shared" si="65"/>
        <v>-1.8334516910454826</v>
      </c>
      <c r="N91" s="1518">
        <f t="shared" si="66"/>
        <v>1.6398665804519825</v>
      </c>
      <c r="O91" s="1518">
        <f t="shared" si="67"/>
        <v>7.8647249217292412</v>
      </c>
      <c r="P91" s="1518">
        <f t="shared" si="68"/>
        <v>1.8548568289103249</v>
      </c>
      <c r="Q91" s="1518">
        <f t="shared" si="69"/>
        <v>1.069930965370435</v>
      </c>
      <c r="R91" s="1418"/>
      <c r="S91" s="1418"/>
      <c r="T91" s="561"/>
      <c r="U91" s="561"/>
      <c r="V91" s="19"/>
      <c r="W91" s="19"/>
      <c r="AD91" s="561"/>
      <c r="AE91" s="561"/>
      <c r="AF91" s="561"/>
    </row>
    <row r="92" spans="2:32" ht="15" customHeight="1">
      <c r="C92" s="793" t="str">
        <f>IF(Indice_index!$Z$1=1,"Aquisição de bens e serviços","Purchase of goods and services")</f>
        <v>Aquisição de bens e serviços</v>
      </c>
      <c r="D92" s="1418"/>
      <c r="E92" s="793"/>
      <c r="F92" s="1418"/>
      <c r="G92" s="1518">
        <f t="shared" si="60"/>
        <v>26.597525870002755</v>
      </c>
      <c r="H92" s="1518">
        <f t="shared" si="61"/>
        <v>525.48741015996711</v>
      </c>
      <c r="I92" s="1518">
        <f t="shared" si="62"/>
        <v>186.09899870311983</v>
      </c>
      <c r="J92" s="1518">
        <f t="shared" si="63"/>
        <v>-8.4904273799999928</v>
      </c>
      <c r="K92" s="1518">
        <f t="shared" si="64"/>
        <v>733.03277778308802</v>
      </c>
      <c r="L92" s="1518"/>
      <c r="M92" s="1518">
        <f t="shared" si="65"/>
        <v>3.0081154750215457</v>
      </c>
      <c r="N92" s="1518">
        <f t="shared" si="66"/>
        <v>8.3662597906961285</v>
      </c>
      <c r="O92" s="1518">
        <f t="shared" si="67"/>
        <v>8.1509823152548808</v>
      </c>
      <c r="P92" s="1518">
        <f t="shared" si="68"/>
        <v>-12.94556839356755</v>
      </c>
      <c r="Q92" s="1518">
        <f t="shared" si="69"/>
        <v>7.7080844648788629</v>
      </c>
      <c r="R92" s="1418"/>
      <c r="S92" s="1418"/>
      <c r="T92" s="561"/>
      <c r="U92" s="561"/>
      <c r="V92" s="19"/>
      <c r="W92" s="19"/>
      <c r="AD92" s="561"/>
      <c r="AE92" s="561"/>
      <c r="AF92" s="561"/>
    </row>
    <row r="93" spans="2:32" ht="15" customHeight="1">
      <c r="C93" s="793" t="str">
        <f>IF(Indice_index!$Z$1=1,"Juros e outros encargos","Interests and other charges")</f>
        <v>Juros e outros encargos</v>
      </c>
      <c r="D93" s="1418"/>
      <c r="E93" s="793"/>
      <c r="F93" s="1418"/>
      <c r="G93" s="1518">
        <f t="shared" si="60"/>
        <v>-373.35509552999929</v>
      </c>
      <c r="H93" s="1518">
        <f t="shared" si="61"/>
        <v>-176.05123391999985</v>
      </c>
      <c r="I93" s="1518">
        <f t="shared" si="62"/>
        <v>22.118573546840267</v>
      </c>
      <c r="J93" s="1518">
        <f t="shared" si="63"/>
        <v>0.2564788999999994</v>
      </c>
      <c r="K93" s="1518">
        <f t="shared" si="64"/>
        <v>-443.20998597315793</v>
      </c>
      <c r="L93" s="1518"/>
      <c r="M93" s="1518">
        <f t="shared" si="65"/>
        <v>-8.481156529493223</v>
      </c>
      <c r="N93" s="1518">
        <f t="shared" si="66"/>
        <v>-54.119286695663405</v>
      </c>
      <c r="O93" s="1518">
        <f t="shared" si="67"/>
        <v>20.48860866073581</v>
      </c>
      <c r="P93" s="1518">
        <f t="shared" si="68"/>
        <v>5.2411902148275438</v>
      </c>
      <c r="Q93" s="1518">
        <f t="shared" si="69"/>
        <v>-9.4159893263850183</v>
      </c>
      <c r="R93" s="1418"/>
      <c r="S93" s="1418"/>
      <c r="T93" s="561"/>
      <c r="U93" s="561"/>
      <c r="V93" s="19"/>
      <c r="W93" s="19"/>
      <c r="AD93" s="561"/>
      <c r="AE93" s="561"/>
      <c r="AF93" s="561"/>
    </row>
    <row r="94" spans="2:32" ht="15" customHeight="1">
      <c r="C94" s="793" t="str">
        <f>IF(Indice_index!$Z$1=1,"Transferências correntes","Current transfers")</f>
        <v>Transferências correntes</v>
      </c>
      <c r="D94" s="1418"/>
      <c r="E94" s="793"/>
      <c r="F94" s="1418"/>
      <c r="G94" s="1518">
        <f t="shared" si="60"/>
        <v>1334.059057399998</v>
      </c>
      <c r="H94" s="1518">
        <f t="shared" si="61"/>
        <v>236.23204573000112</v>
      </c>
      <c r="I94" s="1518">
        <f t="shared" si="62"/>
        <v>-27.268603248624231</v>
      </c>
      <c r="J94" s="1518">
        <f t="shared" si="63"/>
        <v>-947.95638744999087</v>
      </c>
      <c r="K94" s="1518">
        <f t="shared" si="64"/>
        <v>-187.05911757861395</v>
      </c>
      <c r="L94" s="1518"/>
      <c r="M94" s="1518">
        <f t="shared" si="65"/>
        <v>5.065848114025159</v>
      </c>
      <c r="N94" s="1518">
        <f t="shared" si="66"/>
        <v>2.699469594281692</v>
      </c>
      <c r="O94" s="1518">
        <f t="shared" si="67"/>
        <v>-3.3859880909959852</v>
      </c>
      <c r="P94" s="1518">
        <f t="shared" si="68"/>
        <v>-4.316658588874855</v>
      </c>
      <c r="Q94" s="1518">
        <f t="shared" si="69"/>
        <v>-0.59824444275723754</v>
      </c>
      <c r="R94" s="1418"/>
      <c r="S94" s="1418"/>
      <c r="T94" s="561"/>
      <c r="U94" s="561"/>
      <c r="V94" s="19"/>
      <c r="W94" s="19"/>
      <c r="AD94" s="561"/>
      <c r="AE94" s="561"/>
      <c r="AF94" s="561"/>
    </row>
    <row r="95" spans="2:32" ht="15" customHeight="1">
      <c r="C95" s="1517" t="str">
        <f>IF(Indice_index!$Z$1=1,"Administrações Públicas","General Government subsectors")</f>
        <v>Administrações Públicas</v>
      </c>
      <c r="D95" s="1418"/>
      <c r="E95" s="793"/>
      <c r="F95" s="1418"/>
      <c r="G95" s="1518">
        <f t="shared" si="60"/>
        <v>1036.1796109099996</v>
      </c>
      <c r="H95" s="1518">
        <f t="shared" si="61"/>
        <v>-46.72334892000049</v>
      </c>
      <c r="I95" s="1518">
        <f t="shared" si="62"/>
        <v>23.228955750000026</v>
      </c>
      <c r="J95" s="1518">
        <f t="shared" si="63"/>
        <v>-230.55998773000033</v>
      </c>
      <c r="K95" s="1518">
        <f t="shared" si="64"/>
        <v>0</v>
      </c>
      <c r="L95" s="1518"/>
      <c r="M95" s="1518">
        <f t="shared" si="65"/>
        <v>4.289750907582861</v>
      </c>
      <c r="N95" s="1518">
        <f t="shared" si="66"/>
        <v>-6.0219819262051768</v>
      </c>
      <c r="O95" s="1518">
        <f t="shared" si="67"/>
        <v>21.230074949492817</v>
      </c>
      <c r="P95" s="1518">
        <f t="shared" si="68"/>
        <v>-14.941324106924645</v>
      </c>
      <c r="Q95" s="1518" t="str">
        <f t="shared" si="69"/>
        <v>-</v>
      </c>
      <c r="R95" s="1418"/>
      <c r="S95" s="1418"/>
      <c r="T95" s="561"/>
      <c r="U95" s="561"/>
      <c r="V95" s="19"/>
      <c r="W95" s="19"/>
      <c r="AD95" s="561"/>
      <c r="AE95" s="561"/>
      <c r="AF95" s="561"/>
    </row>
    <row r="96" spans="2:32" ht="15" customHeight="1">
      <c r="C96" s="1517" t="str">
        <f>IF(Indice_index!$Z$1=1,"Outras","Others")</f>
        <v>Outras</v>
      </c>
      <c r="D96" s="1418"/>
      <c r="E96" s="793"/>
      <c r="F96" s="1418"/>
      <c r="G96" s="1518">
        <f t="shared" si="60"/>
        <v>297.87944649000065</v>
      </c>
      <c r="H96" s="1518">
        <f t="shared" si="61"/>
        <v>282.95539465000184</v>
      </c>
      <c r="I96" s="1518">
        <f t="shared" si="62"/>
        <v>-50.497558998624186</v>
      </c>
      <c r="J96" s="1518">
        <f t="shared" si="63"/>
        <v>-717.39639971998986</v>
      </c>
      <c r="K96" s="1518">
        <f t="shared" si="64"/>
        <v>-187.05911757861395</v>
      </c>
      <c r="L96" s="1518"/>
      <c r="M96" s="1518">
        <f t="shared" si="65"/>
        <v>13.666739644485085</v>
      </c>
      <c r="N96" s="1518">
        <f t="shared" si="66"/>
        <v>3.5479525212490968</v>
      </c>
      <c r="O96" s="1518">
        <f t="shared" si="67"/>
        <v>-7.2562165962694269</v>
      </c>
      <c r="P96" s="1518">
        <f t="shared" si="68"/>
        <v>-3.5136662004791339</v>
      </c>
      <c r="Q96" s="1518">
        <f t="shared" si="69"/>
        <v>-0.59824444275723754</v>
      </c>
      <c r="R96" s="1418"/>
      <c r="S96" s="1418"/>
      <c r="T96" s="561"/>
      <c r="U96" s="561"/>
      <c r="V96" s="19"/>
      <c r="W96" s="19"/>
      <c r="AD96" s="561"/>
      <c r="AE96" s="561"/>
      <c r="AF96" s="561"/>
    </row>
    <row r="97" spans="2:32" ht="15" customHeight="1">
      <c r="C97" s="793" t="str">
        <f>IF(Indice_index!$Z$1=1,"Subsídios","Subsidies")</f>
        <v>Subsídios</v>
      </c>
      <c r="D97" s="1418"/>
      <c r="E97" s="793"/>
      <c r="F97" s="1418"/>
      <c r="G97" s="1518">
        <f t="shared" si="60"/>
        <v>112.14865967000001</v>
      </c>
      <c r="H97" s="1518">
        <f t="shared" si="61"/>
        <v>-175.71062201999968</v>
      </c>
      <c r="I97" s="1518">
        <f t="shared" si="62"/>
        <v>-49.293336809712116</v>
      </c>
      <c r="J97" s="1518">
        <f t="shared" si="63"/>
        <v>-80.369237519999956</v>
      </c>
      <c r="K97" s="1518">
        <f t="shared" si="64"/>
        <v>-30.383362939711333</v>
      </c>
      <c r="L97" s="1518"/>
      <c r="M97" s="1518">
        <f t="shared" si="65"/>
        <v>289.85809947462843</v>
      </c>
      <c r="N97" s="1518">
        <f t="shared" si="66"/>
        <v>-25.653721954754687</v>
      </c>
      <c r="O97" s="1518">
        <f t="shared" si="67"/>
        <v>-11.514594914624359</v>
      </c>
      <c r="P97" s="1518">
        <f t="shared" si="68"/>
        <v>-11.183905455664126</v>
      </c>
      <c r="Q97" s="1518">
        <f t="shared" si="69"/>
        <v>-2.0329363792878858</v>
      </c>
      <c r="R97" s="1418"/>
      <c r="S97" s="1418"/>
      <c r="T97" s="561"/>
      <c r="U97" s="561"/>
      <c r="V97" s="19"/>
      <c r="W97" s="19"/>
      <c r="AD97" s="561"/>
      <c r="AE97" s="561"/>
      <c r="AF97" s="561"/>
    </row>
    <row r="98" spans="2:32" ht="15" customHeight="1">
      <c r="C98" s="793" t="str">
        <f>IF(Indice_index!$Z$1=1,"Outras despesas correntes","Other current expenditures")</f>
        <v>Outras despesas correntes</v>
      </c>
      <c r="D98" s="1418"/>
      <c r="E98" s="1551"/>
      <c r="F98" s="1418"/>
      <c r="G98" s="1518">
        <f t="shared" si="60"/>
        <v>-26.879074860000173</v>
      </c>
      <c r="H98" s="1518">
        <f t="shared" si="61"/>
        <v>17.786726829999935</v>
      </c>
      <c r="I98" s="1518">
        <f t="shared" si="62"/>
        <v>28.994461188727783</v>
      </c>
      <c r="J98" s="1518">
        <f t="shared" si="63"/>
        <v>1.5935879299999964</v>
      </c>
      <c r="K98" s="1518">
        <f t="shared" si="64"/>
        <v>21.495701088727628</v>
      </c>
      <c r="L98" s="1518"/>
      <c r="M98" s="1518">
        <f t="shared" si="65"/>
        <v>-8.1409489276126461</v>
      </c>
      <c r="N98" s="1518">
        <f t="shared" si="66"/>
        <v>13.263207330090122</v>
      </c>
      <c r="O98" s="1518">
        <f t="shared" si="67"/>
        <v>36.624097191547513</v>
      </c>
      <c r="P98" s="1518">
        <f t="shared" si="68"/>
        <v>19.253176784940866</v>
      </c>
      <c r="Q98" s="1518">
        <f t="shared" si="69"/>
        <v>3.8961124911608787</v>
      </c>
      <c r="R98" s="1418"/>
      <c r="S98" s="1418"/>
      <c r="T98" s="561"/>
      <c r="U98" s="561"/>
      <c r="V98" s="19"/>
      <c r="W98" s="19"/>
      <c r="AD98" s="561"/>
      <c r="AE98" s="561"/>
      <c r="AF98" s="561"/>
    </row>
    <row r="99" spans="2:32" s="538" customFormat="1" ht="15" customHeight="1">
      <c r="C99" s="793" t="str">
        <f>IF(Indice_index!$Z$1=1,"Diferenças de consolidação","Consolidation differences")</f>
        <v>Diferenças de consolidação</v>
      </c>
      <c r="D99" s="318"/>
      <c r="E99" s="318"/>
      <c r="F99" s="318"/>
      <c r="G99" s="1518">
        <f t="shared" si="60"/>
        <v>-2.7547296699999606</v>
      </c>
      <c r="H99" s="1518">
        <f t="shared" si="61"/>
        <v>10.242777999995724</v>
      </c>
      <c r="I99" s="1518">
        <f t="shared" si="62"/>
        <v>-0.33057837999990625</v>
      </c>
      <c r="J99" s="1518">
        <f t="shared" si="63"/>
        <v>0</v>
      </c>
      <c r="K99" s="1518">
        <f t="shared" si="64"/>
        <v>-22.492303720011705</v>
      </c>
      <c r="L99" s="1518"/>
      <c r="M99" s="1546" t="s">
        <v>2</v>
      </c>
      <c r="N99" s="1546" t="s">
        <v>2</v>
      </c>
      <c r="O99" s="1546" t="s">
        <v>2</v>
      </c>
      <c r="P99" s="1546" t="s">
        <v>2</v>
      </c>
      <c r="Q99" s="1546" t="s">
        <v>2</v>
      </c>
      <c r="R99" s="1546"/>
      <c r="S99" s="1418"/>
      <c r="T99" s="560"/>
      <c r="U99" s="560"/>
      <c r="V99" s="539"/>
      <c r="W99" s="539"/>
      <c r="X99" s="539"/>
      <c r="Y99" s="539"/>
      <c r="Z99" s="539"/>
      <c r="AA99" s="539"/>
      <c r="AB99" s="539"/>
      <c r="AC99" s="539"/>
      <c r="AD99" s="560"/>
      <c r="AE99" s="560"/>
      <c r="AF99" s="560"/>
    </row>
    <row r="100" spans="2:32" ht="15" customHeight="1">
      <c r="C100" s="318" t="str">
        <f>IF(Indice_index!$Z$1=1,"Despesa de capital","Capital expenditure")</f>
        <v>Despesa de capital</v>
      </c>
      <c r="D100" s="1418"/>
      <c r="E100" s="793"/>
      <c r="F100" s="1418"/>
      <c r="G100" s="1543">
        <f t="shared" si="60"/>
        <v>-471.0891388600005</v>
      </c>
      <c r="H100" s="1543">
        <f t="shared" si="61"/>
        <v>-216.30675066999993</v>
      </c>
      <c r="I100" s="1543">
        <f t="shared" si="62"/>
        <v>-115.48829482828432</v>
      </c>
      <c r="J100" s="1543">
        <f t="shared" si="63"/>
        <v>-0.2797573999999976</v>
      </c>
      <c r="K100" s="1543">
        <f t="shared" si="64"/>
        <v>-333.92436695828474</v>
      </c>
      <c r="L100" s="1543"/>
      <c r="M100" s="1543">
        <f t="shared" ref="M100:Q105" si="70">IF(IFERROR((M42-G42)/G42*100,"")&gt;500,"-",IFERROR((M42-G42)/G42*100,""))</f>
        <v>-20.749458074545917</v>
      </c>
      <c r="N100" s="1543">
        <f t="shared" si="70"/>
        <v>-7.6802881486729824</v>
      </c>
      <c r="O100" s="1543">
        <f t="shared" si="70"/>
        <v>-5.2533103924101221</v>
      </c>
      <c r="P100" s="1543">
        <f t="shared" si="70"/>
        <v>-1.2184961355499233</v>
      </c>
      <c r="Q100" s="1543">
        <f t="shared" si="70"/>
        <v>-6.0530375573723889</v>
      </c>
      <c r="R100" s="1418"/>
      <c r="S100" s="1418"/>
      <c r="T100" s="561"/>
      <c r="U100" s="561"/>
      <c r="V100" s="19"/>
      <c r="W100" s="19"/>
      <c r="AD100" s="561"/>
      <c r="AE100" s="561"/>
      <c r="AF100" s="561"/>
    </row>
    <row r="101" spans="2:32" ht="15" customHeight="1">
      <c r="C101" s="793" t="str">
        <f>IF(Indice_index!$Z$1=1,"Investimentos","Investments")</f>
        <v>Investimentos</v>
      </c>
      <c r="D101" s="1418"/>
      <c r="E101" s="793"/>
      <c r="F101" s="1418"/>
      <c r="G101" s="1518">
        <f t="shared" si="60"/>
        <v>126.04147836000004</v>
      </c>
      <c r="H101" s="1518">
        <f t="shared" si="61"/>
        <v>39.24333501000001</v>
      </c>
      <c r="I101" s="1518">
        <f t="shared" si="62"/>
        <v>-112.33669225362451</v>
      </c>
      <c r="J101" s="1518">
        <f t="shared" si="63"/>
        <v>-0.20707363000000001</v>
      </c>
      <c r="K101" s="1518">
        <f t="shared" si="64"/>
        <v>52.741047486375464</v>
      </c>
      <c r="L101" s="1518"/>
      <c r="M101" s="1518">
        <f t="shared" si="70"/>
        <v>36.891400319515078</v>
      </c>
      <c r="N101" s="1518">
        <f t="shared" si="70"/>
        <v>2.0696932607448115</v>
      </c>
      <c r="O101" s="1518">
        <f t="shared" si="70"/>
        <v>-6.0652525969836217</v>
      </c>
      <c r="P101" s="1518">
        <f t="shared" si="70"/>
        <v>-1.0000421577967811</v>
      </c>
      <c r="Q101" s="1518">
        <f t="shared" si="70"/>
        <v>1.2830524739770217</v>
      </c>
      <c r="R101" s="1418"/>
      <c r="S101" s="1418"/>
      <c r="T101" s="561"/>
      <c r="U101" s="561"/>
      <c r="V101" s="19"/>
      <c r="W101" s="19"/>
      <c r="AD101" s="561"/>
      <c r="AE101" s="561"/>
      <c r="AF101" s="561"/>
    </row>
    <row r="102" spans="2:32" ht="15" customHeight="1">
      <c r="C102" s="793" t="str">
        <f>IF(Indice_index!$Z$1=1,"Transferências de capital","Capital transfers")</f>
        <v>Transferências de capital</v>
      </c>
      <c r="D102" s="1418"/>
      <c r="E102" s="793"/>
      <c r="F102" s="1418"/>
      <c r="G102" s="1518">
        <f t="shared" si="60"/>
        <v>-578.90787302000035</v>
      </c>
      <c r="H102" s="1518">
        <f t="shared" si="61"/>
        <v>-360.36530903000016</v>
      </c>
      <c r="I102" s="1518">
        <f t="shared" si="62"/>
        <v>-6.5995275795581279</v>
      </c>
      <c r="J102" s="1518">
        <f t="shared" si="63"/>
        <v>-7.268376999999937E-2</v>
      </c>
      <c r="K102" s="1518">
        <f t="shared" si="64"/>
        <v>-389.82015033955838</v>
      </c>
      <c r="L102" s="1518"/>
      <c r="M102" s="1518">
        <f t="shared" si="70"/>
        <v>-30.445040968941612</v>
      </c>
      <c r="N102" s="1518">
        <f t="shared" si="70"/>
        <v>-40.13138117280571</v>
      </c>
      <c r="O102" s="1518">
        <f t="shared" si="70"/>
        <v>-1.9476733025878508</v>
      </c>
      <c r="P102" s="1518">
        <f t="shared" si="70"/>
        <v>-3.2264525592294064</v>
      </c>
      <c r="Q102" s="1518">
        <f t="shared" si="70"/>
        <v>-31.085128423417853</v>
      </c>
      <c r="R102" s="1418"/>
      <c r="S102" s="1418"/>
      <c r="T102" s="561"/>
      <c r="U102" s="561"/>
      <c r="V102" s="19"/>
      <c r="W102" s="19"/>
      <c r="AD102" s="561"/>
      <c r="AE102" s="561"/>
      <c r="AF102" s="561"/>
    </row>
    <row r="103" spans="2:32" ht="15" customHeight="1">
      <c r="C103" s="1517" t="str">
        <f>IF(Indice_index!$Z$1=1,"Administrações Públicas","General Government subsectors")</f>
        <v>Administrações Públicas</v>
      </c>
      <c r="D103" s="1418"/>
      <c r="E103" s="793"/>
      <c r="F103" s="1418"/>
      <c r="G103" s="1518">
        <f t="shared" si="60"/>
        <v>-571.41506833000039</v>
      </c>
      <c r="H103" s="1518">
        <f t="shared" si="61"/>
        <v>12.00390719</v>
      </c>
      <c r="I103" s="1518">
        <f t="shared" si="62"/>
        <v>3.2859180799999947</v>
      </c>
      <c r="J103" s="1518">
        <f t="shared" si="63"/>
        <v>0</v>
      </c>
      <c r="K103" s="1518">
        <f t="shared" si="64"/>
        <v>0</v>
      </c>
      <c r="L103" s="1518"/>
      <c r="M103" s="1518">
        <f t="shared" si="70"/>
        <v>-30.823107085226731</v>
      </c>
      <c r="N103" s="1518">
        <f t="shared" si="70"/>
        <v>48.247418991017682</v>
      </c>
      <c r="O103" s="1518">
        <f t="shared" si="70"/>
        <v>42.291313158267755</v>
      </c>
      <c r="P103" s="1518" t="str">
        <f t="shared" si="70"/>
        <v>-</v>
      </c>
      <c r="Q103" s="1518" t="str">
        <f t="shared" si="70"/>
        <v>-</v>
      </c>
      <c r="R103" s="1418"/>
      <c r="S103" s="1418"/>
      <c r="T103" s="561"/>
      <c r="U103" s="561"/>
      <c r="V103" s="19"/>
      <c r="W103" s="19"/>
      <c r="AD103" s="561"/>
      <c r="AE103" s="561"/>
      <c r="AF103" s="561"/>
    </row>
    <row r="104" spans="2:32" ht="15" customHeight="1">
      <c r="C104" s="1517" t="str">
        <f>IF(Indice_index!$Z$1=1,"Outras","Others")</f>
        <v>Outras</v>
      </c>
      <c r="D104" s="1418"/>
      <c r="E104" s="793"/>
      <c r="F104" s="1418"/>
      <c r="G104" s="1518">
        <f t="shared" si="60"/>
        <v>-7.4928046899999998</v>
      </c>
      <c r="H104" s="1518">
        <f t="shared" si="61"/>
        <v>-372.36921622000011</v>
      </c>
      <c r="I104" s="1518">
        <f t="shared" si="62"/>
        <v>-9.8854456595581155</v>
      </c>
      <c r="J104" s="1518">
        <f t="shared" si="63"/>
        <v>-7.268376999999937E-2</v>
      </c>
      <c r="K104" s="1518">
        <f t="shared" si="64"/>
        <v>-389.82015033955838</v>
      </c>
      <c r="L104" s="1518"/>
      <c r="M104" s="1518">
        <f t="shared" si="70"/>
        <v>-15.730597582413065</v>
      </c>
      <c r="N104" s="1518">
        <f t="shared" si="70"/>
        <v>-42.649873433850125</v>
      </c>
      <c r="O104" s="1518">
        <f t="shared" si="70"/>
        <v>-2.9858909971062051</v>
      </c>
      <c r="P104" s="1518">
        <f t="shared" si="70"/>
        <v>-3.2264525592294064</v>
      </c>
      <c r="Q104" s="1518">
        <f t="shared" si="70"/>
        <v>-31.085128423417853</v>
      </c>
      <c r="R104" s="1418"/>
      <c r="S104" s="1418"/>
      <c r="T104" s="561"/>
      <c r="U104" s="561"/>
      <c r="V104" s="19"/>
      <c r="W104" s="19"/>
      <c r="AD104" s="561"/>
      <c r="AE104" s="561"/>
      <c r="AF104" s="561"/>
    </row>
    <row r="105" spans="2:32" ht="15" customHeight="1">
      <c r="C105" s="793" t="str">
        <f>IF(Indice_index!$Z$1=1,"Outras despesas de capital","Other capital expenditures")</f>
        <v>Outras despesas de capital</v>
      </c>
      <c r="D105" s="1418"/>
      <c r="E105" s="1551"/>
      <c r="F105" s="1418"/>
      <c r="G105" s="1518">
        <f t="shared" si="60"/>
        <v>-17.753818859999996</v>
      </c>
      <c r="H105" s="1518">
        <f t="shared" si="61"/>
        <v>70.741327560000002</v>
      </c>
      <c r="I105" s="1518">
        <f t="shared" si="62"/>
        <v>3.2492881248980341</v>
      </c>
      <c r="J105" s="1518">
        <f t="shared" si="63"/>
        <v>0</v>
      </c>
      <c r="K105" s="1518">
        <f t="shared" si="64"/>
        <v>56.236796824898036</v>
      </c>
      <c r="L105" s="1518"/>
      <c r="M105" s="1518">
        <f t="shared" si="70"/>
        <v>-76.537732221460402</v>
      </c>
      <c r="N105" s="1518">
        <f t="shared" si="70"/>
        <v>431.75332715937265</v>
      </c>
      <c r="O105" s="1518">
        <f t="shared" si="70"/>
        <v>43.827525144496079</v>
      </c>
      <c r="P105" s="1518" t="str">
        <f t="shared" si="70"/>
        <v>-</v>
      </c>
      <c r="Q105" s="1518">
        <f t="shared" si="70"/>
        <v>119.6664183724702</v>
      </c>
      <c r="R105" s="1418"/>
      <c r="S105" s="1418"/>
      <c r="T105" s="561"/>
      <c r="U105" s="561"/>
      <c r="V105" s="19"/>
      <c r="W105" s="19"/>
      <c r="AD105" s="561"/>
      <c r="AE105" s="561"/>
      <c r="AF105" s="561"/>
    </row>
    <row r="106" spans="2:32" ht="15" customHeight="1">
      <c r="B106" s="549"/>
      <c r="C106" s="793" t="str">
        <f>IF(Indice_index!$Z$1=1,"Diferenças de consolidação","Consolidation differences")</f>
        <v>Diferenças de consolidação</v>
      </c>
      <c r="D106" s="1418"/>
      <c r="E106" s="774"/>
      <c r="F106" s="1418"/>
      <c r="G106" s="1518">
        <f t="shared" si="60"/>
        <v>-0.46892534000000019</v>
      </c>
      <c r="H106" s="1518">
        <f t="shared" si="61"/>
        <v>34.073895789999838</v>
      </c>
      <c r="I106" s="1518">
        <f t="shared" si="62"/>
        <v>0.19863688000003776</v>
      </c>
      <c r="J106" s="1518">
        <f t="shared" si="63"/>
        <v>0</v>
      </c>
      <c r="K106" s="1518">
        <f t="shared" si="64"/>
        <v>-53.082060930000452</v>
      </c>
      <c r="L106" s="1518"/>
      <c r="M106" s="1546" t="s">
        <v>2</v>
      </c>
      <c r="N106" s="1546" t="s">
        <v>2</v>
      </c>
      <c r="O106" s="1546" t="s">
        <v>2</v>
      </c>
      <c r="P106" s="1546" t="s">
        <v>2</v>
      </c>
      <c r="Q106" s="1546" t="s">
        <v>2</v>
      </c>
      <c r="R106" s="1418"/>
      <c r="S106" s="1418"/>
      <c r="T106" s="561"/>
      <c r="U106" s="561"/>
      <c r="V106" s="19"/>
      <c r="W106" s="19"/>
      <c r="AD106" s="561"/>
      <c r="AE106" s="561"/>
      <c r="AF106" s="561"/>
    </row>
    <row r="107" spans="2:32" s="538" customFormat="1" ht="4.5" customHeight="1">
      <c r="C107" s="774"/>
      <c r="D107" s="318"/>
      <c r="E107" s="318"/>
      <c r="F107" s="318"/>
      <c r="G107" s="839"/>
      <c r="H107" s="839"/>
      <c r="I107" s="839"/>
      <c r="J107" s="839"/>
      <c r="K107" s="839"/>
      <c r="L107" s="839"/>
      <c r="M107" s="839"/>
      <c r="N107" s="839"/>
      <c r="O107" s="839"/>
      <c r="P107" s="839"/>
      <c r="Q107" s="839"/>
      <c r="R107" s="318"/>
      <c r="S107" s="1418"/>
      <c r="T107" s="560"/>
      <c r="U107" s="560"/>
      <c r="V107" s="539"/>
      <c r="W107" s="539"/>
      <c r="X107" s="539"/>
      <c r="Y107" s="539"/>
      <c r="Z107" s="539"/>
      <c r="AA107" s="539"/>
      <c r="AB107" s="539"/>
      <c r="AC107" s="539"/>
      <c r="AD107" s="560"/>
      <c r="AE107" s="560"/>
      <c r="AF107" s="560"/>
    </row>
    <row r="108" spans="2:32" ht="15" customHeight="1">
      <c r="B108" s="549"/>
      <c r="C108" s="1522" t="str">
        <f>IF(Indice_index!$Z$1=1,"Despesa efetiva","Effective expenditure")</f>
        <v>Despesa efetiva</v>
      </c>
      <c r="D108" s="1522"/>
      <c r="E108" s="1522"/>
      <c r="F108" s="1522"/>
      <c r="G108" s="1549">
        <f>M50-G50</f>
        <v>583.7399176200197</v>
      </c>
      <c r="H108" s="1549">
        <f>N50-H50</f>
        <v>370.60999790997448</v>
      </c>
      <c r="I108" s="1549">
        <f>O50-I50</f>
        <v>346.14924562293527</v>
      </c>
      <c r="J108" s="1549">
        <f>P50-J50</f>
        <v>-1027.1760094999954</v>
      </c>
      <c r="K108" s="1549">
        <f>Q50-K50</f>
        <v>180.78945797291817</v>
      </c>
      <c r="L108" s="1543"/>
      <c r="M108" s="1549">
        <f>IF(IFERROR((M50-G50)/G50*100,"")&gt;500,"-",IFERROR((M50-G50)/G50*100,""))</f>
        <v>1.403227525658469</v>
      </c>
      <c r="N108" s="1549">
        <f>IF(IFERROR((N50-H50)/H50*100,"")&gt;500,"-",IFERROR((N50-H50)/H50*100,""))</f>
        <v>1.4778164642338762</v>
      </c>
      <c r="O108" s="1549">
        <f>IF(IFERROR((O50-I50)/I50*100,"")&gt;500,"-",IFERROR((O50-I50)/I50*100,""))</f>
        <v>3.7843287129099505</v>
      </c>
      <c r="P108" s="1549">
        <f>IF(IFERROR((P50-J50)/J50*100,"")&gt;500,"-",IFERROR((P50-J50)/J50*100,""))</f>
        <v>-4.468087749512982</v>
      </c>
      <c r="Q108" s="1549">
        <f>IF(IFERROR((Q50-K50)/K50*100,"")&gt;500,"-",IFERROR((Q50-K50)/K50*100,""))</f>
        <v>0.25843322054232659</v>
      </c>
      <c r="R108" s="1522"/>
      <c r="S108" s="1418"/>
      <c r="T108" s="561"/>
      <c r="U108" s="561"/>
      <c r="V108" s="19"/>
      <c r="W108" s="19"/>
      <c r="AD108" s="561"/>
      <c r="AE108" s="561"/>
      <c r="AF108" s="561"/>
    </row>
    <row r="109" spans="2:32" s="538" customFormat="1" ht="4.5" customHeight="1">
      <c r="C109" s="318"/>
      <c r="D109" s="1552"/>
      <c r="E109" s="793"/>
      <c r="F109" s="1552"/>
      <c r="G109" s="1553"/>
      <c r="H109" s="1553"/>
      <c r="I109" s="1553"/>
      <c r="J109" s="1553"/>
      <c r="K109" s="1553"/>
      <c r="L109" s="1554"/>
      <c r="M109" s="1553"/>
      <c r="N109" s="1553"/>
      <c r="O109" s="1553"/>
      <c r="P109" s="1553"/>
      <c r="Q109" s="1553"/>
      <c r="R109" s="1552"/>
      <c r="S109" s="1418"/>
      <c r="T109" s="560"/>
      <c r="U109" s="560"/>
      <c r="V109" s="539"/>
      <c r="W109" s="539"/>
      <c r="X109" s="539"/>
      <c r="Y109" s="539"/>
      <c r="Z109" s="539"/>
      <c r="AA109" s="539"/>
      <c r="AB109" s="539"/>
      <c r="AC109" s="539"/>
      <c r="AD109" s="560"/>
      <c r="AE109" s="560"/>
      <c r="AF109" s="560"/>
    </row>
    <row r="110" spans="2:32" ht="15" customHeight="1">
      <c r="C110" s="1522" t="str">
        <f>IF(Indice_index!$Z$1=1,"Saldo global","Overall balance")</f>
        <v>Saldo global</v>
      </c>
      <c r="D110" s="1522"/>
      <c r="E110" s="1522"/>
      <c r="F110" s="1522"/>
      <c r="G110" s="1549">
        <f t="shared" ref="G110:K114" si="71">M52-G52</f>
        <v>6825.4878187599752</v>
      </c>
      <c r="H110" s="1549">
        <f t="shared" si="71"/>
        <v>378.41024866001317</v>
      </c>
      <c r="I110" s="1549">
        <f t="shared" si="71"/>
        <v>292.61264646497693</v>
      </c>
      <c r="J110" s="1549">
        <f t="shared" si="71"/>
        <v>2448.5905764999952</v>
      </c>
      <c r="K110" s="1549">
        <f t="shared" si="71"/>
        <v>9945.1012903849769</v>
      </c>
      <c r="L110" s="1543"/>
      <c r="M110" s="1549"/>
      <c r="N110" s="1549"/>
      <c r="O110" s="1549"/>
      <c r="P110" s="1549"/>
      <c r="Q110" s="1549"/>
      <c r="R110" s="1522"/>
      <c r="S110" s="1418"/>
      <c r="T110" s="561"/>
      <c r="U110" s="561"/>
      <c r="V110" s="19"/>
      <c r="W110" s="19"/>
      <c r="AD110" s="561"/>
      <c r="AE110" s="561"/>
      <c r="AF110" s="561"/>
    </row>
    <row r="111" spans="2:32" ht="15" customHeight="1">
      <c r="C111" s="748" t="str">
        <f>IF(Indice_index!$Z$1=1,"Despesa primária","Primary expenditure")</f>
        <v>Despesa primária</v>
      </c>
      <c r="D111" s="752"/>
      <c r="E111" s="748"/>
      <c r="F111" s="752"/>
      <c r="G111" s="842">
        <f t="shared" si="71"/>
        <v>957.09501315002126</v>
      </c>
      <c r="H111" s="842">
        <f t="shared" si="71"/>
        <v>546.66123182997399</v>
      </c>
      <c r="I111" s="842">
        <f t="shared" si="71"/>
        <v>324.03067207609456</v>
      </c>
      <c r="J111" s="842">
        <f t="shared" si="71"/>
        <v>-1027.4324883999943</v>
      </c>
      <c r="K111" s="842">
        <f t="shared" si="71"/>
        <v>623.99944394607155</v>
      </c>
      <c r="L111" s="842"/>
      <c r="M111" s="1518">
        <f>IF(IFERROR((M53-G53)/G53*100,"")&gt;500,"-",IFERROR((M53-G53)/G53*100,""))</f>
        <v>2.5729997563415359</v>
      </c>
      <c r="N111" s="1518">
        <f>IF(IFERROR((N53-H53)/H53*100,"")&gt;500,"-",IFERROR((N53-H53)/H53*100,""))</f>
        <v>2.2084722912567383</v>
      </c>
      <c r="O111" s="1518">
        <f>IF(IFERROR((O53-I53)/I53*100,"")&gt;500,"-",IFERROR((O53-I53)/I53*100,""))</f>
        <v>3.5848235800083104</v>
      </c>
      <c r="P111" s="1518">
        <f>IF(IFERROR((P53-J53)/J53*100,"")&gt;500,"-",IFERROR((P53-J53)/J53*100,""))</f>
        <v>-4.4701549278078394</v>
      </c>
      <c r="Q111" s="1518">
        <f>IF(IFERROR((Q53-K53)/K53*100,"")&gt;500,"-",IFERROR((Q53-K53)/K53*100,""))</f>
        <v>0.95633603160433234</v>
      </c>
      <c r="R111" s="1518"/>
      <c r="S111" s="1418"/>
      <c r="T111" s="561"/>
      <c r="U111" s="561"/>
      <c r="V111" s="19"/>
      <c r="W111" s="19"/>
      <c r="AD111" s="561"/>
      <c r="AE111" s="561"/>
      <c r="AF111" s="561"/>
    </row>
    <row r="112" spans="2:32" ht="15" customHeight="1">
      <c r="C112" s="748" t="str">
        <f>IF(Indice_index!$Z$1=1,"Saldo corrente","Current balance")</f>
        <v>Saldo corrente</v>
      </c>
      <c r="D112" s="752"/>
      <c r="E112" s="748"/>
      <c r="F112" s="752"/>
      <c r="G112" s="842">
        <f t="shared" si="71"/>
        <v>6117.0239916699793</v>
      </c>
      <c r="H112" s="842">
        <f t="shared" si="71"/>
        <v>388.61870340001406</v>
      </c>
      <c r="I112" s="842">
        <f t="shared" si="71"/>
        <v>365.27552373594244</v>
      </c>
      <c r="J112" s="842">
        <f t="shared" si="71"/>
        <v>2448.4435254499913</v>
      </c>
      <c r="K112" s="842">
        <f t="shared" si="71"/>
        <v>9319.3617442559407</v>
      </c>
      <c r="L112" s="842"/>
      <c r="M112" s="842"/>
      <c r="N112" s="842"/>
      <c r="O112" s="842"/>
      <c r="P112" s="842"/>
      <c r="Q112" s="842"/>
      <c r="R112" s="752"/>
      <c r="S112" s="1418"/>
      <c r="T112" s="561"/>
      <c r="U112" s="561"/>
      <c r="V112" s="19"/>
      <c r="W112" s="19"/>
      <c r="AD112" s="561"/>
      <c r="AE112" s="561"/>
      <c r="AF112" s="561"/>
    </row>
    <row r="113" spans="2:32" ht="15" customHeight="1">
      <c r="B113" s="20"/>
      <c r="C113" s="748" t="str">
        <f>IF(Indice_index!$Z$1=1,"Saldo de capital","Capital balance")</f>
        <v>Saldo de capital</v>
      </c>
      <c r="D113" s="179"/>
      <c r="E113" s="748"/>
      <c r="F113" s="179"/>
      <c r="G113" s="1518">
        <f t="shared" si="71"/>
        <v>708.46382709000045</v>
      </c>
      <c r="H113" s="1518">
        <f t="shared" si="71"/>
        <v>-10.208454740000661</v>
      </c>
      <c r="I113" s="1518">
        <f t="shared" si="71"/>
        <v>-72.662877270965055</v>
      </c>
      <c r="J113" s="1518">
        <f t="shared" si="71"/>
        <v>0.14705104999999463</v>
      </c>
      <c r="K113" s="1518">
        <f t="shared" si="71"/>
        <v>625.73954612903481</v>
      </c>
      <c r="L113" s="1518"/>
      <c r="M113" s="1518"/>
      <c r="N113" s="1518"/>
      <c r="O113" s="1518"/>
      <c r="P113" s="1518"/>
      <c r="Q113" s="1518"/>
      <c r="R113" s="179"/>
      <c r="S113" s="1418"/>
      <c r="T113" s="561"/>
      <c r="U113" s="561"/>
      <c r="V113" s="19"/>
      <c r="W113" s="19"/>
      <c r="AD113" s="561"/>
      <c r="AE113" s="561"/>
      <c r="AF113" s="561"/>
    </row>
    <row r="114" spans="2:32" ht="15" customHeight="1">
      <c r="C114" s="1555" t="str">
        <f>IF(Indice_index!$Z$1=1,"Saldo primário","Primary balance")</f>
        <v>Saldo primário</v>
      </c>
      <c r="D114" s="1529"/>
      <c r="E114" s="1555"/>
      <c r="F114" s="1529"/>
      <c r="G114" s="1529">
        <f t="shared" si="71"/>
        <v>6452.1327232299736</v>
      </c>
      <c r="H114" s="1529">
        <f t="shared" si="71"/>
        <v>202.35901474001366</v>
      </c>
      <c r="I114" s="1529">
        <f t="shared" si="71"/>
        <v>314.73122001181764</v>
      </c>
      <c r="J114" s="1529">
        <f t="shared" si="71"/>
        <v>2448.8470553999941</v>
      </c>
      <c r="K114" s="1529">
        <f t="shared" si="71"/>
        <v>9501.8913044118235</v>
      </c>
      <c r="L114" s="1529"/>
      <c r="M114" s="1529"/>
      <c r="N114" s="1529"/>
      <c r="O114" s="1529"/>
      <c r="P114" s="1529"/>
      <c r="Q114" s="1529"/>
      <c r="R114" s="1529"/>
      <c r="S114" s="1418"/>
      <c r="T114" s="561"/>
      <c r="U114" s="561"/>
      <c r="V114" s="19"/>
      <c r="W114" s="19"/>
      <c r="AD114" s="561"/>
      <c r="AE114" s="561"/>
      <c r="AF114" s="561"/>
    </row>
    <row r="115" spans="2:32" ht="4.5" customHeight="1">
      <c r="C115" s="1646"/>
      <c r="D115" s="1646"/>
      <c r="E115" s="1646"/>
      <c r="F115" s="1646"/>
      <c r="G115" s="1646"/>
      <c r="H115" s="1646"/>
      <c r="I115" s="1646"/>
      <c r="J115" s="1646"/>
      <c r="K115" s="1646"/>
      <c r="L115" s="1646"/>
      <c r="M115" s="1646"/>
      <c r="N115" s="1646"/>
      <c r="O115" s="1646"/>
      <c r="P115" s="1646"/>
      <c r="Q115" s="1646"/>
      <c r="R115" s="1530"/>
      <c r="S115" s="1418"/>
      <c r="X115" s="17"/>
      <c r="Y115" s="17"/>
      <c r="Z115" s="17"/>
      <c r="AA115" s="17"/>
      <c r="AB115" s="17"/>
      <c r="AC115" s="17"/>
      <c r="AD115" s="541"/>
      <c r="AE115" s="541"/>
    </row>
    <row r="116" spans="2:32" ht="15" customHeight="1">
      <c r="C116" s="1556" t="str">
        <f>IF(Indice_index!$Z$1=1,"Fonte: Direção-Geral do Orçamento","Source: Budget General Directorate")</f>
        <v>Fonte: Direção-Geral do Orçamento</v>
      </c>
      <c r="D116" s="1557"/>
      <c r="E116" s="1556"/>
      <c r="F116" s="1557"/>
      <c r="G116" s="1516"/>
      <c r="H116" s="1516"/>
      <c r="I116" s="1516"/>
      <c r="J116" s="1516"/>
      <c r="K116" s="1516"/>
      <c r="L116" s="1533"/>
      <c r="M116" s="1516"/>
      <c r="N116" s="1516"/>
      <c r="O116" s="1516"/>
      <c r="P116" s="1516"/>
      <c r="Q116" s="1516"/>
      <c r="R116" s="1557"/>
      <c r="S116" s="1418"/>
      <c r="V116" s="19"/>
      <c r="W116" s="19"/>
      <c r="AD116" s="17"/>
      <c r="AE116" s="17"/>
    </row>
    <row r="117" spans="2:32">
      <c r="C117" s="1532"/>
      <c r="D117" s="1516"/>
      <c r="E117" s="1532"/>
      <c r="F117" s="1516"/>
      <c r="G117" s="1558"/>
      <c r="H117" s="1558"/>
      <c r="I117" s="1558"/>
      <c r="J117" s="1558"/>
      <c r="K117" s="1558"/>
      <c r="L117" s="1533"/>
      <c r="M117" s="1559"/>
      <c r="N117" s="1559"/>
      <c r="O117" s="1559"/>
      <c r="P117" s="1559"/>
      <c r="Q117" s="1559"/>
      <c r="R117" s="1516"/>
      <c r="S117" s="1418"/>
      <c r="V117" s="19"/>
      <c r="W117" s="19"/>
      <c r="AD117" s="17"/>
      <c r="AE117" s="17"/>
    </row>
    <row r="118" spans="2:32">
      <c r="C118" s="1516"/>
      <c r="D118" s="1516"/>
      <c r="E118" s="1516"/>
      <c r="F118" s="1516"/>
      <c r="G118" s="1558"/>
      <c r="H118" s="1558"/>
      <c r="I118" s="1558"/>
      <c r="J118" s="1558"/>
      <c r="K118" s="1558"/>
      <c r="L118" s="1533"/>
      <c r="M118" s="1559"/>
      <c r="N118" s="1559"/>
      <c r="O118" s="1559"/>
      <c r="P118" s="1559"/>
      <c r="Q118" s="1559"/>
      <c r="R118" s="1516"/>
      <c r="S118" s="1418"/>
      <c r="V118" s="19"/>
      <c r="W118" s="19"/>
      <c r="AD118" s="17"/>
      <c r="AE118" s="17"/>
    </row>
    <row r="119" spans="2:32" ht="13">
      <c r="G119" s="562"/>
      <c r="H119" s="562"/>
      <c r="I119" s="562"/>
      <c r="J119" s="562"/>
      <c r="K119" s="562"/>
      <c r="L119" s="650"/>
      <c r="M119" s="649"/>
      <c r="N119" s="649"/>
      <c r="O119" s="649"/>
      <c r="P119" s="649"/>
      <c r="Q119" s="649"/>
      <c r="S119" s="648"/>
      <c r="V119" s="19"/>
      <c r="W119" s="19"/>
      <c r="AD119" s="17"/>
      <c r="AE119" s="17"/>
    </row>
    <row r="120" spans="2:32" ht="13">
      <c r="G120" s="562"/>
      <c r="H120" s="562"/>
      <c r="I120" s="562"/>
      <c r="J120" s="562"/>
      <c r="K120" s="562"/>
      <c r="L120" s="650"/>
      <c r="M120" s="649"/>
      <c r="N120" s="649"/>
      <c r="O120" s="649"/>
      <c r="P120" s="649"/>
      <c r="Q120" s="649"/>
      <c r="S120" s="648"/>
      <c r="V120" s="19"/>
      <c r="W120" s="19"/>
      <c r="AD120" s="17"/>
      <c r="AE120" s="17"/>
    </row>
    <row r="121" spans="2:32" ht="13">
      <c r="G121" s="562"/>
      <c r="H121" s="562"/>
      <c r="I121" s="562"/>
      <c r="J121" s="562"/>
      <c r="K121" s="562"/>
      <c r="L121" s="650"/>
      <c r="M121" s="649"/>
      <c r="N121" s="649"/>
      <c r="O121" s="649"/>
      <c r="P121" s="649"/>
      <c r="Q121" s="649"/>
      <c r="S121" s="648"/>
      <c r="V121" s="19"/>
      <c r="W121" s="19"/>
      <c r="AD121" s="17"/>
      <c r="AE121" s="17"/>
    </row>
    <row r="122" spans="2:32" ht="13">
      <c r="G122" s="562"/>
      <c r="H122" s="562"/>
      <c r="I122" s="562"/>
      <c r="J122" s="562"/>
      <c r="K122" s="562"/>
      <c r="L122" s="650"/>
      <c r="M122" s="649"/>
      <c r="N122" s="649"/>
      <c r="O122" s="649"/>
      <c r="P122" s="649"/>
      <c r="Q122" s="649"/>
      <c r="S122" s="648"/>
      <c r="V122" s="19"/>
      <c r="W122" s="19"/>
      <c r="AD122" s="17"/>
      <c r="AE122" s="17"/>
    </row>
    <row r="123" spans="2:32" ht="13">
      <c r="G123" s="562"/>
      <c r="H123" s="562"/>
      <c r="I123" s="562"/>
      <c r="J123" s="562"/>
      <c r="K123" s="562"/>
      <c r="L123" s="650"/>
      <c r="M123" s="649"/>
      <c r="N123" s="649"/>
      <c r="O123" s="649"/>
      <c r="P123" s="649"/>
      <c r="Q123" s="649"/>
      <c r="S123" s="648"/>
      <c r="V123" s="19"/>
      <c r="W123" s="19"/>
      <c r="AD123" s="17"/>
      <c r="AE123" s="17"/>
    </row>
    <row r="124" spans="2:32" ht="13">
      <c r="G124" s="562"/>
      <c r="H124" s="562"/>
      <c r="I124" s="562"/>
      <c r="J124" s="562"/>
      <c r="K124" s="562"/>
      <c r="L124" s="650"/>
      <c r="M124" s="649"/>
      <c r="N124" s="649"/>
      <c r="O124" s="649"/>
      <c r="P124" s="649"/>
      <c r="Q124" s="649"/>
      <c r="S124" s="648"/>
      <c r="V124" s="19"/>
      <c r="W124" s="19"/>
      <c r="AD124" s="17"/>
      <c r="AE124" s="17"/>
    </row>
    <row r="125" spans="2:32">
      <c r="G125" s="562"/>
      <c r="H125" s="562"/>
      <c r="I125" s="562"/>
      <c r="J125" s="562"/>
      <c r="K125" s="562"/>
      <c r="M125" s="649"/>
      <c r="N125" s="649"/>
      <c r="O125" s="649"/>
      <c r="P125" s="649"/>
      <c r="Q125" s="649"/>
      <c r="S125" s="648"/>
      <c r="V125" s="19"/>
      <c r="W125" s="19"/>
      <c r="AD125" s="17"/>
      <c r="AE125" s="17"/>
    </row>
    <row r="126" spans="2:32">
      <c r="G126" s="562"/>
      <c r="H126" s="562"/>
      <c r="I126" s="562"/>
      <c r="J126" s="562"/>
      <c r="K126" s="562"/>
      <c r="M126" s="649"/>
      <c r="N126" s="649"/>
      <c r="O126" s="649"/>
      <c r="P126" s="649"/>
      <c r="Q126" s="649"/>
      <c r="S126" s="648"/>
      <c r="V126" s="19"/>
      <c r="W126" s="19"/>
      <c r="AD126" s="17"/>
      <c r="AE126" s="17"/>
    </row>
    <row r="127" spans="2:32">
      <c r="G127" s="562"/>
      <c r="H127" s="562"/>
      <c r="I127" s="562"/>
      <c r="J127" s="562"/>
      <c r="K127" s="562"/>
      <c r="M127" s="649"/>
      <c r="N127" s="649"/>
      <c r="O127" s="649"/>
      <c r="P127" s="649"/>
      <c r="Q127" s="649"/>
      <c r="S127" s="648"/>
      <c r="V127" s="19"/>
      <c r="W127" s="19"/>
      <c r="AD127" s="17"/>
      <c r="AE127" s="17"/>
    </row>
    <row r="128" spans="2:32">
      <c r="G128" s="562"/>
      <c r="H128" s="562"/>
      <c r="I128" s="562"/>
      <c r="J128" s="562"/>
      <c r="K128" s="562"/>
      <c r="M128" s="649"/>
      <c r="N128" s="649"/>
      <c r="O128" s="649"/>
      <c r="P128" s="649"/>
      <c r="Q128" s="649"/>
      <c r="S128" s="648"/>
      <c r="V128" s="19"/>
      <c r="W128" s="19"/>
      <c r="AD128" s="17"/>
      <c r="AE128" s="17"/>
    </row>
    <row r="129" spans="7:31">
      <c r="G129" s="562"/>
      <c r="H129" s="562"/>
      <c r="I129" s="562"/>
      <c r="J129" s="562"/>
      <c r="K129" s="562"/>
      <c r="M129" s="649"/>
      <c r="N129" s="649"/>
      <c r="O129" s="649"/>
      <c r="P129" s="649"/>
      <c r="Q129" s="649"/>
      <c r="S129" s="648"/>
      <c r="V129" s="19"/>
      <c r="W129" s="19"/>
      <c r="AD129" s="17"/>
      <c r="AE129" s="17"/>
    </row>
    <row r="130" spans="7:31">
      <c r="G130" s="562"/>
      <c r="H130" s="562"/>
      <c r="I130" s="562"/>
      <c r="J130" s="562"/>
      <c r="K130" s="562"/>
      <c r="M130" s="649"/>
      <c r="N130" s="649"/>
      <c r="O130" s="649"/>
      <c r="P130" s="649"/>
      <c r="Q130" s="649"/>
      <c r="S130" s="648"/>
      <c r="V130" s="19"/>
      <c r="W130" s="19"/>
      <c r="AD130" s="17"/>
      <c r="AE130" s="17"/>
    </row>
    <row r="131" spans="7:31">
      <c r="G131" s="562"/>
      <c r="H131" s="562"/>
      <c r="I131" s="562"/>
      <c r="J131" s="562"/>
      <c r="K131" s="562"/>
      <c r="M131" s="649"/>
      <c r="N131" s="649"/>
      <c r="O131" s="649"/>
      <c r="P131" s="649"/>
      <c r="Q131" s="649"/>
      <c r="S131" s="648"/>
      <c r="V131" s="19"/>
      <c r="W131" s="19"/>
      <c r="AD131" s="17"/>
      <c r="AE131" s="17"/>
    </row>
    <row r="132" spans="7:31">
      <c r="G132" s="562"/>
      <c r="H132" s="562"/>
      <c r="I132" s="562"/>
      <c r="J132" s="562"/>
      <c r="K132" s="562"/>
      <c r="M132" s="649"/>
      <c r="N132" s="649"/>
      <c r="O132" s="649"/>
      <c r="P132" s="649"/>
      <c r="Q132" s="649"/>
      <c r="S132" s="648"/>
      <c r="V132" s="19"/>
      <c r="W132" s="19"/>
      <c r="AD132" s="17"/>
      <c r="AE132" s="17"/>
    </row>
    <row r="133" spans="7:31">
      <c r="G133" s="562"/>
      <c r="H133" s="562"/>
      <c r="I133" s="562"/>
      <c r="J133" s="562"/>
      <c r="K133" s="562"/>
      <c r="M133" s="649"/>
      <c r="N133" s="649"/>
      <c r="O133" s="649"/>
      <c r="P133" s="649"/>
      <c r="Q133" s="649"/>
      <c r="S133" s="648"/>
      <c r="V133" s="19"/>
      <c r="W133" s="19"/>
      <c r="AD133" s="17"/>
      <c r="AE133" s="17"/>
    </row>
    <row r="134" spans="7:31">
      <c r="G134" s="562"/>
      <c r="H134" s="562"/>
      <c r="I134" s="562"/>
      <c r="J134" s="562"/>
      <c r="K134" s="562"/>
      <c r="M134" s="649"/>
      <c r="N134" s="649"/>
      <c r="O134" s="649"/>
      <c r="P134" s="649"/>
      <c r="Q134" s="649"/>
      <c r="S134" s="648"/>
      <c r="V134" s="19"/>
      <c r="W134" s="19"/>
      <c r="AD134" s="17"/>
      <c r="AE134" s="17"/>
    </row>
    <row r="135" spans="7:31">
      <c r="G135" s="562"/>
      <c r="H135" s="562"/>
      <c r="I135" s="562"/>
      <c r="J135" s="562"/>
      <c r="K135" s="562"/>
      <c r="M135" s="649"/>
      <c r="N135" s="649"/>
      <c r="O135" s="649"/>
      <c r="P135" s="649"/>
      <c r="Q135" s="649"/>
      <c r="S135" s="648"/>
      <c r="V135" s="19"/>
      <c r="W135" s="19"/>
      <c r="AD135" s="17"/>
      <c r="AE135" s="17"/>
    </row>
    <row r="136" spans="7:31">
      <c r="G136" s="562"/>
      <c r="H136" s="562"/>
      <c r="I136" s="562"/>
      <c r="J136" s="562"/>
      <c r="K136" s="562"/>
      <c r="M136" s="649"/>
      <c r="N136" s="649"/>
      <c r="O136" s="649"/>
      <c r="P136" s="649"/>
      <c r="Q136" s="649"/>
      <c r="S136" s="648"/>
      <c r="V136" s="19"/>
      <c r="W136" s="19"/>
      <c r="AD136" s="17"/>
      <c r="AE136" s="17"/>
    </row>
    <row r="137" spans="7:31">
      <c r="G137" s="562"/>
      <c r="H137" s="562"/>
      <c r="I137" s="562"/>
      <c r="J137" s="562"/>
      <c r="K137" s="562"/>
      <c r="M137" s="649"/>
      <c r="N137" s="649"/>
      <c r="O137" s="649"/>
      <c r="P137" s="649"/>
      <c r="Q137" s="649"/>
      <c r="S137" s="648"/>
      <c r="V137" s="19"/>
      <c r="W137" s="19"/>
      <c r="AD137" s="17"/>
      <c r="AE137" s="17"/>
    </row>
    <row r="138" spans="7:31">
      <c r="G138" s="562"/>
      <c r="H138" s="562"/>
      <c r="I138" s="562"/>
      <c r="J138" s="562"/>
      <c r="K138" s="562"/>
      <c r="M138" s="649"/>
      <c r="N138" s="649"/>
      <c r="O138" s="649"/>
      <c r="P138" s="649"/>
      <c r="Q138" s="649"/>
      <c r="S138" s="648"/>
      <c r="V138" s="19"/>
      <c r="W138" s="19"/>
      <c r="AD138" s="17"/>
      <c r="AE138" s="17"/>
    </row>
    <row r="139" spans="7:31">
      <c r="G139" s="562"/>
      <c r="H139" s="562"/>
      <c r="I139" s="562"/>
      <c r="J139" s="562"/>
      <c r="K139" s="562"/>
      <c r="M139" s="649"/>
      <c r="N139" s="649"/>
      <c r="O139" s="649"/>
      <c r="P139" s="649"/>
      <c r="Q139" s="649"/>
      <c r="S139" s="648"/>
      <c r="V139" s="19"/>
      <c r="W139" s="19"/>
      <c r="AD139" s="17"/>
      <c r="AE139" s="17"/>
    </row>
    <row r="140" spans="7:31">
      <c r="G140" s="562"/>
      <c r="H140" s="562"/>
      <c r="I140" s="562"/>
      <c r="J140" s="562"/>
      <c r="K140" s="562"/>
      <c r="M140" s="649"/>
      <c r="N140" s="649"/>
      <c r="O140" s="649"/>
      <c r="P140" s="649"/>
      <c r="Q140" s="649"/>
      <c r="S140" s="648"/>
      <c r="V140" s="19"/>
      <c r="W140" s="19"/>
      <c r="AD140" s="17"/>
      <c r="AE140" s="17"/>
    </row>
    <row r="141" spans="7:31">
      <c r="G141" s="562"/>
      <c r="H141" s="562"/>
      <c r="I141" s="562"/>
      <c r="J141" s="562"/>
      <c r="K141" s="562"/>
      <c r="M141" s="649"/>
      <c r="N141" s="649"/>
      <c r="O141" s="649"/>
      <c r="P141" s="649"/>
      <c r="Q141" s="649"/>
      <c r="S141" s="648"/>
      <c r="V141" s="19"/>
      <c r="W141" s="19"/>
      <c r="AD141" s="17"/>
      <c r="AE141" s="17"/>
    </row>
    <row r="142" spans="7:31">
      <c r="G142" s="562"/>
      <c r="H142" s="562"/>
      <c r="I142" s="562"/>
      <c r="J142" s="562"/>
      <c r="K142" s="562"/>
      <c r="M142" s="649"/>
      <c r="N142" s="649"/>
      <c r="O142" s="649"/>
      <c r="P142" s="649"/>
      <c r="Q142" s="649"/>
      <c r="S142" s="648"/>
      <c r="V142" s="19"/>
      <c r="W142" s="19"/>
      <c r="AD142" s="17"/>
      <c r="AE142" s="17"/>
    </row>
    <row r="143" spans="7:31">
      <c r="G143" s="562"/>
      <c r="H143" s="562"/>
      <c r="I143" s="562"/>
      <c r="J143" s="562"/>
      <c r="K143" s="562"/>
      <c r="M143" s="649"/>
      <c r="N143" s="649"/>
      <c r="O143" s="649"/>
      <c r="P143" s="649"/>
      <c r="Q143" s="649"/>
      <c r="S143" s="648"/>
      <c r="V143" s="19"/>
      <c r="W143" s="19"/>
      <c r="AD143" s="17"/>
      <c r="AE143" s="17"/>
    </row>
    <row r="144" spans="7:31">
      <c r="G144" s="562"/>
      <c r="H144" s="562"/>
      <c r="I144" s="562"/>
      <c r="J144" s="562"/>
      <c r="K144" s="562"/>
      <c r="M144" s="649"/>
      <c r="N144" s="649"/>
      <c r="O144" s="649"/>
      <c r="P144" s="649"/>
      <c r="Q144" s="649"/>
      <c r="S144" s="648"/>
      <c r="V144" s="19"/>
      <c r="W144" s="19"/>
      <c r="AD144" s="17"/>
      <c r="AE144" s="17"/>
    </row>
    <row r="145" spans="7:31">
      <c r="G145" s="562"/>
      <c r="H145" s="562"/>
      <c r="I145" s="562"/>
      <c r="J145" s="562"/>
      <c r="K145" s="562"/>
      <c r="M145" s="649"/>
      <c r="N145" s="649"/>
      <c r="O145" s="649"/>
      <c r="P145" s="649"/>
      <c r="Q145" s="649"/>
      <c r="S145" s="648"/>
      <c r="V145" s="19"/>
      <c r="W145" s="19"/>
      <c r="AD145" s="17"/>
      <c r="AE145" s="17"/>
    </row>
    <row r="146" spans="7:31">
      <c r="G146" s="562"/>
      <c r="H146" s="562"/>
      <c r="I146" s="562"/>
      <c r="J146" s="562"/>
      <c r="K146" s="562"/>
      <c r="M146" s="649"/>
      <c r="N146" s="649"/>
      <c r="O146" s="649"/>
      <c r="P146" s="649"/>
      <c r="Q146" s="649"/>
      <c r="S146" s="648"/>
      <c r="V146" s="19"/>
      <c r="W146" s="19"/>
      <c r="AD146" s="17"/>
      <c r="AE146" s="17"/>
    </row>
    <row r="147" spans="7:31">
      <c r="G147" s="562"/>
      <c r="H147" s="562"/>
      <c r="I147" s="562"/>
      <c r="J147" s="562"/>
      <c r="K147" s="562"/>
      <c r="S147" s="648"/>
      <c r="V147" s="19"/>
      <c r="W147" s="19"/>
      <c r="AD147" s="17"/>
      <c r="AE147" s="17"/>
    </row>
    <row r="148" spans="7:31">
      <c r="G148" s="562"/>
      <c r="H148" s="562"/>
      <c r="I148" s="562"/>
      <c r="J148" s="562"/>
      <c r="K148" s="562"/>
      <c r="S148" s="648"/>
      <c r="V148" s="19"/>
      <c r="W148" s="19"/>
      <c r="AD148" s="17"/>
      <c r="AE148" s="17"/>
    </row>
    <row r="149" spans="7:31">
      <c r="G149" s="562"/>
      <c r="H149" s="562"/>
      <c r="I149" s="562"/>
      <c r="J149" s="562"/>
      <c r="K149" s="562"/>
      <c r="S149" s="648"/>
      <c r="V149" s="19"/>
      <c r="W149" s="19"/>
      <c r="AD149" s="17"/>
      <c r="AE149" s="17"/>
    </row>
    <row r="150" spans="7:31">
      <c r="G150" s="562"/>
      <c r="H150" s="562"/>
      <c r="I150" s="562"/>
      <c r="J150" s="562"/>
      <c r="K150" s="562"/>
      <c r="S150" s="648"/>
      <c r="V150" s="19"/>
      <c r="W150" s="19"/>
      <c r="AD150" s="17"/>
      <c r="AE150" s="17"/>
    </row>
    <row r="151" spans="7:31">
      <c r="G151" s="562"/>
      <c r="H151" s="562"/>
      <c r="I151" s="562"/>
      <c r="J151" s="562"/>
      <c r="K151" s="562"/>
      <c r="S151" s="648"/>
      <c r="V151" s="19"/>
      <c r="W151" s="19"/>
      <c r="AD151" s="17"/>
      <c r="AE151" s="17"/>
    </row>
    <row r="152" spans="7:31">
      <c r="G152" s="562"/>
      <c r="H152" s="562"/>
      <c r="I152" s="562"/>
      <c r="J152" s="562"/>
      <c r="K152" s="562"/>
      <c r="S152" s="648"/>
      <c r="V152" s="19"/>
      <c r="W152" s="19"/>
      <c r="AD152" s="17"/>
      <c r="AE152" s="17"/>
    </row>
    <row r="153" spans="7:31">
      <c r="G153" s="562"/>
      <c r="H153" s="562"/>
      <c r="I153" s="562"/>
      <c r="J153" s="562"/>
      <c r="K153" s="562"/>
      <c r="S153" s="648"/>
      <c r="V153" s="19"/>
      <c r="W153" s="19"/>
      <c r="AD153" s="17"/>
      <c r="AE153" s="17"/>
    </row>
    <row r="154" spans="7:31">
      <c r="G154" s="562"/>
      <c r="H154" s="562"/>
      <c r="I154" s="562"/>
      <c r="J154" s="562"/>
      <c r="K154" s="562"/>
      <c r="S154" s="648"/>
      <c r="V154" s="19"/>
      <c r="W154" s="19"/>
      <c r="AD154" s="17"/>
      <c r="AE154" s="17"/>
    </row>
    <row r="155" spans="7:31">
      <c r="G155" s="562"/>
      <c r="H155" s="562"/>
      <c r="I155" s="562"/>
      <c r="J155" s="562"/>
      <c r="K155" s="562"/>
      <c r="S155" s="648"/>
      <c r="V155" s="19"/>
      <c r="W155" s="19"/>
      <c r="AD155" s="17"/>
      <c r="AE155" s="17"/>
    </row>
    <row r="156" spans="7:31">
      <c r="G156" s="562"/>
      <c r="H156" s="562"/>
      <c r="I156" s="562"/>
      <c r="J156" s="562"/>
      <c r="K156" s="562"/>
      <c r="S156" s="648"/>
      <c r="V156" s="19"/>
      <c r="W156" s="19"/>
      <c r="AD156" s="17"/>
      <c r="AE156" s="17"/>
    </row>
    <row r="157" spans="7:31">
      <c r="G157" s="562"/>
      <c r="H157" s="562"/>
      <c r="I157" s="562"/>
      <c r="J157" s="562"/>
      <c r="K157" s="562"/>
      <c r="S157" s="648"/>
      <c r="V157" s="19"/>
      <c r="W157" s="19"/>
      <c r="AD157" s="17"/>
      <c r="AE157" s="17"/>
    </row>
    <row r="158" spans="7:31">
      <c r="G158" s="562"/>
      <c r="H158" s="562"/>
      <c r="I158" s="562"/>
      <c r="J158" s="562"/>
      <c r="K158" s="562"/>
      <c r="S158" s="648"/>
      <c r="V158" s="19"/>
      <c r="W158" s="19"/>
      <c r="AD158" s="17"/>
      <c r="AE158" s="17"/>
    </row>
    <row r="159" spans="7:31">
      <c r="G159" s="562"/>
      <c r="H159" s="562"/>
      <c r="I159" s="562"/>
      <c r="J159" s="562"/>
      <c r="K159" s="562"/>
      <c r="S159" s="648"/>
      <c r="V159" s="19"/>
      <c r="W159" s="19"/>
      <c r="AD159" s="17"/>
      <c r="AE159" s="17"/>
    </row>
    <row r="160" spans="7:31">
      <c r="G160" s="562"/>
      <c r="H160" s="562"/>
      <c r="I160" s="562"/>
      <c r="J160" s="562"/>
      <c r="K160" s="562"/>
      <c r="S160" s="648"/>
      <c r="V160" s="19"/>
      <c r="W160" s="19"/>
      <c r="AD160" s="17"/>
      <c r="AE160" s="17"/>
    </row>
    <row r="161" spans="7:31">
      <c r="S161" s="648"/>
      <c r="V161" s="19"/>
      <c r="W161" s="19"/>
      <c r="AD161" s="17"/>
      <c r="AE161" s="17"/>
    </row>
    <row r="162" spans="7:31">
      <c r="G162" s="562"/>
      <c r="H162" s="562"/>
      <c r="I162" s="562"/>
      <c r="J162" s="562"/>
      <c r="K162" s="562"/>
      <c r="S162" s="648"/>
      <c r="V162" s="19"/>
      <c r="W162" s="19"/>
      <c r="AD162" s="17"/>
      <c r="AE162" s="17"/>
    </row>
    <row r="163" spans="7:31">
      <c r="G163" s="562"/>
      <c r="H163" s="562"/>
      <c r="I163" s="562"/>
      <c r="J163" s="562"/>
      <c r="K163" s="562"/>
      <c r="S163" s="648"/>
      <c r="V163" s="19"/>
      <c r="W163" s="19"/>
      <c r="AD163" s="17"/>
      <c r="AE163" s="17"/>
    </row>
    <row r="164" spans="7:31">
      <c r="G164" s="562"/>
      <c r="H164" s="562"/>
      <c r="I164" s="562"/>
      <c r="J164" s="562"/>
      <c r="K164" s="562"/>
      <c r="S164" s="648"/>
      <c r="V164" s="19"/>
      <c r="W164" s="19"/>
      <c r="AD164" s="17"/>
      <c r="AE164" s="17"/>
    </row>
    <row r="165" spans="7:31">
      <c r="G165" s="562"/>
      <c r="H165" s="562"/>
      <c r="I165" s="562"/>
      <c r="J165" s="562"/>
      <c r="K165" s="562"/>
      <c r="S165" s="648"/>
      <c r="V165" s="19"/>
      <c r="W165" s="19"/>
      <c r="AD165" s="17"/>
      <c r="AE165" s="17"/>
    </row>
    <row r="166" spans="7:31">
      <c r="G166" s="562"/>
      <c r="H166" s="562"/>
      <c r="I166" s="562"/>
      <c r="J166" s="562"/>
      <c r="K166" s="562"/>
      <c r="S166" s="648"/>
      <c r="V166" s="19"/>
      <c r="W166" s="19"/>
      <c r="AD166" s="17"/>
      <c r="AE166" s="17"/>
    </row>
    <row r="167" spans="7:31">
      <c r="G167" s="562"/>
      <c r="H167" s="562"/>
      <c r="I167" s="562"/>
      <c r="J167" s="562"/>
      <c r="K167" s="562"/>
      <c r="S167" s="648"/>
      <c r="V167" s="19"/>
      <c r="W167" s="19"/>
      <c r="AD167" s="17"/>
      <c r="AE167" s="17"/>
    </row>
    <row r="168" spans="7:31">
      <c r="G168" s="562"/>
      <c r="H168" s="562"/>
      <c r="I168" s="562"/>
      <c r="J168" s="562"/>
      <c r="K168" s="562"/>
      <c r="S168" s="648"/>
      <c r="V168" s="19"/>
      <c r="W168" s="19"/>
      <c r="AD168" s="17"/>
      <c r="AE168" s="17"/>
    </row>
    <row r="169" spans="7:31">
      <c r="G169" s="562"/>
      <c r="H169" s="562"/>
      <c r="I169" s="562"/>
      <c r="J169" s="562"/>
      <c r="K169" s="562"/>
      <c r="S169" s="648"/>
      <c r="V169" s="19"/>
      <c r="W169" s="19"/>
      <c r="AD169" s="17"/>
      <c r="AE169" s="17"/>
    </row>
    <row r="170" spans="7:31">
      <c r="G170" s="562"/>
      <c r="H170" s="562"/>
      <c r="I170" s="562"/>
      <c r="J170" s="562"/>
      <c r="K170" s="562"/>
      <c r="S170" s="648"/>
      <c r="V170" s="19"/>
      <c r="W170" s="19"/>
      <c r="AD170" s="17"/>
      <c r="AE170" s="17"/>
    </row>
    <row r="171" spans="7:31">
      <c r="G171" s="562"/>
      <c r="H171" s="562"/>
      <c r="I171" s="562"/>
      <c r="J171" s="562"/>
      <c r="K171" s="562"/>
      <c r="S171" s="648"/>
      <c r="V171" s="19"/>
      <c r="W171" s="19"/>
      <c r="AD171" s="17"/>
      <c r="AE171" s="17"/>
    </row>
    <row r="172" spans="7:31">
      <c r="G172" s="562"/>
      <c r="H172" s="562"/>
      <c r="I172" s="562"/>
      <c r="J172" s="562"/>
      <c r="K172" s="562"/>
      <c r="S172" s="648"/>
      <c r="V172" s="19"/>
      <c r="W172" s="19"/>
      <c r="AD172" s="17"/>
      <c r="AE172" s="17"/>
    </row>
    <row r="173" spans="7:31">
      <c r="G173" s="562"/>
      <c r="H173" s="562"/>
      <c r="I173" s="562"/>
      <c r="J173" s="562"/>
      <c r="K173" s="562"/>
      <c r="S173" s="648"/>
      <c r="V173" s="19"/>
      <c r="W173" s="19"/>
      <c r="AD173" s="17"/>
      <c r="AE173" s="17"/>
    </row>
    <row r="174" spans="7:31">
      <c r="G174" s="562"/>
      <c r="H174" s="562"/>
      <c r="I174" s="562"/>
      <c r="J174" s="562"/>
      <c r="K174" s="562"/>
      <c r="S174" s="648"/>
      <c r="V174" s="19"/>
      <c r="W174" s="19"/>
      <c r="AD174" s="17"/>
      <c r="AE174" s="17"/>
    </row>
    <row r="175" spans="7:31">
      <c r="G175" s="562"/>
      <c r="H175" s="562"/>
      <c r="I175" s="562"/>
      <c r="J175" s="562"/>
      <c r="K175" s="562"/>
      <c r="S175" s="648"/>
      <c r="V175" s="19"/>
      <c r="W175" s="19"/>
      <c r="AD175" s="17"/>
      <c r="AE175" s="17"/>
    </row>
    <row r="176" spans="7:31">
      <c r="S176" s="648"/>
      <c r="V176" s="19"/>
      <c r="W176" s="19"/>
      <c r="AD176" s="17"/>
      <c r="AE176" s="17"/>
    </row>
    <row r="177" spans="19:31">
      <c r="S177" s="648"/>
      <c r="V177" s="19"/>
      <c r="W177" s="19"/>
      <c r="AD177" s="17"/>
      <c r="AE177" s="17"/>
    </row>
    <row r="178" spans="19:31">
      <c r="S178" s="648"/>
      <c r="V178" s="19"/>
      <c r="W178" s="19"/>
      <c r="AD178" s="17"/>
      <c r="AE178" s="17"/>
    </row>
    <row r="179" spans="19:31">
      <c r="S179" s="648"/>
      <c r="V179" s="19"/>
      <c r="W179" s="19"/>
      <c r="AD179" s="17"/>
      <c r="AE179" s="17"/>
    </row>
    <row r="180" spans="19:31">
      <c r="S180" s="648"/>
      <c r="V180" s="19"/>
      <c r="W180" s="19"/>
      <c r="AD180" s="17"/>
      <c r="AE180" s="17"/>
    </row>
    <row r="181" spans="19:31">
      <c r="S181" s="648"/>
      <c r="V181" s="19"/>
      <c r="W181" s="19"/>
      <c r="AD181" s="17"/>
      <c r="AE181" s="17"/>
    </row>
    <row r="182" spans="19:31">
      <c r="S182" s="648"/>
      <c r="V182" s="19"/>
      <c r="W182" s="19"/>
      <c r="AD182" s="17"/>
      <c r="AE182" s="17"/>
    </row>
    <row r="183" spans="19:31">
      <c r="S183" s="648"/>
      <c r="V183" s="19"/>
      <c r="W183" s="19"/>
      <c r="AD183" s="17"/>
      <c r="AE183" s="17"/>
    </row>
    <row r="184" spans="19:31">
      <c r="S184" s="648"/>
      <c r="V184" s="19"/>
      <c r="W184" s="19"/>
      <c r="AD184" s="17"/>
      <c r="AE184" s="17"/>
    </row>
    <row r="185" spans="19:31">
      <c r="S185" s="648"/>
      <c r="V185" s="19"/>
      <c r="W185" s="19"/>
      <c r="AD185" s="17"/>
      <c r="AE185" s="17"/>
    </row>
    <row r="186" spans="19:31">
      <c r="S186" s="648"/>
      <c r="V186" s="19"/>
      <c r="W186" s="19"/>
      <c r="AD186" s="17"/>
      <c r="AE186" s="17"/>
    </row>
    <row r="187" spans="19:31">
      <c r="S187" s="648"/>
      <c r="V187" s="19"/>
      <c r="W187" s="19"/>
      <c r="AD187" s="17"/>
      <c r="AE187" s="17"/>
    </row>
    <row r="188" spans="19:31">
      <c r="S188" s="648"/>
      <c r="V188" s="19"/>
      <c r="W188" s="19"/>
      <c r="AD188" s="17"/>
      <c r="AE188" s="17"/>
    </row>
    <row r="189" spans="19:31">
      <c r="S189" s="648"/>
      <c r="V189" s="19"/>
      <c r="W189" s="19"/>
      <c r="AD189" s="17"/>
      <c r="AE189" s="17"/>
    </row>
    <row r="190" spans="19:31">
      <c r="S190" s="648"/>
      <c r="V190" s="19"/>
      <c r="W190" s="19"/>
      <c r="AD190" s="17"/>
      <c r="AE190" s="17"/>
    </row>
    <row r="191" spans="19:31">
      <c r="S191" s="648"/>
      <c r="V191" s="19"/>
      <c r="W191" s="19"/>
      <c r="AD191" s="17"/>
      <c r="AE191" s="17"/>
    </row>
    <row r="192" spans="19:31">
      <c r="S192" s="648"/>
      <c r="V192" s="19"/>
      <c r="W192" s="19"/>
      <c r="AD192" s="17"/>
      <c r="AE192" s="17"/>
    </row>
    <row r="193" spans="19:31">
      <c r="S193" s="648"/>
      <c r="V193" s="19"/>
      <c r="W193" s="19"/>
      <c r="AD193" s="17"/>
      <c r="AE193" s="17"/>
    </row>
    <row r="194" spans="19:31">
      <c r="S194" s="648"/>
      <c r="V194" s="19"/>
      <c r="W194" s="19"/>
      <c r="AD194" s="17"/>
      <c r="AE194" s="17"/>
    </row>
    <row r="195" spans="19:31">
      <c r="S195" s="648"/>
      <c r="V195" s="19"/>
      <c r="W195" s="19"/>
      <c r="AD195" s="17"/>
      <c r="AE195" s="17"/>
    </row>
    <row r="196" spans="19:31">
      <c r="S196" s="648"/>
      <c r="V196" s="19"/>
      <c r="W196" s="19"/>
      <c r="AD196" s="17"/>
      <c r="AE196" s="17"/>
    </row>
    <row r="197" spans="19:31">
      <c r="S197" s="648"/>
      <c r="V197" s="19"/>
      <c r="W197" s="19"/>
      <c r="AD197" s="17"/>
      <c r="AE197" s="17"/>
    </row>
    <row r="198" spans="19:31">
      <c r="S198" s="648"/>
      <c r="V198" s="19"/>
      <c r="W198" s="19"/>
      <c r="AD198" s="17"/>
      <c r="AE198" s="17"/>
    </row>
    <row r="199" spans="19:31">
      <c r="S199" s="648"/>
      <c r="V199" s="19"/>
      <c r="W199" s="19"/>
      <c r="AD199" s="17"/>
      <c r="AE199" s="17"/>
    </row>
    <row r="200" spans="19:31">
      <c r="S200" s="648"/>
      <c r="V200" s="19"/>
      <c r="W200" s="19"/>
      <c r="AD200" s="17"/>
      <c r="AE200" s="17"/>
    </row>
    <row r="201" spans="19:31">
      <c r="S201" s="648"/>
    </row>
    <row r="202" spans="19:31">
      <c r="S202" s="648"/>
    </row>
    <row r="203" spans="19:31">
      <c r="S203" s="648"/>
    </row>
    <row r="204" spans="19:31">
      <c r="S204" s="648"/>
    </row>
    <row r="205" spans="19:31">
      <c r="S205" s="648"/>
    </row>
    <row r="206" spans="19:31">
      <c r="S206" s="648"/>
    </row>
    <row r="207" spans="19:31">
      <c r="S207" s="648"/>
    </row>
    <row r="208" spans="19:31">
      <c r="S208" s="648"/>
    </row>
    <row r="209" spans="3:19">
      <c r="S209" s="648"/>
    </row>
    <row r="210" spans="3:19">
      <c r="S210" s="648"/>
    </row>
    <row r="218" spans="3:19">
      <c r="C218" s="563"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pageSetUpPr fitToPage="1"/>
  </sheetPr>
  <dimension ref="B2:T48"/>
  <sheetViews>
    <sheetView showGridLines="0" topLeftCell="A13"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5.81640625" style="137" customWidth="1"/>
    <col min="4" max="10" width="9.453125" style="137" customWidth="1"/>
    <col min="11" max="11" width="9.1796875" style="137" customWidth="1"/>
    <col min="12" max="12" width="2.453125" style="137" customWidth="1"/>
    <col min="13" max="13" width="9.54296875" style="205" bestFit="1" customWidth="1"/>
    <col min="14" max="20" width="7" style="205" customWidth="1"/>
    <col min="21" max="16384" width="9.1796875" style="137"/>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1" customFormat="1">
      <c r="C5" s="733" t="str">
        <f>+'5 - Conta AC + SS'!C5</f>
        <v>Período: janeiro a setembro</v>
      </c>
      <c r="D5" s="1095"/>
      <c r="E5" s="250"/>
      <c r="F5" s="250"/>
      <c r="G5" s="1499"/>
      <c r="H5" s="1499"/>
      <c r="I5" s="1499"/>
      <c r="J5" s="1499" t="str">
        <f>IF(Indice_index!$Z$1=1,"€ Milhões","€ Millions")</f>
        <v>€ Milhões</v>
      </c>
      <c r="M5" s="564"/>
      <c r="N5" s="564"/>
      <c r="O5" s="564"/>
      <c r="P5" s="564"/>
      <c r="Q5" s="564"/>
      <c r="R5" s="564"/>
      <c r="S5" s="564"/>
      <c r="T5" s="564"/>
    </row>
    <row r="6" spans="2:20" ht="15" customHeight="1">
      <c r="C6" s="1649"/>
      <c r="D6" s="1652" t="str">
        <f>IF(Indice_index!$Z$1=1,"Execução Acumulada","Accumulated Execution")</f>
        <v>Execução Acumulada</v>
      </c>
      <c r="E6" s="1653"/>
      <c r="F6" s="1659" t="str">
        <f>IF(Indice_index!$Z$1=1,"Variação Homóloga Acumulada","YOY Change Rate")</f>
        <v>Variação Homóloga Acumulada</v>
      </c>
      <c r="G6" s="1660"/>
      <c r="H6" s="1660"/>
      <c r="I6" s="1661"/>
      <c r="J6" s="1656" t="str">
        <f>IF(Indice_index!$Z$1=1,"Contributo (em p.p.)","Contribution (p.p.)")</f>
        <v>Contributo (em p.p.)</v>
      </c>
      <c r="L6" s="565"/>
      <c r="M6" s="206"/>
      <c r="N6" s="206"/>
      <c r="O6" s="206"/>
      <c r="P6" s="206"/>
      <c r="Q6" s="206"/>
      <c r="R6" s="206"/>
      <c r="S6" s="206"/>
      <c r="T6" s="206"/>
    </row>
    <row r="7" spans="2:20" ht="15.75" customHeight="1">
      <c r="C7" s="1650"/>
      <c r="D7" s="1654"/>
      <c r="E7" s="1655"/>
      <c r="F7" s="1659" t="str">
        <f>IF(Indice_index!$Z$1=1,"Absoluta","Absolute")</f>
        <v>Absoluta</v>
      </c>
      <c r="G7" s="1661"/>
      <c r="H7" s="1659" t="str">
        <f>IF(Indice_index!$Z$1=1,"Relativa (%)","Relative (%)")</f>
        <v>Relativa (%)</v>
      </c>
      <c r="I7" s="1661"/>
      <c r="J7" s="1657"/>
      <c r="L7" s="565"/>
      <c r="M7" s="206"/>
      <c r="N7" s="206"/>
      <c r="O7" s="206"/>
      <c r="P7" s="206"/>
      <c r="Q7" s="206"/>
      <c r="R7" s="206"/>
      <c r="S7" s="206"/>
      <c r="T7" s="206"/>
    </row>
    <row r="8" spans="2:20" ht="21" customHeight="1">
      <c r="C8" s="1651"/>
      <c r="D8" s="1560" t="s">
        <v>67</v>
      </c>
      <c r="E8" s="1560" t="s">
        <v>74</v>
      </c>
      <c r="F8" s="1561" t="str">
        <f>IF(Indice_index!$Z$1=1,"agosto","August")</f>
        <v>agosto</v>
      </c>
      <c r="G8" s="1561" t="str">
        <f>IF(Indice_index!$Z$1=1,"setembro","September")</f>
        <v>setembro</v>
      </c>
      <c r="H8" s="1561" t="str">
        <f>IF(Indice_index!$Z$1=1,"agosto","August")</f>
        <v>agosto</v>
      </c>
      <c r="I8" s="1561" t="str">
        <f>IF(Indice_index!$Z$1=1,"setembro","September")</f>
        <v>setembro</v>
      </c>
      <c r="J8" s="1658"/>
      <c r="L8" s="565"/>
      <c r="M8" s="1648"/>
      <c r="N8" s="1648"/>
      <c r="O8" s="1648"/>
      <c r="P8" s="1648"/>
      <c r="Q8" s="1648"/>
      <c r="R8" s="1648"/>
      <c r="S8" s="1648"/>
      <c r="T8" s="1648"/>
    </row>
    <row r="9" spans="2:20" s="251" customFormat="1" ht="15" customHeight="1">
      <c r="C9" s="318" t="str">
        <f>IF(Indice_index!$Z$1=1,"Receita corrente","Current revenue")</f>
        <v>Receita corrente</v>
      </c>
      <c r="D9" s="318">
        <f>'2 - Conta Consol AP'!K9</f>
        <v>63830.001460788131</v>
      </c>
      <c r="E9" s="318">
        <f>'2 - Conta Consol AP'!Q9</f>
        <v>73664.077029975277</v>
      </c>
      <c r="F9" s="318">
        <v>8999.5793181327244</v>
      </c>
      <c r="G9" s="318">
        <f t="shared" ref="G9:G21" si="0">+E9-D9</f>
        <v>9834.0755691871454</v>
      </c>
      <c r="H9" s="1095">
        <v>16.502812278631279</v>
      </c>
      <c r="I9" s="1095">
        <f t="shared" ref="I9:I15" si="1">IFERROR(IF(ABS(+G9/D9*100)&gt;500,"-",+G9/D9*100),"-")</f>
        <v>15.406666683578862</v>
      </c>
      <c r="J9" s="318">
        <f t="shared" ref="J9:J21" si="2">+G9/$D$23*100</f>
        <v>15.068157243698693</v>
      </c>
      <c r="K9" s="566"/>
      <c r="L9" s="567"/>
      <c r="M9" s="568"/>
      <c r="N9" s="568"/>
      <c r="O9" s="568"/>
      <c r="P9" s="568"/>
      <c r="Q9" s="568"/>
      <c r="R9" s="568"/>
      <c r="S9" s="568"/>
      <c r="T9" s="568"/>
    </row>
    <row r="10" spans="2:20" ht="15" customHeight="1">
      <c r="C10" s="793" t="str">
        <f>IF(Indice_index!$Z$1=1,"Receita Fiscal","Tax")</f>
        <v>Receita Fiscal</v>
      </c>
      <c r="D10" s="179">
        <f>'2 - Conta Consol AP'!K10</f>
        <v>36855.409136391638</v>
      </c>
      <c r="E10" s="179">
        <f>'2 - Conta Consol AP'!Q10</f>
        <v>44218.449224121257</v>
      </c>
      <c r="F10" s="179">
        <v>6699.7553949639332</v>
      </c>
      <c r="G10" s="179">
        <f t="shared" si="0"/>
        <v>7363.0400877296197</v>
      </c>
      <c r="H10" s="1562">
        <v>21.892200999286633</v>
      </c>
      <c r="I10" s="1562">
        <f t="shared" si="1"/>
        <v>19.978180300430399</v>
      </c>
      <c r="J10" s="179">
        <f t="shared" si="2"/>
        <v>11.281939522734165</v>
      </c>
      <c r="K10" s="207"/>
      <c r="L10" s="208"/>
      <c r="M10" s="206"/>
      <c r="N10" s="206"/>
      <c r="O10" s="206"/>
      <c r="P10" s="206"/>
      <c r="Q10" s="206"/>
      <c r="R10" s="206"/>
      <c r="S10" s="206"/>
      <c r="T10" s="206"/>
    </row>
    <row r="11" spans="2:20" ht="15" customHeight="1">
      <c r="C11" s="1016" t="str">
        <f>IF(Indice_index!$Z$1=1,"Impostos diretos","Direct taxes")</f>
        <v>Impostos diretos</v>
      </c>
      <c r="D11" s="179">
        <f>'2 - Conta Consol AP'!K11</f>
        <v>16754.473450394202</v>
      </c>
      <c r="E11" s="179">
        <f>'2 - Conta Consol AP'!Q11</f>
        <v>21408.401719967529</v>
      </c>
      <c r="F11" s="179">
        <v>4336.2355776366421</v>
      </c>
      <c r="G11" s="179">
        <f t="shared" si="0"/>
        <v>4653.9282695733273</v>
      </c>
      <c r="H11" s="1562">
        <v>31.349890982112992</v>
      </c>
      <c r="I11" s="1562">
        <f t="shared" si="1"/>
        <v>27.7772278750057</v>
      </c>
      <c r="J11" s="179">
        <f t="shared" si="2"/>
        <v>7.1309318779845281</v>
      </c>
      <c r="K11" s="207"/>
      <c r="L11" s="208"/>
      <c r="M11" s="206"/>
      <c r="N11" s="206"/>
      <c r="O11" s="206"/>
      <c r="P11" s="206"/>
      <c r="Q11" s="206"/>
      <c r="R11" s="206"/>
      <c r="S11" s="206"/>
      <c r="T11" s="206"/>
    </row>
    <row r="12" spans="2:20" ht="15" customHeight="1">
      <c r="C12" s="1016" t="str">
        <f>IF(Indice_index!$Z$1=1,"Impostos indiretos","Indirect taxes")</f>
        <v>Impostos indiretos</v>
      </c>
      <c r="D12" s="179">
        <f>'2 - Conta Consol AP'!K12</f>
        <v>20100.935685997432</v>
      </c>
      <c r="E12" s="179">
        <f>'2 - Conta Consol AP'!Q12</f>
        <v>22810.047504153725</v>
      </c>
      <c r="F12" s="179">
        <v>2363.5198173272911</v>
      </c>
      <c r="G12" s="179">
        <f t="shared" si="0"/>
        <v>2709.1118181562924</v>
      </c>
      <c r="H12" s="1562">
        <v>14.092352614885062</v>
      </c>
      <c r="I12" s="1562">
        <f t="shared" si="1"/>
        <v>13.477540849222727</v>
      </c>
      <c r="J12" s="179">
        <f t="shared" si="2"/>
        <v>4.1510076447496367</v>
      </c>
      <c r="K12" s="207"/>
      <c r="L12" s="208"/>
      <c r="M12" s="206"/>
      <c r="N12" s="206"/>
      <c r="O12" s="206"/>
      <c r="P12" s="206"/>
      <c r="Q12" s="206"/>
      <c r="R12" s="206"/>
      <c r="S12" s="206"/>
      <c r="T12" s="206"/>
    </row>
    <row r="13" spans="2:20" ht="15" customHeight="1">
      <c r="C13" s="746" t="str">
        <f>IF(Indice_index!$Z$1=1,"Contribuições de Segurança Social","Social security contributions")</f>
        <v>Contribuições de Segurança Social</v>
      </c>
      <c r="D13" s="179">
        <f>'2 - Conta Consol AP'!K13</f>
        <v>17455.161671099999</v>
      </c>
      <c r="E13" s="179">
        <f>'2 - Conta Consol AP'!Q13</f>
        <v>19130.71342045</v>
      </c>
      <c r="F13" s="179">
        <v>1473.1477961300006</v>
      </c>
      <c r="G13" s="179">
        <f t="shared" si="0"/>
        <v>1675.551749350001</v>
      </c>
      <c r="H13" s="1562">
        <v>9.5001843855642534</v>
      </c>
      <c r="I13" s="1562">
        <f t="shared" si="1"/>
        <v>9.5991763406245791</v>
      </c>
      <c r="J13" s="179">
        <f t="shared" si="2"/>
        <v>2.5673462697670844</v>
      </c>
      <c r="K13" s="207"/>
      <c r="L13" s="208"/>
      <c r="M13" s="206"/>
      <c r="N13" s="206"/>
      <c r="O13" s="206"/>
      <c r="P13" s="206"/>
      <c r="Q13" s="206"/>
      <c r="R13" s="206"/>
      <c r="S13" s="206"/>
      <c r="T13" s="206"/>
    </row>
    <row r="14" spans="2:20" ht="15" customHeight="1">
      <c r="C14" s="1017" t="str">
        <f>IF(Indice_index!$Z$1=1,"Transferências Correntes","Current transfers")</f>
        <v>Transferências Correntes</v>
      </c>
      <c r="D14" s="179">
        <f>'2 - Conta Consol AP'!K14</f>
        <v>2291.7985942250589</v>
      </c>
      <c r="E14" s="179">
        <f>'2 - Conta Consol AP'!Q14</f>
        <v>1783.6319896768341</v>
      </c>
      <c r="F14" s="179">
        <v>-462.585179059854</v>
      </c>
      <c r="G14" s="179">
        <f t="shared" si="0"/>
        <v>-508.16660454822477</v>
      </c>
      <c r="H14" s="1562">
        <v>-22.471131079369204</v>
      </c>
      <c r="I14" s="1562">
        <f t="shared" si="1"/>
        <v>-22.173266264702225</v>
      </c>
      <c r="J14" s="179">
        <f t="shared" si="2"/>
        <v>-0.77863285160437479</v>
      </c>
      <c r="K14" s="207"/>
      <c r="L14" s="208"/>
      <c r="M14" s="206"/>
      <c r="N14" s="206"/>
      <c r="O14" s="206"/>
      <c r="P14" s="206"/>
      <c r="Q14" s="206"/>
      <c r="R14" s="206"/>
      <c r="S14" s="206"/>
      <c r="T14" s="206"/>
    </row>
    <row r="15" spans="2:20" ht="15" customHeight="1">
      <c r="C15" s="746" t="str">
        <f>IF(Indice_index!$Z$1=1,"Outras receitas correntes","Other current revenue")</f>
        <v>Outras receitas correntes</v>
      </c>
      <c r="D15" s="179">
        <f>'2 - Conta Consol AP'!K17</f>
        <v>7227.6105223414388</v>
      </c>
      <c r="E15" s="179">
        <f>'2 - Conta Consol AP'!Q17</f>
        <v>8449.205061897188</v>
      </c>
      <c r="F15" s="179">
        <v>1201.8976269386585</v>
      </c>
      <c r="G15" s="179">
        <f t="shared" si="0"/>
        <v>1221.5945395557492</v>
      </c>
      <c r="H15" s="1562">
        <v>18.882600326331467</v>
      </c>
      <c r="I15" s="1562">
        <f t="shared" si="1"/>
        <v>16.901775985018137</v>
      </c>
      <c r="J15" s="179">
        <f t="shared" si="2"/>
        <v>1.871775184211973</v>
      </c>
      <c r="K15" s="207"/>
      <c r="L15" s="208"/>
      <c r="M15" s="206"/>
      <c r="N15" s="206"/>
      <c r="O15" s="206"/>
      <c r="P15" s="206"/>
      <c r="Q15" s="206"/>
      <c r="R15" s="206"/>
      <c r="S15" s="206"/>
      <c r="T15" s="206"/>
    </row>
    <row r="16" spans="2:20" ht="15" customHeight="1">
      <c r="C16" s="746" t="str">
        <f>IF(Indice_index!$Z$1=1,"Diferenças de consolidação","Consolidation differences")</f>
        <v>Diferenças de consolidação</v>
      </c>
      <c r="D16" s="179">
        <f>'2 - Conta Consol AP'!K18</f>
        <v>2.1536729999999803E-2</v>
      </c>
      <c r="E16" s="179">
        <f>'2 - Conta Consol AP'!Q18</f>
        <v>82.077333829998423</v>
      </c>
      <c r="F16" s="179">
        <v>87.36367915999945</v>
      </c>
      <c r="G16" s="179">
        <f t="shared" si="0"/>
        <v>82.055797099998429</v>
      </c>
      <c r="H16" s="1562" t="s">
        <v>2</v>
      </c>
      <c r="I16" s="1562" t="s">
        <v>2</v>
      </c>
      <c r="J16" s="179">
        <f t="shared" si="2"/>
        <v>0.12572911858984331</v>
      </c>
      <c r="K16" s="207"/>
      <c r="L16" s="208"/>
      <c r="M16" s="206"/>
      <c r="N16" s="206"/>
      <c r="O16" s="206"/>
      <c r="P16" s="206"/>
      <c r="Q16" s="206"/>
      <c r="R16" s="206"/>
      <c r="S16" s="206"/>
      <c r="T16" s="206"/>
    </row>
    <row r="17" spans="2:20" s="251" customFormat="1" ht="15" customHeight="1">
      <c r="C17" s="318" t="str">
        <f>IF(Indice_index!$Z$1=1,"Receita de capital","Capital revenue")</f>
        <v>Receita de capital</v>
      </c>
      <c r="D17" s="318">
        <f>'2 - Conta Consol AP'!K19</f>
        <v>1433.9549085258927</v>
      </c>
      <c r="E17" s="318">
        <f>'2 - Conta Consol AP'!Q19</f>
        <v>1725.770087696643</v>
      </c>
      <c r="F17" s="318">
        <v>270.34835194237417</v>
      </c>
      <c r="G17" s="318">
        <f t="shared" si="0"/>
        <v>291.8151791707503</v>
      </c>
      <c r="H17" s="1095">
        <v>20.135229378448866</v>
      </c>
      <c r="I17" s="1095">
        <f>IFERROR(IF(ABS(+G17/D17*100)&gt;500,"-",+G17/D17*100),"-")</f>
        <v>20.350373462631165</v>
      </c>
      <c r="J17" s="318">
        <f t="shared" si="2"/>
        <v>0.44713069112671316</v>
      </c>
      <c r="K17" s="566"/>
      <c r="L17" s="567"/>
      <c r="M17" s="568"/>
      <c r="N17" s="568"/>
      <c r="O17" s="568"/>
      <c r="P17" s="568"/>
      <c r="Q17" s="568"/>
      <c r="R17" s="568"/>
      <c r="S17" s="568"/>
      <c r="T17" s="568"/>
    </row>
    <row r="18" spans="2:20" s="251" customFormat="1" ht="15" customHeight="1">
      <c r="C18" s="746" t="str">
        <f>IF(Indice_index!$Z$1=1,"Venda de bens de investimento","Sale of investment goods")</f>
        <v>Venda de bens de investimento</v>
      </c>
      <c r="D18" s="179">
        <f>'2 - Conta Consol AP'!K20</f>
        <v>164.51180808940495</v>
      </c>
      <c r="E18" s="179">
        <f>'2 - Conta Consol AP'!Q20</f>
        <v>138.09135667011515</v>
      </c>
      <c r="F18" s="179">
        <v>-32.435494961510898</v>
      </c>
      <c r="G18" s="179">
        <f t="shared" si="0"/>
        <v>-26.420451419289805</v>
      </c>
      <c r="H18" s="1562">
        <v>-21.073198478753547</v>
      </c>
      <c r="I18" s="1562">
        <f>IFERROR(IF(ABS(+G18/D18*100)&gt;500,"-",+G18/D18*100),"-")</f>
        <v>-16.05991188482437</v>
      </c>
      <c r="J18" s="179">
        <f t="shared" si="2"/>
        <v>-4.0482454465037981E-2</v>
      </c>
      <c r="K18" s="566"/>
      <c r="L18" s="567"/>
      <c r="M18" s="568"/>
      <c r="N18" s="568"/>
      <c r="O18" s="568"/>
      <c r="P18" s="568"/>
      <c r="Q18" s="568"/>
      <c r="R18" s="568"/>
      <c r="S18" s="568"/>
      <c r="T18" s="568"/>
    </row>
    <row r="19" spans="2:20" s="251" customFormat="1" ht="15" customHeight="1">
      <c r="C19" s="1017" t="str">
        <f>IF(Indice_index!$Z$1=1,"Transferências de Capital","Capital transfers")</f>
        <v>Transferências de Capital</v>
      </c>
      <c r="D19" s="179">
        <f>'2 - Conta Consol AP'!K21</f>
        <v>1241.9939130734849</v>
      </c>
      <c r="E19" s="179">
        <f>'2 - Conta Consol AP'!Q21</f>
        <v>1529.9800924372562</v>
      </c>
      <c r="F19" s="179">
        <v>278.88531168845589</v>
      </c>
      <c r="G19" s="179">
        <f t="shared" si="0"/>
        <v>287.98617936377127</v>
      </c>
      <c r="H19" s="1562">
        <v>24.011187487902504</v>
      </c>
      <c r="I19" s="1562">
        <f>IFERROR(IF(ABS(+G19/D19*100)&gt;500,"-",+G19/D19*100),"-")</f>
        <v>23.187406663782259</v>
      </c>
      <c r="J19" s="179">
        <f t="shared" si="2"/>
        <v>0.44126374707368698</v>
      </c>
      <c r="K19" s="566"/>
      <c r="L19" s="567"/>
      <c r="M19" s="568"/>
      <c r="N19" s="568"/>
      <c r="O19" s="568"/>
      <c r="P19" s="568"/>
      <c r="Q19" s="568"/>
      <c r="R19" s="568"/>
      <c r="S19" s="568"/>
      <c r="T19" s="568"/>
    </row>
    <row r="20" spans="2:20" s="251" customFormat="1" ht="15" customHeight="1">
      <c r="C20" s="746" t="str">
        <f>IF(Indice_index!$Z$1=1,"Outras receitas de capital","Other capital revenue")</f>
        <v>Outras receitas de capital</v>
      </c>
      <c r="D20" s="179">
        <f>'2 - Conta Consol AP'!K24</f>
        <v>27.449187363002881</v>
      </c>
      <c r="E20" s="179">
        <f>'2 - Conta Consol AP'!Q24</f>
        <v>57.698638589271745</v>
      </c>
      <c r="F20" s="179">
        <v>24.858521945429345</v>
      </c>
      <c r="G20" s="179">
        <f t="shared" si="0"/>
        <v>30.249451226268864</v>
      </c>
      <c r="H20" s="1562">
        <v>94.503108573023681</v>
      </c>
      <c r="I20" s="1562">
        <f>IFERROR(IF(ABS(+G20/D20*100)&gt;500,"-",+G20/D20*100),"-")</f>
        <v>110.20162756089562</v>
      </c>
      <c r="J20" s="179">
        <f t="shared" si="2"/>
        <v>4.634939851806414E-2</v>
      </c>
      <c r="K20" s="566"/>
      <c r="L20" s="567"/>
      <c r="M20" s="568"/>
      <c r="N20" s="568"/>
      <c r="O20" s="568"/>
      <c r="P20" s="568"/>
      <c r="Q20" s="568"/>
      <c r="R20" s="568"/>
      <c r="S20" s="568"/>
      <c r="T20" s="568"/>
    </row>
    <row r="21" spans="2:20" ht="15" customHeight="1">
      <c r="C21" s="1563" t="str">
        <f>IF(Indice_index!$Z$1=1,"Diferenças de consolidação","Consolidation differences")</f>
        <v>Diferenças de consolidação</v>
      </c>
      <c r="D21" s="179">
        <f>'2 - Conta Consol AP'!K25</f>
        <v>0</v>
      </c>
      <c r="E21" s="179">
        <f>'2 - Conta Consol AP'!Q25</f>
        <v>0</v>
      </c>
      <c r="F21" s="179">
        <v>-0.95998673000021695</v>
      </c>
      <c r="G21" s="179">
        <f t="shared" si="0"/>
        <v>0</v>
      </c>
      <c r="H21" s="1562" t="s">
        <v>2</v>
      </c>
      <c r="I21" s="1564" t="s">
        <v>2</v>
      </c>
      <c r="J21" s="179">
        <f t="shared" si="2"/>
        <v>0</v>
      </c>
      <c r="K21" s="207"/>
      <c r="L21" s="208"/>
      <c r="M21" s="206"/>
      <c r="N21" s="206"/>
      <c r="O21" s="206"/>
      <c r="P21" s="206"/>
      <c r="Q21" s="206"/>
      <c r="R21" s="206"/>
      <c r="S21" s="206"/>
      <c r="T21" s="206"/>
    </row>
    <row r="22" spans="2:20" s="549" customFormat="1" ht="4.5" customHeight="1">
      <c r="C22" s="1418"/>
      <c r="D22" s="1565"/>
      <c r="E22" s="1565"/>
      <c r="F22" s="1565"/>
      <c r="G22" s="1565"/>
      <c r="H22" s="1566"/>
      <c r="I22" s="1566"/>
      <c r="J22" s="1565"/>
      <c r="K22" s="207"/>
      <c r="L22" s="208"/>
      <c r="M22" s="206"/>
      <c r="N22" s="206"/>
      <c r="O22" s="551"/>
      <c r="P22" s="551"/>
      <c r="Q22" s="551"/>
      <c r="R22" s="551"/>
      <c r="S22" s="206"/>
      <c r="T22" s="206"/>
    </row>
    <row r="23" spans="2:20" s="251" customFormat="1" ht="15" customHeight="1">
      <c r="C23" s="1522" t="str">
        <f>IF(Indice_index!$Z$1=1,"Receita efetiva","Effective revenue")</f>
        <v>Receita efetiva</v>
      </c>
      <c r="D23" s="1522">
        <f>'2 - Conta Consol AP'!K27</f>
        <v>65263.956369314023</v>
      </c>
      <c r="E23" s="1522">
        <f>'2 - Conta Consol AP'!Q27</f>
        <v>75389.847117671918</v>
      </c>
      <c r="F23" s="1522">
        <v>9269.9276700750997</v>
      </c>
      <c r="G23" s="1522">
        <f>+E23-D23</f>
        <v>10125.890748357895</v>
      </c>
      <c r="H23" s="1567">
        <v>16.590096435571279</v>
      </c>
      <c r="I23" s="1567">
        <f>IFERROR(IF(ABS(+G23/D23*100)&gt;500,"-",+G23/D23*100),"-")</f>
        <v>15.515287934825405</v>
      </c>
      <c r="J23" s="1522"/>
      <c r="K23" s="566"/>
      <c r="L23" s="567"/>
      <c r="M23" s="568"/>
      <c r="N23" s="568"/>
      <c r="O23" s="568"/>
      <c r="P23" s="568"/>
      <c r="Q23" s="568"/>
      <c r="R23" s="568"/>
      <c r="S23" s="568"/>
      <c r="T23" s="568"/>
    </row>
    <row r="24" spans="2:20" s="549" customFormat="1" ht="4.5" customHeight="1">
      <c r="C24" s="1418"/>
      <c r="D24" s="1565"/>
      <c r="E24" s="1565"/>
      <c r="F24" s="1565"/>
      <c r="G24" s="1565"/>
      <c r="H24" s="1566"/>
      <c r="I24" s="1566"/>
      <c r="J24" s="1565"/>
      <c r="K24" s="207"/>
      <c r="L24" s="208"/>
      <c r="M24" s="206"/>
      <c r="N24" s="206"/>
      <c r="O24" s="551"/>
      <c r="P24" s="551"/>
      <c r="Q24" s="551"/>
      <c r="R24" s="551"/>
      <c r="S24" s="206"/>
      <c r="T24" s="206"/>
    </row>
    <row r="25" spans="2:20" s="251" customFormat="1" ht="15" customHeight="1">
      <c r="C25" s="318" t="str">
        <f>IF(Indice_index!$Z$1=1,"Despesa corrente","Current expenditure")</f>
        <v>Despesa corrente</v>
      </c>
      <c r="D25" s="318">
        <f>'2 - Conta Consol AP'!K29</f>
        <v>64439.325550786714</v>
      </c>
      <c r="E25" s="318">
        <f>'2 - Conta Consol AP'!Q29</f>
        <v>64954.039375717919</v>
      </c>
      <c r="F25" s="318">
        <v>232.45769515343272</v>
      </c>
      <c r="G25" s="318">
        <f t="shared" ref="G25:G37" si="3">+E25-D25</f>
        <v>514.71382493120473</v>
      </c>
      <c r="H25" s="1095">
        <v>0.40024799879310596</v>
      </c>
      <c r="I25" s="1095">
        <f t="shared" ref="I25:I31" si="4">IFERROR(IF(ABS(+G25/D25*100)&gt;500,"-",+G25/D25*100),"-")</f>
        <v>0.79875731245129511</v>
      </c>
      <c r="J25" s="318">
        <f>+G25/$D$39*100</f>
        <v>0.73576829603945415</v>
      </c>
      <c r="K25" s="566"/>
      <c r="L25" s="567"/>
      <c r="M25" s="568"/>
      <c r="N25" s="568"/>
      <c r="O25" s="568"/>
      <c r="P25" s="568"/>
      <c r="Q25" s="568"/>
      <c r="R25" s="568"/>
      <c r="S25" s="568"/>
      <c r="T25" s="568"/>
    </row>
    <row r="26" spans="2:20" ht="15" customHeight="1">
      <c r="C26" s="793" t="str">
        <f>IF(Indice_index!$Z$1=1,"Despesas com o pessoal","Compensation of employees")</f>
        <v>Despesas com o pessoal</v>
      </c>
      <c r="D26" s="179">
        <f>'2 - Conta Consol AP'!K30</f>
        <v>16869.817854636109</v>
      </c>
      <c r="E26" s="179">
        <f>'2 - Conta Consol AP'!Q30</f>
        <v>17313.14797090699</v>
      </c>
      <c r="F26" s="179">
        <v>372.31972916751329</v>
      </c>
      <c r="G26" s="179">
        <f t="shared" si="3"/>
        <v>443.33011627088126</v>
      </c>
      <c r="H26" s="1562">
        <v>2.4600763104216545</v>
      </c>
      <c r="I26" s="1562">
        <f t="shared" si="4"/>
        <v>2.627948446693197</v>
      </c>
      <c r="J26" s="179">
        <f>+G26/$D$39*100</f>
        <v>0.63372738098728321</v>
      </c>
      <c r="K26" s="207"/>
      <c r="L26" s="208"/>
      <c r="M26" s="206"/>
      <c r="N26" s="206"/>
      <c r="O26" s="206"/>
      <c r="P26" s="206"/>
      <c r="Q26" s="206"/>
      <c r="R26" s="206"/>
      <c r="S26" s="206"/>
      <c r="T26" s="206"/>
    </row>
    <row r="27" spans="2:20" ht="15" customHeight="1">
      <c r="C27" s="793" t="str">
        <f>IF(Indice_index!$Z$1=1,"Aquisição de bens e serviços","Purchase of goods and services")</f>
        <v>Aquisição de bens e serviços</v>
      </c>
      <c r="D27" s="179">
        <f>'2 - Conta Consol AP'!K34</f>
        <v>9509.9214483582855</v>
      </c>
      <c r="E27" s="179">
        <f>'2 - Conta Consol AP'!Q34</f>
        <v>10242.954226141374</v>
      </c>
      <c r="F27" s="179">
        <v>656.53804157600644</v>
      </c>
      <c r="G27" s="179">
        <f t="shared" si="3"/>
        <v>733.03277778308802</v>
      </c>
      <c r="H27" s="1562">
        <v>7.8365724320139734</v>
      </c>
      <c r="I27" s="1562">
        <f t="shared" si="4"/>
        <v>7.7080844648788629</v>
      </c>
      <c r="J27" s="179">
        <f>+G27/$D$39*100</f>
        <v>1.0478488273024678</v>
      </c>
      <c r="K27" s="207"/>
      <c r="L27" s="208"/>
      <c r="M27" s="206"/>
      <c r="N27" s="206"/>
      <c r="O27" s="206"/>
      <c r="P27" s="206"/>
      <c r="Q27" s="206"/>
      <c r="R27" s="206"/>
      <c r="S27" s="206"/>
      <c r="T27" s="206"/>
    </row>
    <row r="28" spans="2:20" s="549" customFormat="1" ht="15" customHeight="1">
      <c r="B28" s="137"/>
      <c r="C28" s="793" t="str">
        <f>IF(Indice_index!$Z$1=1,"Juros e outros encargos","Interests and other charges")</f>
        <v>Juros e outros encargos</v>
      </c>
      <c r="D28" s="179">
        <f>'2 - Conta Consol AP'!K35</f>
        <v>4706.9932920507554</v>
      </c>
      <c r="E28" s="179">
        <f>'2 - Conta Consol AP'!Q35</f>
        <v>4263.7833060775974</v>
      </c>
      <c r="F28" s="179">
        <v>-441.5683369106182</v>
      </c>
      <c r="G28" s="179">
        <f t="shared" si="3"/>
        <v>-443.20998597315793</v>
      </c>
      <c r="H28" s="1562">
        <v>-9.6576357147792482</v>
      </c>
      <c r="I28" s="1562">
        <f t="shared" si="4"/>
        <v>-9.4159893263850183</v>
      </c>
      <c r="J28" s="179">
        <f>+G28/$D$39*100</f>
        <v>-0.63355565825481064</v>
      </c>
      <c r="K28" s="207"/>
      <c r="L28" s="208"/>
      <c r="M28" s="206"/>
      <c r="N28" s="206"/>
      <c r="O28" s="551"/>
      <c r="P28" s="551"/>
      <c r="Q28" s="551"/>
      <c r="R28" s="551"/>
      <c r="S28" s="206"/>
      <c r="T28" s="206"/>
    </row>
    <row r="29" spans="2:20" ht="15" customHeight="1">
      <c r="C29" s="793" t="str">
        <f>IF(Indice_index!$Z$1=1,"Transferências correntes","Current transfers")</f>
        <v>Transferências correntes</v>
      </c>
      <c r="D29" s="179">
        <f>'2 - Conta Consol AP'!K36</f>
        <v>31268.007558328613</v>
      </c>
      <c r="E29" s="179">
        <f>'2 - Conta Consol AP'!Q36</f>
        <v>31080.948440749999</v>
      </c>
      <c r="F29" s="179">
        <v>-243.20470810946063</v>
      </c>
      <c r="G29" s="179">
        <f t="shared" si="3"/>
        <v>-187.05911757861395</v>
      </c>
      <c r="H29" s="1562">
        <v>-0.86569250745655679</v>
      </c>
      <c r="I29" s="1562">
        <f t="shared" si="4"/>
        <v>-0.59824444275723754</v>
      </c>
      <c r="J29" s="179">
        <f>+G29/$D$39*100</f>
        <v>-0.2673955148141906</v>
      </c>
      <c r="K29" s="207"/>
      <c r="L29" s="208"/>
      <c r="M29" s="206"/>
      <c r="N29" s="206"/>
      <c r="O29" s="206"/>
      <c r="P29" s="206"/>
      <c r="Q29" s="206"/>
      <c r="R29" s="206"/>
      <c r="S29" s="206"/>
      <c r="T29" s="206"/>
    </row>
    <row r="30" spans="2:20" ht="15" customHeight="1">
      <c r="C30" s="793" t="str">
        <f>IF(Indice_index!$Z$1=1,"Subsídios","Subsidies")</f>
        <v>Subsídios</v>
      </c>
      <c r="D30" s="179">
        <f>'2 - Conta Consol AP'!K39</f>
        <v>1494.5555231961698</v>
      </c>
      <c r="E30" s="179">
        <f>'2 - Conta Consol AP'!Q39</f>
        <v>1464.1721602564585</v>
      </c>
      <c r="F30" s="179">
        <v>-81.006334132683605</v>
      </c>
      <c r="G30" s="179">
        <f t="shared" si="3"/>
        <v>-30.383362939711333</v>
      </c>
      <c r="H30" s="1562">
        <v>-5.9861926153185738</v>
      </c>
      <c r="I30" s="1562">
        <f t="shared" si="4"/>
        <v>-2.0329363792878858</v>
      </c>
      <c r="J30" s="179">
        <f t="shared" ref="J30:J35" si="5">+G30/$D$39*100</f>
        <v>-4.3432124989235779E-2</v>
      </c>
      <c r="K30" s="207"/>
      <c r="L30" s="208"/>
      <c r="M30" s="206"/>
      <c r="N30" s="206"/>
      <c r="O30" s="206"/>
      <c r="P30" s="206"/>
      <c r="Q30" s="206"/>
      <c r="R30" s="206"/>
      <c r="S30" s="206"/>
      <c r="T30" s="206"/>
    </row>
    <row r="31" spans="2:20" ht="15" customHeight="1">
      <c r="C31" s="793" t="str">
        <f>IF(Indice_index!$Z$1=1,"Outras despesas correntes","Other current expenditures")</f>
        <v>Outras despesas correntes</v>
      </c>
      <c r="D31" s="179">
        <f>'2 - Conta Consol AP'!K40</f>
        <v>551.72177747677938</v>
      </c>
      <c r="E31" s="179">
        <f>'2 - Conta Consol AP'!Q40</f>
        <v>573.21747856550701</v>
      </c>
      <c r="F31" s="179">
        <v>72.453452282687351</v>
      </c>
      <c r="G31" s="179">
        <f t="shared" si="3"/>
        <v>21.495701088727628</v>
      </c>
      <c r="H31" s="1562">
        <v>16.867987384584708</v>
      </c>
      <c r="I31" s="1562">
        <f t="shared" si="4"/>
        <v>3.8961124911608787</v>
      </c>
      <c r="J31" s="179">
        <f t="shared" si="5"/>
        <v>3.0727473396193448E-2</v>
      </c>
      <c r="K31" s="207"/>
      <c r="L31" s="208"/>
      <c r="M31" s="206"/>
      <c r="N31" s="206"/>
      <c r="O31" s="206"/>
      <c r="P31" s="206"/>
      <c r="Q31" s="206"/>
      <c r="R31" s="206"/>
      <c r="S31" s="206"/>
      <c r="T31" s="206"/>
    </row>
    <row r="32" spans="2:20" ht="15" customHeight="1">
      <c r="C32" s="793" t="str">
        <f>IF(Indice_index!$Z$1=1,"Diferenças de consolidação","Consolidation differences")</f>
        <v>Diferenças de consolidação</v>
      </c>
      <c r="D32" s="179">
        <f>'2 - Conta Consol AP'!K41</f>
        <v>38.308096740009546</v>
      </c>
      <c r="E32" s="179">
        <f>'2 - Conta Consol AP'!Q41</f>
        <v>15.815793019997841</v>
      </c>
      <c r="F32" s="179">
        <v>-103.07414872001436</v>
      </c>
      <c r="G32" s="179">
        <f t="shared" si="3"/>
        <v>-22.492303720011705</v>
      </c>
      <c r="H32" s="1562" t="s">
        <v>2</v>
      </c>
      <c r="I32" s="1564" t="s">
        <v>2</v>
      </c>
      <c r="J32" s="179">
        <f t="shared" si="5"/>
        <v>-3.2152087588257022E-2</v>
      </c>
      <c r="K32" s="207"/>
      <c r="L32" s="208"/>
      <c r="M32" s="206"/>
      <c r="N32" s="206"/>
      <c r="O32" s="206"/>
      <c r="P32" s="206"/>
      <c r="Q32" s="206"/>
      <c r="R32" s="206"/>
      <c r="S32" s="206"/>
      <c r="T32" s="206"/>
    </row>
    <row r="33" spans="2:20" s="251" customFormat="1" ht="15" customHeight="1">
      <c r="C33" s="318" t="str">
        <f>IF(Indice_index!$Z$1=1,"Despesa de capital","Capital expenditure")</f>
        <v>Despesa de capital</v>
      </c>
      <c r="D33" s="318">
        <f>'2 - Conta Consol AP'!K42</f>
        <v>5516.6412531436636</v>
      </c>
      <c r="E33" s="318">
        <f>'2 - Conta Consol AP'!Q42</f>
        <v>5182.7168861853788</v>
      </c>
      <c r="F33" s="318">
        <v>-173.54763227464991</v>
      </c>
      <c r="G33" s="318">
        <f t="shared" si="3"/>
        <v>-333.92436695828474</v>
      </c>
      <c r="H33" s="1095">
        <v>-3.6878845452891857</v>
      </c>
      <c r="I33" s="1095">
        <f>IFERROR(IF(ABS(+G33/D33*100)&gt;500,"-",+G33/D33*100),"-")</f>
        <v>-6.0530375573723889</v>
      </c>
      <c r="J33" s="318">
        <f t="shared" si="5"/>
        <v>-0.47733507549712495</v>
      </c>
      <c r="K33" s="566"/>
      <c r="L33" s="567"/>
      <c r="M33" s="568"/>
      <c r="N33" s="568"/>
      <c r="O33" s="568"/>
      <c r="P33" s="568"/>
      <c r="Q33" s="568"/>
      <c r="R33" s="568"/>
      <c r="S33" s="568"/>
      <c r="T33" s="568"/>
    </row>
    <row r="34" spans="2:20" ht="15" customHeight="1">
      <c r="C34" s="793" t="str">
        <f>IF(Indice_index!$Z$1=1,"Investimentos","Investments")</f>
        <v>Investimentos</v>
      </c>
      <c r="D34" s="179">
        <f>'2 - Conta Consol AP'!K43</f>
        <v>4110.5916208474582</v>
      </c>
      <c r="E34" s="179">
        <f>'2 - Conta Consol AP'!Q43</f>
        <v>4163.3326683338337</v>
      </c>
      <c r="F34" s="179">
        <v>183.07829520233417</v>
      </c>
      <c r="G34" s="179">
        <f t="shared" si="3"/>
        <v>52.741047486375464</v>
      </c>
      <c r="H34" s="1562">
        <v>5.2377758804858949</v>
      </c>
      <c r="I34" s="1562">
        <f>IFERROR(IF(ABS(+G34/D34*100)&gt;500,"-",+G34/D34*100),"-")</f>
        <v>1.2830524739770217</v>
      </c>
      <c r="J34" s="179">
        <f t="shared" si="5"/>
        <v>7.5391778422841088E-2</v>
      </c>
      <c r="K34" s="207"/>
      <c r="L34" s="208"/>
      <c r="M34" s="206"/>
      <c r="N34" s="206"/>
      <c r="O34" s="206"/>
      <c r="P34" s="206"/>
      <c r="Q34" s="206"/>
      <c r="R34" s="206"/>
      <c r="S34" s="206"/>
      <c r="T34" s="206"/>
    </row>
    <row r="35" spans="2:20" ht="15" customHeight="1">
      <c r="C35" s="793" t="str">
        <f>IF(Indice_index!$Z$1=1,"Transferências de capital","Capital transfers")</f>
        <v>Transferências de capital</v>
      </c>
      <c r="D35" s="179">
        <f>'2 - Conta Consol AP'!K44</f>
        <v>1254.0406622412054</v>
      </c>
      <c r="E35" s="179">
        <f>'2 - Conta Consol AP'!Q44</f>
        <v>864.220511901647</v>
      </c>
      <c r="F35" s="179">
        <v>-388.13650387755297</v>
      </c>
      <c r="G35" s="179">
        <f t="shared" si="3"/>
        <v>-389.82015033955838</v>
      </c>
      <c r="H35" s="1562">
        <v>-33.119637653914303</v>
      </c>
      <c r="I35" s="1562">
        <f>IFERROR(IF(ABS(+G35/D35*100)&gt;500,"-",+G35/D35*100),"-")</f>
        <v>-31.085128423417853</v>
      </c>
      <c r="J35" s="179">
        <f t="shared" si="5"/>
        <v>-0.55723645622985929</v>
      </c>
      <c r="K35" s="207"/>
      <c r="L35" s="208"/>
      <c r="M35" s="206"/>
      <c r="N35" s="206"/>
      <c r="O35" s="206"/>
      <c r="P35" s="206"/>
      <c r="Q35" s="206"/>
      <c r="R35" s="206"/>
      <c r="S35" s="206"/>
      <c r="T35" s="206"/>
    </row>
    <row r="36" spans="2:20" ht="15" customHeight="1">
      <c r="C36" s="793" t="str">
        <f>IF(Indice_index!$Z$1=1,"Outras despesas de capital","Other capital expenditures")</f>
        <v>Outras despesas de capital</v>
      </c>
      <c r="D36" s="179">
        <f>'2 - Conta Consol AP'!K47</f>
        <v>46.994635244999998</v>
      </c>
      <c r="E36" s="179">
        <f>'2 - Conta Consol AP'!Q47</f>
        <v>103.23143206989803</v>
      </c>
      <c r="F36" s="179">
        <v>-9.0852942794296645</v>
      </c>
      <c r="G36" s="179">
        <f t="shared" si="3"/>
        <v>56.236796824898036</v>
      </c>
      <c r="H36" s="1562">
        <v>-26.498787676797392</v>
      </c>
      <c r="I36" s="1562">
        <f>IFERROR(IF(ABS(+G36/D36*100)&gt;500,"-",+G36/D36*100),"-")</f>
        <v>119.6664183724702</v>
      </c>
      <c r="J36" s="179">
        <f>+G36/$D$39*100</f>
        <v>8.0388849435125601E-2</v>
      </c>
      <c r="K36" s="207"/>
      <c r="L36" s="208"/>
      <c r="M36" s="206"/>
      <c r="N36" s="206"/>
      <c r="O36" s="206"/>
      <c r="P36" s="206"/>
      <c r="Q36" s="206"/>
      <c r="R36" s="206"/>
      <c r="S36" s="206"/>
      <c r="T36" s="206"/>
    </row>
    <row r="37" spans="2:20" ht="15" customHeight="1">
      <c r="C37" s="793" t="str">
        <f>IF(Indice_index!$Z$1=1,"Diferenças de consolidação","Consolidation differences")</f>
        <v>Diferenças de consolidação</v>
      </c>
      <c r="D37" s="179">
        <f>'2 - Conta Consol AP'!K48</f>
        <v>105.01433481000029</v>
      </c>
      <c r="E37" s="179">
        <f>'2 - Conta Consol AP'!Q48</f>
        <v>51.93227387999984</v>
      </c>
      <c r="F37" s="179">
        <v>40.595870679999237</v>
      </c>
      <c r="G37" s="179">
        <f t="shared" si="3"/>
        <v>-53.082060930000452</v>
      </c>
      <c r="H37" s="1562" t="s">
        <v>2</v>
      </c>
      <c r="I37" s="1564" t="s">
        <v>2</v>
      </c>
      <c r="J37" s="179">
        <f>+G37/$D$39*100</f>
        <v>-7.5879247125233223E-2</v>
      </c>
      <c r="K37" s="207"/>
      <c r="L37" s="208"/>
      <c r="M37" s="206"/>
      <c r="N37" s="206"/>
      <c r="O37" s="206"/>
      <c r="P37" s="206"/>
      <c r="Q37" s="206"/>
      <c r="R37" s="206"/>
      <c r="S37" s="206"/>
      <c r="T37" s="206"/>
    </row>
    <row r="38" spans="2:20" ht="4.5" customHeight="1">
      <c r="B38" s="549"/>
      <c r="C38" s="774"/>
      <c r="D38" s="1568"/>
      <c r="E38" s="1568"/>
      <c r="F38" s="1568"/>
      <c r="G38" s="1568"/>
      <c r="H38" s="838"/>
      <c r="I38" s="838"/>
      <c r="J38" s="1568"/>
      <c r="K38" s="207"/>
      <c r="L38" s="208"/>
      <c r="M38" s="206"/>
      <c r="N38" s="206"/>
      <c r="O38" s="206"/>
      <c r="P38" s="206"/>
      <c r="Q38" s="206"/>
      <c r="R38" s="206"/>
      <c r="S38" s="206"/>
      <c r="T38" s="206"/>
    </row>
    <row r="39" spans="2:20" s="251" customFormat="1" ht="15" customHeight="1">
      <c r="C39" s="1522" t="str">
        <f>IF(Indice_index!$Z$1=1,"Despesa efetiva","Effective expenditure")</f>
        <v>Despesa efetiva</v>
      </c>
      <c r="D39" s="1522">
        <f>'2 - Conta Consol AP'!K50</f>
        <v>69955.96680393038</v>
      </c>
      <c r="E39" s="1522">
        <f>'2 - Conta Consol AP'!Q50</f>
        <v>70136.756261903298</v>
      </c>
      <c r="F39" s="1522">
        <v>58.910062878778263</v>
      </c>
      <c r="G39" s="1522">
        <f>+E39-D39</f>
        <v>180.78945797291817</v>
      </c>
      <c r="H39" s="1567">
        <v>9.3829288335219627E-2</v>
      </c>
      <c r="I39" s="1567">
        <f>IFERROR(IF(ABS(+G39/D39*100)&gt;500,"-",+G39/D39*100),"-")</f>
        <v>0.25843322054232659</v>
      </c>
      <c r="J39" s="1522"/>
      <c r="K39" s="566"/>
      <c r="L39" s="567"/>
      <c r="M39" s="568"/>
      <c r="N39" s="568"/>
      <c r="O39" s="568"/>
      <c r="P39" s="568"/>
      <c r="Q39" s="568"/>
      <c r="R39" s="568"/>
      <c r="S39" s="568"/>
      <c r="T39" s="568"/>
    </row>
    <row r="40" spans="2:20" ht="4.5" customHeight="1">
      <c r="B40" s="549"/>
      <c r="C40" s="793"/>
      <c r="D40" s="328"/>
      <c r="E40" s="328"/>
      <c r="F40" s="328"/>
      <c r="G40" s="328"/>
      <c r="H40" s="1569"/>
      <c r="I40" s="1569"/>
      <c r="J40" s="328"/>
      <c r="K40" s="207"/>
      <c r="L40" s="208"/>
      <c r="M40" s="206"/>
      <c r="N40" s="206"/>
      <c r="O40" s="206"/>
      <c r="P40" s="206"/>
      <c r="Q40" s="206"/>
      <c r="R40" s="206"/>
      <c r="S40" s="206"/>
      <c r="T40" s="206"/>
    </row>
    <row r="41" spans="2:20" s="251" customFormat="1" ht="15" customHeight="1">
      <c r="C41" s="1522" t="str">
        <f>IF(Indice_index!$Z$1=1,"Saldo global","Overall balance")</f>
        <v>Saldo global</v>
      </c>
      <c r="D41" s="1522">
        <f>D23-D39</f>
        <v>-4692.0104346163571</v>
      </c>
      <c r="E41" s="1522">
        <f>E23-E39</f>
        <v>5253.0908557686198</v>
      </c>
      <c r="F41" s="1522">
        <v>9211.0176071963215</v>
      </c>
      <c r="G41" s="1522">
        <f>+E41-D41</f>
        <v>9945.1012903849769</v>
      </c>
      <c r="H41" s="1567"/>
      <c r="I41" s="1567"/>
      <c r="J41" s="1522"/>
      <c r="K41" s="566"/>
      <c r="L41" s="567"/>
      <c r="M41" s="568"/>
      <c r="N41" s="568"/>
      <c r="O41" s="568"/>
      <c r="P41" s="568"/>
      <c r="Q41" s="568"/>
      <c r="R41" s="568"/>
      <c r="S41" s="568"/>
      <c r="T41" s="568"/>
    </row>
    <row r="42" spans="2:20" s="549" customFormat="1" ht="15" customHeight="1">
      <c r="B42" s="137"/>
      <c r="C42" s="748" t="str">
        <f>IF(Indice_index!$Z$1=1,"Despesa primária","Primary expenditure")</f>
        <v>Despesa primária</v>
      </c>
      <c r="D42" s="752">
        <f>D39-D28</f>
        <v>65248.973511879623</v>
      </c>
      <c r="E42" s="752">
        <f>E39-E28</f>
        <v>65872.972955825695</v>
      </c>
      <c r="F42" s="752">
        <v>500.47839978939737</v>
      </c>
      <c r="G42" s="752">
        <f>+E42-D42</f>
        <v>623.99944394607155</v>
      </c>
      <c r="H42" s="842">
        <v>0.85975005409297844</v>
      </c>
      <c r="I42" s="842">
        <f>IFERROR(IF(ABS(+G42/D42*100)&gt;500,"-",+G42/D42*100),"-")</f>
        <v>0.95633603160433234</v>
      </c>
      <c r="J42" s="752"/>
      <c r="K42" s="207"/>
      <c r="L42" s="208"/>
      <c r="M42" s="206"/>
      <c r="N42" s="206"/>
      <c r="O42" s="206"/>
      <c r="P42" s="206"/>
      <c r="Q42" s="206"/>
      <c r="R42" s="206"/>
      <c r="S42" s="206"/>
      <c r="T42" s="206"/>
    </row>
    <row r="43" spans="2:20" ht="15" customHeight="1">
      <c r="C43" s="748" t="str">
        <f>IF(Indice_index!$Z$1=1,"Saldo corrente","Current balance")</f>
        <v>Saldo corrente</v>
      </c>
      <c r="D43" s="752">
        <f>D9-D25</f>
        <v>-609.32408999858308</v>
      </c>
      <c r="E43" s="752">
        <f>E9-E25</f>
        <v>8710.0376542573576</v>
      </c>
      <c r="F43" s="752">
        <v>8767.1216229792917</v>
      </c>
      <c r="G43" s="752">
        <f>+E43-D43</f>
        <v>9319.3617442559407</v>
      </c>
      <c r="H43" s="842"/>
      <c r="I43" s="842"/>
      <c r="J43" s="752"/>
      <c r="K43" s="207"/>
      <c r="L43" s="208"/>
      <c r="M43" s="206"/>
      <c r="N43" s="206"/>
      <c r="O43" s="206"/>
      <c r="P43" s="206"/>
      <c r="Q43" s="206"/>
      <c r="R43" s="206"/>
      <c r="S43" s="206"/>
      <c r="T43" s="206"/>
    </row>
    <row r="44" spans="2:20" s="549" customFormat="1" ht="15" customHeight="1">
      <c r="B44" s="137"/>
      <c r="C44" s="748" t="str">
        <f>IF(Indice_index!$Z$1=1,"Saldo de capital","Capital balance")</f>
        <v>Saldo de capital</v>
      </c>
      <c r="D44" s="179">
        <f>D17-D33</f>
        <v>-4082.6863446177708</v>
      </c>
      <c r="E44" s="179">
        <f>E17-E33</f>
        <v>-3456.946798488736</v>
      </c>
      <c r="F44" s="179">
        <v>443.89598421702385</v>
      </c>
      <c r="G44" s="179">
        <f>+E44-D44</f>
        <v>625.73954612903481</v>
      </c>
      <c r="H44" s="1562"/>
      <c r="I44" s="1562"/>
      <c r="J44" s="179"/>
      <c r="K44" s="207"/>
      <c r="L44" s="208"/>
      <c r="M44" s="206"/>
      <c r="N44" s="206"/>
      <c r="O44" s="206"/>
      <c r="P44" s="206"/>
      <c r="Q44" s="206"/>
      <c r="R44" s="206"/>
      <c r="S44" s="206"/>
      <c r="T44" s="206"/>
    </row>
    <row r="45" spans="2:20" ht="15" customHeight="1">
      <c r="B45" s="168"/>
      <c r="C45" s="1555" t="str">
        <f>IF(Indice_index!$Z$1=1,"Saldo primário","Primary balance")</f>
        <v>Saldo primário</v>
      </c>
      <c r="D45" s="1529">
        <f>D28+D41</f>
        <v>14.982857434398284</v>
      </c>
      <c r="E45" s="1529">
        <f>E28+E41</f>
        <v>9516.8741618462172</v>
      </c>
      <c r="F45" s="1529">
        <v>8769.4492702857024</v>
      </c>
      <c r="G45" s="1529">
        <f>+E45-D45</f>
        <v>9501.8913044118199</v>
      </c>
      <c r="H45" s="1529"/>
      <c r="I45" s="1529"/>
      <c r="J45" s="1529"/>
      <c r="K45" s="207"/>
      <c r="L45" s="208"/>
      <c r="M45" s="206"/>
      <c r="N45" s="206"/>
      <c r="O45" s="206"/>
      <c r="P45" s="206"/>
      <c r="Q45" s="206"/>
      <c r="R45" s="206"/>
      <c r="S45" s="206"/>
      <c r="T45" s="206"/>
    </row>
    <row r="46" spans="2:20" ht="15" hidden="1" customHeight="1">
      <c r="C46" s="1570"/>
      <c r="D46" s="1462"/>
      <c r="E46" s="1462"/>
      <c r="F46" s="1462"/>
      <c r="G46" s="1462"/>
      <c r="H46" s="1462"/>
      <c r="I46" s="1462"/>
      <c r="J46" s="1462"/>
      <c r="K46" s="207"/>
      <c r="L46" s="208"/>
      <c r="M46" s="206"/>
      <c r="N46" s="206"/>
      <c r="O46" s="206"/>
      <c r="P46" s="206"/>
      <c r="Q46" s="206"/>
      <c r="R46" s="206"/>
      <c r="S46" s="206"/>
      <c r="T46" s="206"/>
    </row>
    <row r="47" spans="2:20" ht="13.5" customHeight="1">
      <c r="C47" s="1571" t="str">
        <f>IF(Indice_index!$Z$1=1,"Fonte: Direção-Geral do Orçamento","Source: Budget General Directorate")</f>
        <v>Fonte: Direção-Geral do Orçamento</v>
      </c>
      <c r="D47" s="1461"/>
      <c r="E47" s="1461"/>
      <c r="F47" s="1461"/>
      <c r="G47" s="1461"/>
      <c r="H47" s="1461"/>
      <c r="I47" s="1461"/>
      <c r="J47" s="1461"/>
      <c r="K47" s="207"/>
      <c r="L47" s="208"/>
      <c r="M47" s="206"/>
      <c r="N47" s="206"/>
      <c r="O47" s="206"/>
      <c r="P47" s="206"/>
      <c r="Q47" s="206"/>
      <c r="R47" s="206"/>
      <c r="S47" s="206"/>
      <c r="T47" s="206"/>
    </row>
    <row r="48" spans="2:20" s="168" customFormat="1" ht="13.5" customHeight="1">
      <c r="B48" s="137"/>
      <c r="C48" s="111"/>
      <c r="D48" s="1462"/>
      <c r="E48" s="1462"/>
      <c r="F48" s="1462"/>
      <c r="G48" s="1462"/>
      <c r="H48" s="1462"/>
      <c r="I48" s="1462"/>
      <c r="J48" s="1462"/>
      <c r="K48" s="207"/>
      <c r="L48" s="208"/>
      <c r="M48" s="206"/>
      <c r="N48" s="206"/>
      <c r="O48" s="206"/>
      <c r="P48" s="206"/>
      <c r="Q48" s="206"/>
      <c r="R48" s="206"/>
      <c r="S48" s="206"/>
      <c r="T48" s="206"/>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80"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 sqref="G8:H8" 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pageSetUpPr fitToPage="1"/>
  </sheetPr>
  <dimension ref="B1:U52"/>
  <sheetViews>
    <sheetView showGridLines="0" zoomScaleNormal="100" zoomScaleSheetLayoutView="100" workbookViewId="0">
      <selection activeCell="Q19" sqref="Q19"/>
    </sheetView>
  </sheetViews>
  <sheetFormatPr defaultColWidth="9.1796875" defaultRowHeight="13"/>
  <cols>
    <col min="1" max="1" width="2.54296875" style="188" customWidth="1"/>
    <col min="2" max="2" width="5.1796875" style="188" customWidth="1"/>
    <col min="3" max="3" width="23.54296875" style="188" customWidth="1"/>
    <col min="4" max="4" width="1" style="188" customWidth="1"/>
    <col min="5" max="5" width="9.453125" style="188" customWidth="1"/>
    <col min="6" max="6" width="8.54296875" style="188" customWidth="1"/>
    <col min="7" max="7" width="1" style="188" customWidth="1"/>
    <col min="8" max="8" width="7.453125" style="189" customWidth="1"/>
    <col min="9" max="9" width="7.453125" style="191" customWidth="1"/>
    <col min="10" max="10" width="7.453125" style="355" customWidth="1"/>
    <col min="11" max="11" width="7.453125" style="191" customWidth="1"/>
    <col min="12" max="12" width="9.1796875" style="188" customWidth="1"/>
    <col min="13" max="14" width="1" style="190" customWidth="1"/>
    <col min="15" max="15" width="1.54296875" style="188" customWidth="1"/>
    <col min="16" max="16" width="9.1796875" style="188" customWidth="1"/>
    <col min="17" max="17" width="11.453125" style="188" customWidth="1"/>
    <col min="18" max="18" width="8.453125" style="189" customWidth="1"/>
    <col min="19" max="21" width="9.1796875" style="189"/>
    <col min="22" max="16384" width="9.179687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Síntese Global</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670" t="s">
        <v>54</v>
      </c>
      <c r="D6" s="671"/>
      <c r="E6" s="671"/>
      <c r="F6" s="671"/>
      <c r="G6" s="671"/>
      <c r="H6" s="671"/>
      <c r="I6" s="671"/>
      <c r="J6" s="671"/>
      <c r="K6" s="671"/>
      <c r="L6" s="671"/>
      <c r="M6" s="252"/>
      <c r="N6" s="252"/>
      <c r="O6" s="253"/>
      <c r="P6" s="253"/>
      <c r="Q6" s="253"/>
    </row>
    <row r="7" spans="2:18" s="254" customFormat="1">
      <c r="B7" s="252"/>
      <c r="C7" s="671"/>
      <c r="D7" s="671"/>
      <c r="E7" s="671"/>
      <c r="F7" s="671"/>
      <c r="G7" s="671"/>
      <c r="H7" s="671"/>
      <c r="I7" s="671"/>
      <c r="J7" s="671"/>
      <c r="K7" s="671"/>
      <c r="L7" s="671"/>
      <c r="M7" s="252"/>
      <c r="N7" s="252"/>
      <c r="O7" s="253"/>
      <c r="P7" s="253"/>
      <c r="Q7" s="253"/>
    </row>
    <row r="8" spans="2:18" s="254" customFormat="1" ht="15.5">
      <c r="B8" s="252"/>
      <c r="C8" s="1069" t="str">
        <f>+'6 - Conta AC'!C4</f>
        <v>Período: janeiro a setembro</v>
      </c>
      <c r="D8" s="1070"/>
      <c r="E8" s="1071"/>
      <c r="F8" s="1071"/>
      <c r="G8" s="1071"/>
      <c r="H8" s="1071"/>
      <c r="I8" s="1071"/>
      <c r="J8" s="1071"/>
      <c r="K8" s="1072"/>
      <c r="L8" s="1073" t="str">
        <f>IF(Indice_index!$Z$1=1,"€ Milhões","€ Millions")</f>
        <v>€ Milhões</v>
      </c>
      <c r="N8" s="253"/>
      <c r="O8" s="253"/>
      <c r="P8" s="253"/>
      <c r="Q8" s="253"/>
    </row>
    <row r="9" spans="2:18" s="189" customFormat="1" ht="18.75" customHeight="1">
      <c r="B9" s="190"/>
      <c r="C9" s="1662" t="s">
        <v>53</v>
      </c>
      <c r="D9" s="1074"/>
      <c r="E9" s="1665" t="s">
        <v>94</v>
      </c>
      <c r="F9" s="1665"/>
      <c r="G9" s="1075"/>
      <c r="H9" s="1671" t="s">
        <v>93</v>
      </c>
      <c r="I9" s="1671"/>
      <c r="J9" s="1671"/>
      <c r="K9" s="1671"/>
      <c r="L9" s="1667" t="str">
        <f>"Contributo VHA " &amp; "
(em p.p.)"</f>
        <v>Contributo VHA 
(em p.p.)</v>
      </c>
      <c r="N9" s="188"/>
      <c r="O9" s="188"/>
      <c r="P9" s="188"/>
      <c r="Q9" s="1670"/>
    </row>
    <row r="10" spans="2:18" s="189" customFormat="1" ht="13.5" customHeight="1">
      <c r="B10" s="190"/>
      <c r="C10" s="1663"/>
      <c r="D10" s="1076"/>
      <c r="E10" s="1666"/>
      <c r="F10" s="1666"/>
      <c r="G10" s="1077"/>
      <c r="H10" s="1666" t="s">
        <v>52</v>
      </c>
      <c r="I10" s="1666"/>
      <c r="J10" s="1666" t="s">
        <v>51</v>
      </c>
      <c r="K10" s="1666"/>
      <c r="L10" s="1668"/>
      <c r="N10" s="188"/>
      <c r="O10" s="188"/>
      <c r="P10" s="188"/>
      <c r="Q10" s="1670"/>
      <c r="R10" s="190"/>
    </row>
    <row r="11" spans="2:18" s="189" customFormat="1" ht="17.25" customHeight="1">
      <c r="B11" s="190"/>
      <c r="C11" s="1664"/>
      <c r="D11" s="1076"/>
      <c r="E11" s="1078" t="s">
        <v>67</v>
      </c>
      <c r="F11" s="1078" t="s">
        <v>74</v>
      </c>
      <c r="G11" s="1079"/>
      <c r="H11" s="1080" t="s">
        <v>586</v>
      </c>
      <c r="I11" s="1080" t="s">
        <v>15</v>
      </c>
      <c r="J11" s="1080" t="s">
        <v>586</v>
      </c>
      <c r="K11" s="1080" t="s">
        <v>15</v>
      </c>
      <c r="L11" s="1669"/>
      <c r="N11" s="188"/>
      <c r="O11" s="188"/>
      <c r="P11" s="188"/>
      <c r="Q11" s="199"/>
      <c r="R11" s="190"/>
    </row>
    <row r="12" spans="2:18" s="189" customFormat="1" ht="15" customHeight="1">
      <c r="B12" s="190"/>
      <c r="C12" s="1081" t="s">
        <v>50</v>
      </c>
      <c r="D12" s="1076"/>
      <c r="E12" s="784">
        <f>'5 - Conta AC + SS'!F30</f>
        <v>13625.328885330002</v>
      </c>
      <c r="F12" s="784">
        <f>'5 - Conta AC + SS'!G30</f>
        <v>13767.340976149999</v>
      </c>
      <c r="G12" s="784"/>
      <c r="H12" s="784">
        <v>100.33179261000987</v>
      </c>
      <c r="I12" s="787">
        <f>F12-E12</f>
        <v>142.01209081999696</v>
      </c>
      <c r="J12" s="787">
        <v>0.81980878021183923</v>
      </c>
      <c r="K12" s="787">
        <f t="shared" ref="K12:K18" si="0">+IFERROR(((F12/E12-1)*100),"-")</f>
        <v>1.0422654162344447</v>
      </c>
      <c r="L12" s="787">
        <f t="shared" ref="L12:L18" si="1">IFERROR((F12-E12)/$E$22*100,"-")</f>
        <v>0.21967644356654992</v>
      </c>
      <c r="N12" s="188"/>
      <c r="O12" s="188"/>
      <c r="P12" s="198"/>
      <c r="Q12" s="188"/>
      <c r="R12" s="194"/>
    </row>
    <row r="13" spans="2:18" s="189" customFormat="1" ht="15" customHeight="1">
      <c r="B13" s="190"/>
      <c r="C13" s="1081" t="s">
        <v>49</v>
      </c>
      <c r="D13" s="1076"/>
      <c r="E13" s="784">
        <f>'5 - Conta AC + SS'!F34</f>
        <v>7226.7733380399959</v>
      </c>
      <c r="F13" s="784">
        <f>'5 - Conta AC + SS'!G34</f>
        <v>7773.7071171200214</v>
      </c>
      <c r="G13" s="1079"/>
      <c r="H13" s="1079">
        <v>477.32999467006084</v>
      </c>
      <c r="I13" s="784">
        <f>F13-E13</f>
        <v>546.93377908002549</v>
      </c>
      <c r="J13" s="784">
        <v>7.4847885788844826</v>
      </c>
      <c r="K13" s="787">
        <f t="shared" si="0"/>
        <v>7.5681601386485609</v>
      </c>
      <c r="L13" s="787">
        <f t="shared" si="1"/>
        <v>0.84604393021016477</v>
      </c>
      <c r="N13" s="188"/>
      <c r="O13" s="188"/>
      <c r="P13" s="198"/>
      <c r="Q13" s="188"/>
      <c r="R13" s="194"/>
    </row>
    <row r="14" spans="2:18" s="189" customFormat="1" ht="15" customHeight="1">
      <c r="B14" s="190"/>
      <c r="C14" s="1081" t="s">
        <v>48</v>
      </c>
      <c r="D14" s="1076"/>
      <c r="E14" s="784">
        <f>'5 - Conta AC + SS'!F35</f>
        <v>4605.2334195300054</v>
      </c>
      <c r="F14" s="784">
        <f>'5 - Conta AC + SS'!G35</f>
        <v>4160.2757008900007</v>
      </c>
      <c r="G14" s="1079"/>
      <c r="H14" s="1079">
        <v>-438.06232922000027</v>
      </c>
      <c r="I14" s="784">
        <f>F14-E14</f>
        <v>-444.95771864000471</v>
      </c>
      <c r="J14" s="784">
        <v>-9.7854675390193542</v>
      </c>
      <c r="K14" s="787">
        <f t="shared" si="0"/>
        <v>-9.6620014254438331</v>
      </c>
      <c r="L14" s="787">
        <f t="shared" si="1"/>
        <v>-0.68829864136158403</v>
      </c>
      <c r="N14" s="188"/>
      <c r="O14" s="188"/>
      <c r="P14" s="198"/>
      <c r="Q14" s="188"/>
      <c r="R14" s="194"/>
    </row>
    <row r="15" spans="2:18" s="189" customFormat="1" ht="15" customHeight="1">
      <c r="B15" s="190"/>
      <c r="C15" s="1081" t="s">
        <v>47</v>
      </c>
      <c r="D15" s="1076"/>
      <c r="E15" s="784">
        <f>'5 - Conta AC + SS'!F36+'5 - Conta AC + SS'!F44</f>
        <v>35088.551442220007</v>
      </c>
      <c r="F15" s="784">
        <f>'5 - Conta AC + SS'!G36+'5 - Conta AC + SS'!G44</f>
        <v>34729.446285140017</v>
      </c>
      <c r="G15" s="784"/>
      <c r="H15" s="784">
        <v>-427.7029742099985</v>
      </c>
      <c r="I15" s="784">
        <f>F15-E15</f>
        <v>-359.10515707999002</v>
      </c>
      <c r="J15" s="784">
        <v>-1.3520913969932935</v>
      </c>
      <c r="K15" s="787">
        <f t="shared" si="0"/>
        <v>-1.023425426014879</v>
      </c>
      <c r="L15" s="787">
        <f t="shared" si="1"/>
        <v>-0.55549455907758005</v>
      </c>
      <c r="N15" s="188"/>
      <c r="O15" s="188"/>
      <c r="P15" s="198"/>
      <c r="Q15" s="188"/>
      <c r="R15" s="194"/>
    </row>
    <row r="16" spans="2:18" s="189" customFormat="1" ht="15" customHeight="1">
      <c r="B16" s="190"/>
      <c r="C16" s="1081" t="s">
        <v>46</v>
      </c>
      <c r="D16" s="1076"/>
      <c r="E16" s="784">
        <f>'5 - Conta AC + SS'!F39</f>
        <v>1121.5751236499998</v>
      </c>
      <c r="F16" s="784">
        <f>'5 - Conta AC + SS'!G39</f>
        <v>1134.8709286699998</v>
      </c>
      <c r="G16" s="784"/>
      <c r="H16" s="784">
        <v>-14.783958139999982</v>
      </c>
      <c r="I16" s="784">
        <f t="shared" ref="I16:I19" si="2">F16-E16</f>
        <v>13.295805019999989</v>
      </c>
      <c r="J16" s="784">
        <v>-1.4486634406050802</v>
      </c>
      <c r="K16" s="787">
        <f t="shared" si="0"/>
        <v>1.1854582666501079</v>
      </c>
      <c r="L16" s="787">
        <f t="shared" si="1"/>
        <v>2.0567087944997703E-2</v>
      </c>
      <c r="N16" s="188"/>
      <c r="O16" s="188"/>
      <c r="P16" s="198"/>
      <c r="Q16" s="188"/>
      <c r="R16" s="194"/>
    </row>
    <row r="17" spans="2:18" s="189" customFormat="1" ht="15" customHeight="1">
      <c r="B17" s="190"/>
      <c r="C17" s="1081" t="s">
        <v>45</v>
      </c>
      <c r="D17" s="1076"/>
      <c r="E17" s="784">
        <f>'5 - Conta AC + SS'!F43</f>
        <v>2258.4561910799994</v>
      </c>
      <c r="F17" s="784">
        <f>'5 - Conta AC + SS'!G43</f>
        <v>2423.5339308199991</v>
      </c>
      <c r="G17" s="1079"/>
      <c r="H17" s="1079">
        <v>238.14632352000126</v>
      </c>
      <c r="I17" s="784">
        <f t="shared" si="2"/>
        <v>165.07773973999974</v>
      </c>
      <c r="J17" s="784">
        <v>12.56664026359755</v>
      </c>
      <c r="K17" s="787">
        <f t="shared" si="0"/>
        <v>7.3093177716703428</v>
      </c>
      <c r="L17" s="787">
        <f t="shared" si="1"/>
        <v>0.25535636134005368</v>
      </c>
      <c r="N17" s="188"/>
      <c r="O17" s="188"/>
      <c r="P17" s="198"/>
      <c r="Q17" s="188"/>
      <c r="R17" s="194"/>
    </row>
    <row r="18" spans="2:18" s="189" customFormat="1" ht="15" customHeight="1">
      <c r="B18" s="190"/>
      <c r="C18" s="1081" t="s">
        <v>44</v>
      </c>
      <c r="D18" s="1076"/>
      <c r="E18" s="784">
        <f>'5 - Conta AC + SS'!F40+'5 - Conta AC + SS'!F47</f>
        <v>512.13488989999996</v>
      </c>
      <c r="F18" s="784">
        <f>'5 - Conta AC + SS'!G40+'5 - Conta AC + SS'!G47</f>
        <v>557.62363849999974</v>
      </c>
      <c r="G18" s="784"/>
      <c r="H18" s="784">
        <v>42.32002266000012</v>
      </c>
      <c r="I18" s="784">
        <f t="shared" si="2"/>
        <v>45.488748599999781</v>
      </c>
      <c r="J18" s="784">
        <v>10.950092013015066</v>
      </c>
      <c r="K18" s="787">
        <f t="shared" si="0"/>
        <v>8.8821811395981989</v>
      </c>
      <c r="L18" s="787">
        <f t="shared" si="1"/>
        <v>7.0365885447084234E-2</v>
      </c>
      <c r="N18" s="188"/>
      <c r="O18" s="188"/>
      <c r="P18" s="198"/>
      <c r="Q18" s="188"/>
      <c r="R18" s="194"/>
    </row>
    <row r="19" spans="2:18" s="189" customFormat="1" ht="15" customHeight="1">
      <c r="B19" s="190"/>
      <c r="C19" s="1081" t="s">
        <v>43</v>
      </c>
      <c r="D19" s="1076"/>
      <c r="E19" s="784">
        <f>'5 - Conta AC + SS'!F41+'5 - Conta AC + SS'!F48</f>
        <v>207.97270847000189</v>
      </c>
      <c r="F19" s="784">
        <f>'5 - Conta AC + SS'!G41+'5 - Conta AC + SS'!G48</f>
        <v>65.109008270001169</v>
      </c>
      <c r="G19" s="784"/>
      <c r="H19" s="784">
        <v>-35.876222419990725</v>
      </c>
      <c r="I19" s="784">
        <f t="shared" si="2"/>
        <v>-142.86370020000072</v>
      </c>
      <c r="J19" s="784"/>
      <c r="K19" s="787"/>
      <c r="L19" s="784"/>
      <c r="N19" s="188"/>
      <c r="O19" s="188"/>
      <c r="P19" s="198"/>
      <c r="Q19" s="197"/>
      <c r="R19" s="194"/>
    </row>
    <row r="20" spans="2:18" s="189" customFormat="1" ht="4.5" customHeight="1">
      <c r="B20" s="190"/>
      <c r="C20" s="1079"/>
      <c r="D20" s="1076"/>
      <c r="E20" s="784"/>
      <c r="F20" s="784"/>
      <c r="G20" s="1079"/>
      <c r="H20" s="1079"/>
      <c r="I20" s="784"/>
      <c r="J20" s="784"/>
      <c r="K20" s="787"/>
      <c r="L20" s="784"/>
      <c r="N20" s="188"/>
      <c r="O20" s="188"/>
      <c r="P20" s="198"/>
      <c r="Q20" s="197"/>
      <c r="R20" s="194"/>
    </row>
    <row r="21" spans="2:18" s="254" customFormat="1" ht="15" customHeight="1">
      <c r="B21" s="252"/>
      <c r="C21" s="1082" t="s">
        <v>42</v>
      </c>
      <c r="D21" s="1083"/>
      <c r="E21" s="1084">
        <f>+E22-E14</f>
        <v>60040.792578690001</v>
      </c>
      <c r="F21" s="1084">
        <f>+F22-F14</f>
        <v>60451.631884670045</v>
      </c>
      <c r="G21" s="1084"/>
      <c r="H21" s="1084">
        <v>379.76497869009472</v>
      </c>
      <c r="I21" s="1084">
        <f>+F21-E21</f>
        <v>410.83930598004372</v>
      </c>
      <c r="J21" s="1084">
        <v>0.7079445297235587</v>
      </c>
      <c r="K21" s="1085">
        <f>+IFERROR(((F21/E21-1)*100),"-")</f>
        <v>0.68426695973673457</v>
      </c>
      <c r="L21" s="1085">
        <f>IFERROR((F21-E21)/$E$22*100,"-")</f>
        <v>0.63552136366643164</v>
      </c>
      <c r="N21" s="253"/>
      <c r="O21" s="253"/>
      <c r="P21" s="255"/>
      <c r="Q21" s="256"/>
      <c r="R21" s="257"/>
    </row>
    <row r="22" spans="2:18" s="254" customFormat="1" ht="15" customHeight="1">
      <c r="B22" s="252"/>
      <c r="C22" s="1086" t="s">
        <v>41</v>
      </c>
      <c r="D22" s="1087"/>
      <c r="E22" s="1088">
        <f>SUM(E12:E19)</f>
        <v>64646.025998220008</v>
      </c>
      <c r="F22" s="1088">
        <f>SUM(F12:F19)</f>
        <v>64611.907585560046</v>
      </c>
      <c r="G22" s="1088"/>
      <c r="H22" s="1088">
        <v>-58.297350529908726</v>
      </c>
      <c r="I22" s="1088">
        <f>+F22-E22</f>
        <v>-34.118412659961905</v>
      </c>
      <c r="J22" s="1088">
        <v>-0.10030516899509623</v>
      </c>
      <c r="K22" s="1089">
        <f>+IFERROR(((F22/E22-1)*100),"-")</f>
        <v>-5.2777277695148506E-2</v>
      </c>
      <c r="L22" s="1088"/>
      <c r="N22" s="253"/>
      <c r="O22" s="253"/>
      <c r="P22" s="253"/>
      <c r="Q22" s="258"/>
      <c r="R22" s="257"/>
    </row>
    <row r="23" spans="2:18" s="189" customFormat="1" ht="15" customHeight="1">
      <c r="B23" s="190"/>
      <c r="C23" s="1081" t="s">
        <v>40</v>
      </c>
      <c r="D23" s="1090"/>
      <c r="E23" s="192"/>
      <c r="F23" s="192"/>
      <c r="G23" s="192"/>
      <c r="H23" s="192"/>
      <c r="I23" s="192"/>
      <c r="J23" s="192"/>
      <c r="K23" s="192"/>
      <c r="L23" s="787"/>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93"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8"/>
  <sheetViews>
    <sheetView showGridLines="0" zoomScaleNormal="100" workbookViewId="0">
      <selection activeCell="B2" sqref="B2"/>
    </sheetView>
  </sheetViews>
  <sheetFormatPr defaultColWidth="9.453125" defaultRowHeight="14.5"/>
  <cols>
    <col min="1" max="1" width="2.54296875" style="596" customWidth="1"/>
    <col min="2" max="2" width="4.453125" style="420" customWidth="1"/>
    <col min="3" max="3" width="62.1796875" style="420" customWidth="1"/>
    <col min="4" max="4" width="10.7265625" style="420" customWidth="1"/>
    <col min="5" max="5" width="12.54296875" style="421" customWidth="1"/>
    <col min="6" max="6" width="17.453125" customWidth="1"/>
    <col min="11" max="11" width="10.54296875" bestFit="1" customWidth="1"/>
    <col min="12" max="12" width="15.453125" bestFit="1" customWidth="1"/>
    <col min="13" max="13" width="19.453125" style="420" bestFit="1" customWidth="1"/>
    <col min="14" max="14" width="9.54296875" style="420" bestFit="1" customWidth="1"/>
    <col min="15" max="15" width="9.453125" style="420"/>
    <col min="16" max="16" width="10.54296875" style="420" bestFit="1" customWidth="1"/>
    <col min="17" max="16384" width="9.453125" style="420"/>
  </cols>
  <sheetData>
    <row r="2" spans="1:18" s="595" customFormat="1" ht="37.5" customHeight="1">
      <c r="A2" s="594"/>
      <c r="B2" s="8"/>
      <c r="C2" s="1677"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77"/>
      <c r="E2" s="354"/>
      <c r="F2"/>
      <c r="G2"/>
      <c r="H2"/>
      <c r="I2"/>
      <c r="J2"/>
      <c r="K2"/>
      <c r="L2"/>
      <c r="M2" s="188"/>
    </row>
    <row r="3" spans="1:18" s="189" customFormat="1" ht="15" customHeight="1">
      <c r="D3" s="516"/>
      <c r="E3" s="354"/>
      <c r="F3" s="354"/>
      <c r="G3" s="354"/>
      <c r="H3" s="354"/>
      <c r="I3" s="354"/>
      <c r="J3" s="354"/>
      <c r="K3" s="354"/>
      <c r="L3" s="188"/>
      <c r="M3" s="446"/>
      <c r="N3" s="447"/>
      <c r="O3" s="190"/>
      <c r="P3" s="188"/>
      <c r="Q3" s="188"/>
      <c r="R3" s="188"/>
    </row>
    <row r="4" spans="1:18" s="189" customFormat="1" ht="15" customHeight="1">
      <c r="C4" s="1673"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73"/>
      <c r="E4" s="1673"/>
      <c r="F4" s="1673"/>
      <c r="G4" s="1673"/>
      <c r="H4" s="1673"/>
      <c r="I4" s="1673"/>
      <c r="J4" s="354"/>
      <c r="K4" s="354"/>
      <c r="L4" s="188"/>
      <c r="M4" s="446"/>
      <c r="N4" s="447"/>
      <c r="O4" s="190"/>
      <c r="P4" s="188"/>
      <c r="Q4" s="188"/>
      <c r="R4" s="188"/>
    </row>
    <row r="5" spans="1:18" ht="15" customHeight="1">
      <c r="A5" s="421"/>
      <c r="B5" s="421"/>
      <c r="C5" s="421"/>
      <c r="D5" s="421"/>
      <c r="E5" s="439"/>
      <c r="F5" s="439"/>
      <c r="G5" s="439"/>
      <c r="H5" s="439"/>
      <c r="I5" s="439"/>
      <c r="J5" s="421"/>
      <c r="K5" s="420"/>
      <c r="L5" s="420"/>
      <c r="M5" s="448"/>
      <c r="N5" s="448"/>
    </row>
    <row r="6" spans="1:18">
      <c r="C6" s="852" t="str">
        <f>+'5 - Conta AC + SS'!C5</f>
        <v>Período: janeiro a setembro</v>
      </c>
      <c r="D6" s="733" t="str">
        <f>IF(Indice_index!$Z$1=1,"€ Milhões","€ Millions")</f>
        <v>€ Milhões</v>
      </c>
      <c r="E6" s="612"/>
    </row>
    <row r="7" spans="1:18" ht="21" customHeight="1">
      <c r="A7" s="1676"/>
      <c r="C7" s="1042" t="str">
        <f>IF(Indice_index!$Z$1=1,"Medida Covid-19","COVID-19 Policy Measure")</f>
        <v>Medida Covid-19</v>
      </c>
      <c r="D7" s="1043" t="s">
        <v>66</v>
      </c>
      <c r="E7" s="612"/>
      <c r="F7" s="1673"/>
      <c r="G7" s="1673"/>
      <c r="H7" s="1673"/>
      <c r="I7" s="1673"/>
      <c r="J7" s="1673"/>
      <c r="K7" s="1673"/>
      <c r="L7" s="1673"/>
    </row>
    <row r="8" spans="1:18" ht="2.25" customHeight="1">
      <c r="A8" s="1676"/>
      <c r="C8" s="1044"/>
      <c r="D8" s="1045"/>
      <c r="E8" s="612"/>
    </row>
    <row r="9" spans="1:18" ht="12" customHeight="1">
      <c r="A9" s="607"/>
      <c r="C9" s="1046" t="str">
        <f>IF(Indice_index!$Z$1=1,"Prorrogação do pagamento do IVA","Extension of VAT payment")</f>
        <v>Prorrogação do pagamento do IVA</v>
      </c>
      <c r="D9" s="1047">
        <v>405.02697418999998</v>
      </c>
      <c r="E9" s="612"/>
    </row>
    <row r="10" spans="1:18" ht="12" customHeight="1">
      <c r="A10" s="597"/>
      <c r="C10" s="1046" t="str">
        <f>IF(Indice_index!$Z$1=1,"Limitação extraordinária de pagamentos por conta em sede de IRS ou IRC","Extraordinary limitation of prepayments related with IRS or IRC")</f>
        <v>Limitação extraordinária de pagamentos por conta em sede de IRS ou IRC</v>
      </c>
      <c r="D10" s="1047">
        <v>38.506420890000001</v>
      </c>
      <c r="E10" s="612"/>
    </row>
    <row r="11" spans="1:18" ht="12" customHeight="1">
      <c r="A11" s="598"/>
      <c r="C11" s="1046" t="str">
        <f>IF(Indice_index!$Z$1=1,"Isenção de pagamento da Taxa Social Única (estimativa)","Exemption from payment of the social security contributions (estimate)")</f>
        <v>Isenção de pagamento da Taxa Social Única (estimativa)</v>
      </c>
      <c r="D11" s="1047">
        <v>7.6938402718499992</v>
      </c>
      <c r="E11" s="612"/>
    </row>
    <row r="12" spans="1:18" ht="12" hidden="1" customHeight="1">
      <c r="A12" s="598"/>
      <c r="C12" s="1046" t="str">
        <f>IF(Indice_index!$Z$1=1,"Adiamento, redução ou isenção de rendas de imóveis","Postponement, reduction or exemption of property rents payment")</f>
        <v>Adiamento, redução ou isenção de rendas de imóveis</v>
      </c>
      <c r="D12" s="1047">
        <v>2.3677019999999997E-2</v>
      </c>
      <c r="E12" s="612"/>
    </row>
    <row r="13" spans="1:18" ht="12" customHeight="1">
      <c r="A13" s="598"/>
      <c r="C13" s="1046" t="str">
        <f>IF(Indice_index!$Z$1=1,"Revenda de vacinas contra a COVID-19 a países terceiros","Resale of vaccines against COVID-19 to third countries")</f>
        <v>Revenda de vacinas contra a COVID-19 a países terceiros</v>
      </c>
      <c r="D13" s="1039">
        <v>-39.724086960000001</v>
      </c>
      <c r="E13" s="612"/>
    </row>
    <row r="14" spans="1:18" ht="2.25" customHeight="1">
      <c r="C14" s="1048"/>
      <c r="D14" s="1049"/>
      <c r="E14" s="612"/>
    </row>
    <row r="15" spans="1:18" ht="12" customHeight="1">
      <c r="C15" s="1050" t="str">
        <f>IF(Indice_index!$Z$1=1,"Receita","Revenue")</f>
        <v>Receita</v>
      </c>
      <c r="D15" s="1051">
        <f>SUM(D9:D14)</f>
        <v>411.52682541184993</v>
      </c>
      <c r="E15" s="638"/>
      <c r="F15" s="618"/>
    </row>
    <row r="16" spans="1:18" ht="5.15" customHeight="1">
      <c r="C16" s="1052"/>
      <c r="D16" s="1053"/>
      <c r="E16" s="612"/>
    </row>
    <row r="17" spans="1:5" ht="12" customHeight="1">
      <c r="C17" s="1054" t="str">
        <f>IF(Indice_index!$Z$1=1,"Apoio às empresas","Enterpises support")</f>
        <v>Apoio às empresas</v>
      </c>
      <c r="D17" s="1055">
        <f>D18+D25+D22+D24</f>
        <v>647.60954794000008</v>
      </c>
      <c r="E17" s="637"/>
    </row>
    <row r="18" spans="1:5" ht="12" customHeight="1">
      <c r="C18" s="1056" t="str">
        <f>IF(Indice_index!$Z$1=1,"Apoios aos custos com trabalhadores","Support for workers' costs")</f>
        <v>Apoios aos custos com trabalhadores</v>
      </c>
      <c r="D18" s="1055">
        <f>D19+D21+D20</f>
        <v>168.50024479000001</v>
      </c>
      <c r="E18" s="637"/>
    </row>
    <row r="19" spans="1:5" ht="12" customHeight="1">
      <c r="A19" s="599"/>
      <c r="C19" s="1046" t="str">
        <f>IF(Indice_index!$Z$1=1,"Incentivo à normalização","Incentive to normalization")</f>
        <v>Incentivo à normalização</v>
      </c>
      <c r="D19" s="1039">
        <v>115.80833284000001</v>
      </c>
      <c r="E19" s="637"/>
    </row>
    <row r="20" spans="1:5" ht="12" customHeight="1">
      <c r="A20" s="599"/>
      <c r="C20" s="1046" t="str">
        <f>IF(Indice_index!$Z$1=1,"Apoio extraordinário à retoma progressiva de atividade","Extraordinary support for the progressive resumption of activity")</f>
        <v>Apoio extraordinário à retoma progressiva de atividade</v>
      </c>
      <c r="D20" s="1039">
        <v>43.404192849999994</v>
      </c>
      <c r="E20" s="637"/>
    </row>
    <row r="21" spans="1:5" ht="12" customHeight="1">
      <c r="A21" s="599"/>
      <c r="C21" s="1046" t="str">
        <f>IF(Indice_index!$Z$1=1,"Layoff Simplificado","Simplified layoff")</f>
        <v>Layoff Simplificado</v>
      </c>
      <c r="D21" s="1039">
        <v>9.2877190999999986</v>
      </c>
      <c r="E21" s="637"/>
    </row>
    <row r="22" spans="1:5" ht="12" customHeight="1">
      <c r="A22" s="599"/>
      <c r="C22" s="1056" t="str">
        <f>IF(Indice_index!$Z$1=1,"Apoios a outros custos fixos das empresas","Support for other fixed costs of companies")</f>
        <v>Apoios a outros custos fixos das empresas</v>
      </c>
      <c r="D22" s="1055">
        <f>D23</f>
        <v>45.337953759999998</v>
      </c>
      <c r="E22" s="637"/>
    </row>
    <row r="23" spans="1:5" ht="12" customHeight="1">
      <c r="A23" s="599"/>
      <c r="C23" s="1046" t="str">
        <f>IF(Indice_index!$Z$1=1,"Programa Apoiar (APOIAR.PT, APOIAR Rendas e APOIAR + Simples)","Apoiar Program (APOIAR.PT, APOIAR rentals and APOIAR simple plus)")</f>
        <v>Programa Apoiar (APOIAR.PT, APOIAR Rendas e APOIAR + Simples)</v>
      </c>
      <c r="D23" s="1039">
        <v>45.337953759999998</v>
      </c>
      <c r="E23" s="637"/>
    </row>
    <row r="24" spans="1:5" ht="12" customHeight="1">
      <c r="A24" s="599"/>
      <c r="C24" s="1057" t="str">
        <f>IF(Indice_index!$Z$1=1,"Apoios ao setor dos transportes","Transport Subsidies")</f>
        <v>Apoios ao setor dos transportes</v>
      </c>
      <c r="D24" s="1058">
        <v>21.655328000000001</v>
      </c>
      <c r="E24" s="637"/>
    </row>
    <row r="25" spans="1:5" ht="12" customHeight="1">
      <c r="A25" s="599"/>
      <c r="C25" s="1056" t="str">
        <f>IF(Indice_index!$Z$1=1,"Outros","Other benefits")</f>
        <v>Outros</v>
      </c>
      <c r="D25" s="1058">
        <f>SUM(D26:D31)</f>
        <v>412.11602139000001</v>
      </c>
      <c r="E25" s="637"/>
    </row>
    <row r="26" spans="1:5" ht="12" customHeight="1">
      <c r="A26" s="599"/>
      <c r="C26" s="1046" t="str">
        <f>IF(Indice_index!$Z$1=1,"Programa Ativar (inclui bolsas de formação)","ATIVAR.PT Program (includes training grants)")</f>
        <v>Programa Ativar (inclui bolsas de formação)</v>
      </c>
      <c r="D26" s="1039">
        <v>285.41401323000002</v>
      </c>
      <c r="E26" s="637"/>
    </row>
    <row r="27" spans="1:5" ht="12" customHeight="1">
      <c r="A27" s="599"/>
      <c r="C27" s="1046" t="str">
        <f>IF(Indice_index!$Z$1=1,"Compensação ao aumento do valor da retribuição mínima mensal garantida","Compensation for the increase in the guaranteed minimum monthly salary")</f>
        <v>Compensação ao aumento do valor da retribuição mínima mensal garantida</v>
      </c>
      <c r="D27" s="1039">
        <v>90.58672</v>
      </c>
      <c r="E27" s="637"/>
    </row>
    <row r="28" spans="1:5" ht="12" customHeight="1">
      <c r="A28" s="599"/>
      <c r="C28" s="1046" t="str">
        <f>IF(Indice_index!$Z$1=1,"Programa Garantir Cultura","Guarantee Culture Program")</f>
        <v>Programa Garantir Cultura</v>
      </c>
      <c r="D28" s="1039">
        <v>11.112152500000001</v>
      </c>
      <c r="E28" s="637"/>
    </row>
    <row r="29" spans="1:5" ht="12" customHeight="1">
      <c r="A29" s="599"/>
      <c r="C29" s="1046" t="str">
        <f>IF(Indice_index!$Z$1=1,"Incentivos à inovação e à Investigação e Desenvolvimento","
Incentives for innovation and Research and Development")</f>
        <v>Incentivos à inovação e à Investigação e Desenvolvimento</v>
      </c>
      <c r="D29" s="1039">
        <v>11.500565639999996</v>
      </c>
      <c r="E29" s="637"/>
    </row>
    <row r="30" spans="1:5" ht="12" customHeight="1">
      <c r="A30" s="599"/>
      <c r="C30" s="1046" t="str">
        <f>IF(Indice_index!$Z$1=1,"Programa Adaptar (Adaptar, Adaptar Turismo)","Adaptar Program (Adpatar, Adaptar Tourism")</f>
        <v>Programa Adaptar (Adaptar, Adaptar Turismo)</v>
      </c>
      <c r="D30" s="1039">
        <v>4.8537952500000001</v>
      </c>
      <c r="E30" s="637"/>
    </row>
    <row r="31" spans="1:5" ht="12" customHeight="1">
      <c r="A31" s="599"/>
      <c r="C31" s="1046" t="str">
        <f>IF(Indice_index!$Z$1=1,"Outros apoios a empresas","Other benefits to companies")</f>
        <v>Outros apoios a empresas</v>
      </c>
      <c r="D31" s="1039">
        <v>8.6487747699999993</v>
      </c>
      <c r="E31" s="637"/>
    </row>
    <row r="32" spans="1:5" ht="12" customHeight="1">
      <c r="A32" s="599"/>
      <c r="C32" s="1054" t="str">
        <f>IF(Indice_index!$Z$1=1,"Apoio ao rendimento das famílias","Support of families income")</f>
        <v>Apoio ao rendimento das famílias</v>
      </c>
      <c r="D32" s="1055">
        <f>SUM(D33:D40)</f>
        <v>461.78222247000008</v>
      </c>
      <c r="E32" s="637"/>
    </row>
    <row r="33" spans="1:5" ht="12" customHeight="1">
      <c r="A33" s="599"/>
      <c r="C33" s="1059" t="str">
        <f>IF(Indice_index!$Z$1=1,"Isolamento profilático","Prophylactic isolation benefit")</f>
        <v>Isolamento profilático</v>
      </c>
      <c r="D33" s="1039">
        <v>243.00384609</v>
      </c>
      <c r="E33" s="637"/>
    </row>
    <row r="34" spans="1:5" ht="12" customHeight="1">
      <c r="A34" s="599"/>
      <c r="B34" s="599"/>
      <c r="C34" s="1046" t="str">
        <f>IF(Indice_index!$Z$1=1,"Apoios extraordinários ao rendimento dos trabalhadores","Extraordinary support of workers income")</f>
        <v>Apoios extraordinários ao rendimento dos trabalhadores</v>
      </c>
      <c r="D34" s="1039">
        <v>75.896832669999995</v>
      </c>
      <c r="E34" s="637"/>
    </row>
    <row r="35" spans="1:5" ht="12" customHeight="1">
      <c r="A35" s="599"/>
      <c r="C35" s="1046" t="str">
        <f>IF(Indice_index!$Z$1=1,"Subsídio de doença","Sick benefit")</f>
        <v>Subsídio de doença</v>
      </c>
      <c r="D35" s="1039">
        <v>66.185609330000005</v>
      </c>
      <c r="E35" s="637"/>
    </row>
    <row r="36" spans="1:5" ht="12" customHeight="1">
      <c r="A36" s="600"/>
      <c r="B36" s="421"/>
      <c r="C36" s="1046" t="str">
        <f>+IF(Indice_index!$Z$1=1,"Programa AUTOvoucher","AUTOvoucher Program")</f>
        <v>Programa AUTOvoucher</v>
      </c>
      <c r="D36" s="1039">
        <v>30</v>
      </c>
      <c r="E36" s="637"/>
    </row>
    <row r="37" spans="1:5" ht="12" customHeight="1">
      <c r="A37" s="599"/>
      <c r="C37" s="1046" t="str">
        <f>IF(Indice_index!$Z$1=1,"Subsídios de assistência a filho e a neto","Allowances for child and grandchild's care")</f>
        <v>Subsídios de assistência a filho e a neto</v>
      </c>
      <c r="D37" s="1039">
        <v>15.259720160000001</v>
      </c>
      <c r="E37" s="637"/>
    </row>
    <row r="38" spans="1:5" ht="12" customHeight="1">
      <c r="A38" s="599"/>
      <c r="C38" s="1046" t="str">
        <f>IF(Indice_index!$Z$1=1,"Apoios excecional à família","Extraordinary benefits to families")</f>
        <v>Apoios excecional à família</v>
      </c>
      <c r="D38" s="1039">
        <v>8.1454940899999997</v>
      </c>
      <c r="E38" s="637"/>
    </row>
    <row r="39" spans="1:5" ht="12" customHeight="1">
      <c r="A39" s="599"/>
      <c r="C39" s="1046" t="str">
        <f>IF(Indice_index!$Z$1=1,"Prestações por doenças profissionais","Benefits for professional illnesses")</f>
        <v>Prestações por doenças profissionais</v>
      </c>
      <c r="D39" s="1039">
        <v>1.2565040699999999</v>
      </c>
      <c r="E39" s="637"/>
    </row>
    <row r="40" spans="1:5" ht="12" customHeight="1">
      <c r="A40" s="599"/>
      <c r="C40" s="1046" t="str">
        <f>IF(Indice_index!$Z$1=1,"Outros apoios de proteção social","Other social protection benefits")</f>
        <v>Outros apoios de proteção social</v>
      </c>
      <c r="D40" s="1039">
        <v>22.034216060000002</v>
      </c>
      <c r="E40" s="637"/>
    </row>
    <row r="41" spans="1:5" ht="12" customHeight="1">
      <c r="A41" s="599"/>
      <c r="C41" s="1054" t="str">
        <f>IF(Indice_index!$Z$1=1,"Saúde","Health sector")</f>
        <v>Saúde</v>
      </c>
      <c r="D41" s="1055">
        <f>SUM(D42:D46)</f>
        <v>878.3138451179999</v>
      </c>
      <c r="E41" s="637"/>
    </row>
    <row r="42" spans="1:5" ht="12" customHeight="1">
      <c r="A42" s="599"/>
      <c r="C42" s="1046" t="str">
        <f>IF(Indice_index!$Z$1=1,"Aquisição de vacinas","Purchasing of vaccines")</f>
        <v>Aquisição de vacinas</v>
      </c>
      <c r="D42" s="1039">
        <v>298.91527948999999</v>
      </c>
      <c r="E42" s="637"/>
    </row>
    <row r="43" spans="1:5" ht="12" customHeight="1">
      <c r="A43" s="599"/>
      <c r="C43" s="1046" t="str">
        <f>IF(Indice_index!$Z$1=1,"Testes COVID-19","COVID-19 tests ")</f>
        <v>Testes COVID-19</v>
      </c>
      <c r="D43" s="1039">
        <v>279.28184105000008</v>
      </c>
      <c r="E43" s="637"/>
    </row>
    <row r="44" spans="1:5" ht="12" customHeight="1">
      <c r="A44" s="599"/>
      <c r="C44" s="1046" t="str">
        <f>IF(Indice_index!$Z$1=1,"Recursos humanos (contratações, horas extra e outros abonos)","Human resources (hiring, overtime and other allowances)")</f>
        <v>Recursos humanos (contratações, horas extra e outros abonos)</v>
      </c>
      <c r="D44" s="1039">
        <v>208.57256986000004</v>
      </c>
      <c r="E44" s="637"/>
    </row>
    <row r="45" spans="1:5" ht="12" customHeight="1">
      <c r="A45" s="599"/>
      <c r="C45" s="1046" t="str">
        <f>IF(Indice_index!$Z$1=1,"EPI, medicamentos e outros","Personal protective equipment, medicines and others")</f>
        <v>EPI, medicamentos e outros</v>
      </c>
      <c r="D45" s="1039">
        <v>82.919043147999943</v>
      </c>
      <c r="E45" s="637"/>
    </row>
    <row r="46" spans="1:5" ht="12" customHeight="1">
      <c r="A46" s="599"/>
      <c r="C46" s="1046" t="str">
        <f>IF(Indice_index!$Z$1=1,"Equipamentos e outros","Equipment and others")</f>
        <v>Equipamentos e outros</v>
      </c>
      <c r="D46" s="1047">
        <v>8.6251115699999996</v>
      </c>
      <c r="E46" s="637"/>
    </row>
    <row r="47" spans="1:5" ht="12" customHeight="1">
      <c r="A47" s="599"/>
      <c r="C47" s="1054" t="str">
        <f>IF(Indice_index!$Z$1=1,"Outros","Other benefits")</f>
        <v>Outros</v>
      </c>
      <c r="D47" s="1055">
        <f>SUM(D48:D54)</f>
        <v>483.54917848499986</v>
      </c>
      <c r="E47" s="637"/>
    </row>
    <row r="48" spans="1:5" ht="12" customHeight="1">
      <c r="A48" s="599"/>
      <c r="C48" s="1046" t="str">
        <f>IF(Indice_index!$Z$1=1,"Universalização da escola digital","Universalization of the digital school")</f>
        <v>Universalização da escola digital</v>
      </c>
      <c r="D48" s="1039">
        <v>206.49484296000003</v>
      </c>
      <c r="E48" s="637"/>
    </row>
    <row r="49" spans="1:12" ht="12" customHeight="1">
      <c r="A49" s="599"/>
      <c r="C49" s="1046" t="str">
        <f>IF(Indice_index!$Z$1=1,"Programa de Apoio a Edifícios Mais Sustentáveis","More Sustainable Building Support Program")</f>
        <v>Programa de Apoio a Edifícios Mais Sustentáveis</v>
      </c>
      <c r="D49" s="1047">
        <v>72.867560769999997</v>
      </c>
      <c r="E49" s="637"/>
    </row>
    <row r="50" spans="1:12" ht="12" customHeight="1">
      <c r="A50" s="599"/>
      <c r="C50" s="1060" t="str">
        <f>IF(Indice_index!$Z$1=1,"EPI, adaptação dos locais de trabalho, produtos e serviços de limpeza","Other sectors: personal protective equipment, workplaces adaptation, cleaning products and services")</f>
        <v>EPI, adaptação dos locais de trabalho, produtos e serviços de limpeza</v>
      </c>
      <c r="D50" s="1039">
        <v>28.731191769999995</v>
      </c>
      <c r="E50" s="637"/>
    </row>
    <row r="51" spans="1:12" ht="12" customHeight="1">
      <c r="A51" s="599"/>
      <c r="C51" s="1046" t="str">
        <f>IF(Indice_index!$Z$1=1,"Recursos humanos (contratações, horas extra e outros abonos)","Human resources (hiring, overtime and other allowances)")</f>
        <v>Recursos humanos (contratações, horas extra e outros abonos)</v>
      </c>
      <c r="D51" s="1039">
        <v>18.086303249999997</v>
      </c>
      <c r="E51" s="637"/>
    </row>
    <row r="52" spans="1:12" ht="12" customHeight="1">
      <c r="A52" s="599"/>
      <c r="C52" s="1046" t="str">
        <f>IF(Indice_index!$Z$1=1,"Reforço de emergência de equipamentos sociais e de saúde","Emergency reinforcement of social and health facilities")</f>
        <v>Reforço de emergência de equipamentos sociais e de saúde</v>
      </c>
      <c r="D52" s="1039">
        <v>12.068686110000002</v>
      </c>
      <c r="E52" s="637"/>
    </row>
    <row r="53" spans="1:12" ht="12" customHeight="1">
      <c r="A53" s="599"/>
      <c r="C53" s="1046" t="str">
        <f>IF(Indice_index!$Z$1=1,"Programa Vale Eficiência ","Financial support program for energy efficiency")</f>
        <v xml:space="preserve">Programa Vale Eficiência </v>
      </c>
      <c r="D53" s="1039">
        <v>3.4208496099999999</v>
      </c>
      <c r="E53" s="637"/>
    </row>
    <row r="54" spans="1:12" ht="12" customHeight="1">
      <c r="A54" s="599"/>
      <c r="C54" s="1046" t="str">
        <f>IF(Indice_index!$Z$1=1,"Outras despesas","Other expenditures")</f>
        <v>Outras despesas</v>
      </c>
      <c r="D54" s="1039">
        <v>141.87974401499983</v>
      </c>
      <c r="E54" s="637"/>
    </row>
    <row r="55" spans="1:12" ht="3" customHeight="1">
      <c r="A55" s="599"/>
      <c r="C55" s="1061"/>
      <c r="D55" s="1039"/>
      <c r="E55" s="615"/>
    </row>
    <row r="56" spans="1:12" ht="12" customHeight="1">
      <c r="C56" s="1062" t="str">
        <f>IF(Indice_index!$Z$1=1,"Despesa ","Expenditure")</f>
        <v xml:space="preserve">Despesa </v>
      </c>
      <c r="D56" s="1051">
        <f>+D47+D41+D32+D17</f>
        <v>2471.2547940129998</v>
      </c>
      <c r="E56" s="629"/>
      <c r="F56" s="628"/>
      <c r="G56" s="609"/>
      <c r="H56" s="609"/>
      <c r="I56" s="609"/>
    </row>
    <row r="57" spans="1:12" ht="6.65" customHeight="1">
      <c r="C57" s="1062"/>
      <c r="D57" s="1051"/>
      <c r="E57" s="616"/>
      <c r="F57" s="609"/>
      <c r="G57" s="609"/>
      <c r="H57" s="609"/>
      <c r="I57" s="609"/>
    </row>
    <row r="58" spans="1:12" ht="12" customHeight="1">
      <c r="A58" s="599"/>
      <c r="C58" s="1062" t="str">
        <f>IF(Indice_index!$Z$1=1,"Linhas de apoio","Benefits line")</f>
        <v>Linhas de apoio</v>
      </c>
      <c r="D58" s="1051">
        <f>SUM(D59:D60)</f>
        <v>286.49788200999996</v>
      </c>
      <c r="E58" s="614"/>
      <c r="F58" s="608"/>
      <c r="G58" s="608"/>
      <c r="H58" s="608"/>
      <c r="I58" s="608"/>
      <c r="J58" s="420"/>
      <c r="K58" s="420"/>
      <c r="L58" s="420"/>
    </row>
    <row r="59" spans="1:12" ht="12" customHeight="1">
      <c r="A59" s="599"/>
      <c r="C59" s="1063" t="str">
        <f>IF(Indice_index!$Z$1=1,"Linha de apoio tesouraria MPE","Treasury support line for SME")</f>
        <v>Linha de apoio tesouraria MPE</v>
      </c>
      <c r="D59" s="1047">
        <v>273.49963200999997</v>
      </c>
      <c r="E59" s="617"/>
      <c r="F59" s="610"/>
      <c r="G59" s="610"/>
      <c r="H59" s="610"/>
      <c r="I59" s="608"/>
      <c r="J59" s="420"/>
      <c r="K59" s="420"/>
      <c r="L59" s="420"/>
    </row>
    <row r="60" spans="1:12" ht="12" customHeight="1">
      <c r="A60" s="599"/>
      <c r="C60" s="1063" t="str">
        <f>IF(Indice_index!$Z$1=1,"Outros apoios","Other benefits")</f>
        <v>Outros apoios</v>
      </c>
      <c r="D60" s="1039">
        <v>12.998250000000001</v>
      </c>
      <c r="E60" s="617"/>
      <c r="F60" s="610"/>
      <c r="G60" s="610"/>
      <c r="H60" s="610"/>
      <c r="I60" s="608"/>
      <c r="J60" s="420"/>
      <c r="K60" s="420"/>
      <c r="L60" s="420"/>
    </row>
    <row r="61" spans="1:12" ht="12" customHeight="1">
      <c r="C61" s="1062" t="str">
        <f>IF(Indice_index!$Z$1=1,"Total das linhas","Total Benefits line")</f>
        <v>Total das linhas</v>
      </c>
      <c r="D61" s="1051">
        <f>SUM(D59:D60)</f>
        <v>286.49788200999996</v>
      </c>
      <c r="E61" s="614"/>
      <c r="F61" s="608"/>
      <c r="G61" s="608"/>
      <c r="H61" s="608"/>
      <c r="I61" s="608"/>
      <c r="J61" s="420"/>
      <c r="K61" s="420"/>
      <c r="L61" s="420"/>
    </row>
    <row r="62" spans="1:12" ht="3" customHeight="1">
      <c r="C62" s="1064"/>
      <c r="D62" s="1053"/>
      <c r="E62" s="614"/>
      <c r="F62" s="608"/>
      <c r="G62" s="608"/>
      <c r="H62" s="608"/>
      <c r="I62" s="608"/>
      <c r="J62" s="420"/>
      <c r="K62" s="420"/>
      <c r="L62" s="420"/>
    </row>
    <row r="63" spans="1:12" ht="12" customHeight="1">
      <c r="C63" s="1062" t="str">
        <f>IF(Indice_index!$Z$1=1,"Montante Global de despesa ","Global expenditure amount")</f>
        <v xml:space="preserve">Montante Global de despesa </v>
      </c>
      <c r="D63" s="1051">
        <f>+D61+D56</f>
        <v>2757.7526760229998</v>
      </c>
      <c r="E63" s="639"/>
      <c r="F63" s="619"/>
      <c r="G63" s="608"/>
      <c r="H63" s="608"/>
      <c r="I63" s="608"/>
      <c r="J63" s="420"/>
      <c r="K63" s="420"/>
      <c r="L63" s="420"/>
    </row>
    <row r="64" spans="1:12" ht="3.75" customHeight="1">
      <c r="C64" s="1052"/>
      <c r="D64" s="1052"/>
      <c r="E64" s="615"/>
      <c r="F64" s="609"/>
      <c r="G64" s="609"/>
      <c r="H64" s="609"/>
      <c r="I64" s="609"/>
    </row>
    <row r="65" spans="3:19">
      <c r="C65" s="1065" t="str">
        <f>IF(Indice_index!$Z$1=1,"Notas:","Notes:")</f>
        <v>Notas:</v>
      </c>
      <c r="D65" s="1066"/>
      <c r="E65" s="611"/>
    </row>
    <row r="66" spans="3:19" ht="86.25" customHeight="1">
      <c r="C6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normalidade'"&amp;C157,C158)</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6" s="1672"/>
      <c r="E66" s="621"/>
    </row>
    <row r="67" spans="3:19" ht="28.5" customHeight="1">
      <c r="C6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7" s="1678"/>
      <c r="E67" s="620"/>
    </row>
    <row r="68" spans="3:19" ht="33" customHeight="1">
      <c r="C6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8" s="1672"/>
      <c r="E68" s="621"/>
    </row>
    <row r="69" spans="3:19" ht="41.25" customHeight="1">
      <c r="C69" s="167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69" s="1675"/>
      <c r="E69" s="658"/>
      <c r="F69" s="658"/>
      <c r="G69" s="658"/>
      <c r="H69" s="658"/>
    </row>
    <row r="70" spans="3:19" s="22" customFormat="1" ht="22.5" hidden="1" customHeight="1">
      <c r="C70" s="1674"/>
      <c r="D70" s="1674"/>
      <c r="E70" s="62"/>
      <c r="F70" s="62"/>
      <c r="G70" s="62"/>
      <c r="H70" s="62"/>
      <c r="I70" s="62"/>
      <c r="J70" s="62"/>
      <c r="K70" s="62"/>
      <c r="R70" s="24"/>
      <c r="S70" s="24"/>
    </row>
    <row r="71" spans="3:19" ht="6.75" customHeight="1">
      <c r="C71" s="1067"/>
      <c r="D71" s="1067"/>
      <c r="E71" s="614"/>
    </row>
    <row r="72" spans="3:19">
      <c r="C72" s="1068" t="str">
        <f>IF(Indice_index!$Z$1=1,"Fonte:","Source:")</f>
        <v>Fonte:</v>
      </c>
      <c r="D72" s="1067"/>
      <c r="E72" s="614"/>
    </row>
    <row r="73" spans="3:19" ht="50.25" customHeight="1">
      <c r="C73" s="1672" t="s">
        <v>68</v>
      </c>
      <c r="D73" s="1672"/>
      <c r="E73" s="621"/>
    </row>
    <row r="74" spans="3:19">
      <c r="C74" s="421"/>
      <c r="D74" s="421"/>
    </row>
    <row r="75" spans="3:19">
      <c r="C75" s="421"/>
      <c r="D75" s="421"/>
    </row>
    <row r="76" spans="3:19">
      <c r="C76" s="421"/>
      <c r="D76" s="421"/>
    </row>
    <row r="77" spans="3:19">
      <c r="C77" s="421"/>
      <c r="D77" s="421"/>
    </row>
    <row r="78" spans="3:19">
      <c r="C78" s="421"/>
      <c r="D78" s="421"/>
    </row>
    <row r="79" spans="3:19">
      <c r="C79" s="421"/>
      <c r="D79" s="421"/>
    </row>
    <row r="80" spans="3:19">
      <c r="C80" s="421"/>
      <c r="D80" s="421"/>
    </row>
    <row r="81" spans="3:9">
      <c r="C81" s="421"/>
      <c r="D81" s="421"/>
    </row>
    <row r="82" spans="3:9">
      <c r="C82" s="421"/>
      <c r="D82" s="421"/>
    </row>
    <row r="83" spans="3:9">
      <c r="C83" s="421"/>
      <c r="D83" s="421"/>
    </row>
    <row r="84" spans="3:9">
      <c r="C84" s="421"/>
      <c r="D84" s="421"/>
      <c r="E84" s="612"/>
      <c r="F84" s="659"/>
      <c r="G84" s="659"/>
      <c r="H84" s="659"/>
      <c r="I84" s="659"/>
    </row>
    <row r="85" spans="3:9">
      <c r="C85" s="421"/>
      <c r="D85" s="421"/>
      <c r="E85" s="612"/>
      <c r="F85" s="659"/>
      <c r="G85" s="659"/>
      <c r="H85" s="659"/>
      <c r="I85" s="659"/>
    </row>
    <row r="86" spans="3:9">
      <c r="C86" s="421"/>
      <c r="D86" s="421"/>
      <c r="E86" s="612"/>
      <c r="F86" s="659"/>
      <c r="G86" s="659"/>
      <c r="H86" s="659"/>
      <c r="I86" s="659"/>
    </row>
    <row r="87" spans="3:9">
      <c r="C87" s="421"/>
      <c r="D87" s="421"/>
      <c r="E87" s="612"/>
      <c r="F87" s="659"/>
      <c r="G87" s="659"/>
      <c r="H87" s="659"/>
      <c r="I87" s="659"/>
    </row>
    <row r="88" spans="3:9">
      <c r="C88" s="421"/>
      <c r="D88" s="421"/>
      <c r="E88" s="612"/>
      <c r="F88" s="659"/>
      <c r="G88" s="659"/>
      <c r="H88" s="659"/>
      <c r="I88" s="659"/>
    </row>
    <row r="89" spans="3:9">
      <c r="C89" s="421"/>
      <c r="D89" s="421"/>
      <c r="E89" s="612"/>
      <c r="F89" s="659"/>
      <c r="G89" s="659"/>
      <c r="H89" s="659"/>
      <c r="I89" s="659"/>
    </row>
    <row r="90" spans="3:9">
      <c r="C90" s="421"/>
      <c r="D90" s="421"/>
      <c r="E90" s="612"/>
      <c r="F90" s="659"/>
      <c r="G90" s="659"/>
      <c r="H90" s="659"/>
      <c r="I90" s="659"/>
    </row>
    <row r="91" spans="3:9">
      <c r="C91" s="421"/>
      <c r="D91" s="421"/>
      <c r="E91" s="612"/>
      <c r="F91" s="659"/>
      <c r="G91" s="659"/>
      <c r="H91" s="659"/>
      <c r="I91" s="659"/>
    </row>
    <row r="92" spans="3:9">
      <c r="C92" s="421"/>
      <c r="D92" s="421"/>
      <c r="E92" s="612"/>
      <c r="F92" s="659"/>
      <c r="G92" s="659"/>
      <c r="H92" s="659"/>
      <c r="I92" s="659"/>
    </row>
    <row r="93" spans="3:9">
      <c r="C93" s="421"/>
      <c r="D93" s="421"/>
      <c r="E93" s="612"/>
      <c r="F93" s="659"/>
      <c r="G93" s="659"/>
      <c r="H93" s="659"/>
      <c r="I93" s="659"/>
    </row>
    <row r="94" spans="3:9">
      <c r="C94" s="421"/>
      <c r="D94" s="421"/>
      <c r="E94" s="612"/>
      <c r="F94" s="659"/>
      <c r="G94" s="659"/>
      <c r="H94" s="659"/>
      <c r="I94" s="659"/>
    </row>
    <row r="95" spans="3:9">
      <c r="C95" s="421"/>
      <c r="D95" s="421"/>
    </row>
    <row r="96" spans="3:9">
      <c r="C96" s="421"/>
      <c r="D96" s="421"/>
    </row>
    <row r="97" spans="3:4">
      <c r="C97" s="421"/>
      <c r="D97" s="421"/>
    </row>
    <row r="98" spans="3:4">
      <c r="C98" s="421"/>
      <c r="D98" s="421"/>
    </row>
    <row r="99" spans="3:4">
      <c r="C99" s="421"/>
      <c r="D99" s="421"/>
    </row>
    <row r="100" spans="3:4">
      <c r="C100" s="421"/>
      <c r="D100" s="421"/>
    </row>
    <row r="101" spans="3:4">
      <c r="C101" s="421"/>
      <c r="D101" s="421"/>
    </row>
    <row r="102" spans="3:4">
      <c r="C102" s="421"/>
      <c r="D102" s="421"/>
    </row>
    <row r="103" spans="3:4">
      <c r="C103" s="421"/>
      <c r="D103" s="421"/>
    </row>
    <row r="104" spans="3:4">
      <c r="C104" s="421"/>
      <c r="D104" s="421"/>
    </row>
    <row r="105" spans="3:4">
      <c r="C105" s="421"/>
      <c r="D105" s="421"/>
    </row>
    <row r="106" spans="3:4">
      <c r="C106" s="421"/>
      <c r="D106" s="421"/>
    </row>
    <row r="107" spans="3:4">
      <c r="C107" s="421"/>
      <c r="D107" s="421"/>
    </row>
    <row r="108" spans="3:4">
      <c r="C108" s="421"/>
      <c r="D108" s="421"/>
    </row>
    <row r="109" spans="3:4">
      <c r="C109" s="421"/>
      <c r="D109" s="421"/>
    </row>
    <row r="110" spans="3:4">
      <c r="C110" s="421"/>
      <c r="D110" s="421"/>
    </row>
    <row r="111" spans="3:4">
      <c r="C111" s="421"/>
      <c r="D111" s="421"/>
    </row>
    <row r="112" spans="3:4">
      <c r="C112" s="421"/>
      <c r="D112" s="421"/>
    </row>
    <row r="113" spans="3:4">
      <c r="C113" s="421"/>
      <c r="D113" s="421"/>
    </row>
    <row r="114" spans="3:4">
      <c r="C114" s="421"/>
      <c r="D114" s="421"/>
    </row>
    <row r="115" spans="3:4">
      <c r="C115" s="421"/>
      <c r="D115" s="421"/>
    </row>
    <row r="116" spans="3:4">
      <c r="C116" s="421"/>
      <c r="D116" s="421"/>
    </row>
    <row r="117" spans="3:4">
      <c r="C117" s="421"/>
      <c r="D117" s="421"/>
    </row>
    <row r="118" spans="3:4">
      <c r="C118" s="421"/>
      <c r="D118" s="421"/>
    </row>
    <row r="119" spans="3:4">
      <c r="C119" s="421"/>
      <c r="D119" s="421"/>
    </row>
    <row r="120" spans="3:4">
      <c r="C120" s="421"/>
      <c r="D120" s="421"/>
    </row>
    <row r="121" spans="3:4">
      <c r="C121" s="421"/>
      <c r="D121" s="421"/>
    </row>
    <row r="122" spans="3:4">
      <c r="C122" s="421"/>
      <c r="D122" s="421"/>
    </row>
    <row r="123" spans="3:4">
      <c r="C123" s="421"/>
      <c r="D123" s="421"/>
    </row>
    <row r="124" spans="3:4">
      <c r="C124" s="421"/>
      <c r="D124" s="421"/>
    </row>
    <row r="125" spans="3:4">
      <c r="C125" s="421"/>
      <c r="D125" s="421"/>
    </row>
    <row r="126" spans="3:4">
      <c r="C126" s="421"/>
      <c r="D126" s="421"/>
    </row>
    <row r="127" spans="3:4">
      <c r="C127" s="421"/>
      <c r="D127" s="421"/>
    </row>
    <row r="128" spans="3:4">
      <c r="C128" s="421"/>
      <c r="D128" s="421"/>
    </row>
    <row r="129" spans="3:4">
      <c r="C129" s="421"/>
      <c r="D129" s="421"/>
    </row>
    <row r="130" spans="3:4">
      <c r="C130" s="421"/>
      <c r="D130" s="421"/>
    </row>
    <row r="131" spans="3:4">
      <c r="C131" s="421"/>
      <c r="D131" s="421"/>
    </row>
    <row r="132" spans="3:4">
      <c r="C132" s="421"/>
      <c r="D132" s="421"/>
    </row>
    <row r="133" spans="3:4">
      <c r="C133" s="421"/>
      <c r="D133" s="421"/>
    </row>
    <row r="134" spans="3:4">
      <c r="C134" s="421"/>
      <c r="D134" s="421"/>
    </row>
    <row r="135" spans="3:4">
      <c r="C135" s="421"/>
      <c r="D135" s="421"/>
    </row>
    <row r="136" spans="3:4">
      <c r="C136" s="421"/>
      <c r="D136" s="421"/>
    </row>
    <row r="137" spans="3:4">
      <c r="C137" s="421"/>
      <c r="D137" s="421"/>
    </row>
    <row r="138" spans="3:4">
      <c r="C138" s="421"/>
      <c r="D138" s="421"/>
    </row>
    <row r="139" spans="3:4">
      <c r="C139" s="421"/>
      <c r="D139" s="421"/>
    </row>
    <row r="140" spans="3:4">
      <c r="C140" s="421"/>
      <c r="D140" s="421"/>
    </row>
    <row r="141" spans="3:4">
      <c r="C141" s="421"/>
      <c r="D141" s="421"/>
    </row>
    <row r="142" spans="3:4">
      <c r="C142" s="421"/>
      <c r="D142" s="421"/>
    </row>
    <row r="157" spans="3:3">
      <c r="C157" s="570" t="s">
        <v>69</v>
      </c>
    </row>
    <row r="158" spans="3:3">
      <c r="C158" s="570" t="s">
        <v>70</v>
      </c>
    </row>
  </sheetData>
  <mergeCells count="10">
    <mergeCell ref="A7:A8"/>
    <mergeCell ref="F7:L7"/>
    <mergeCell ref="C2:D2"/>
    <mergeCell ref="C66:D66"/>
    <mergeCell ref="C67:D67"/>
    <mergeCell ref="C68:D68"/>
    <mergeCell ref="C73:D73"/>
    <mergeCell ref="C4:I4"/>
    <mergeCell ref="C70:D70"/>
    <mergeCell ref="C69:D69"/>
  </mergeCells>
  <conditionalFormatting sqref="E59:E60 D17:D37 D9:D11 D13 D39:D55">
    <cfRule type="cellIs" dxfId="124" priority="21" operator="equal">
      <formula>0</formula>
    </cfRule>
  </conditionalFormatting>
  <conditionalFormatting sqref="D13">
    <cfRule type="cellIs" dxfId="123" priority="16" operator="equal">
      <formula>0</formula>
    </cfRule>
  </conditionalFormatting>
  <conditionalFormatting sqref="D36:D37">
    <cfRule type="cellIs" dxfId="122" priority="17" operator="equal">
      <formula>0</formula>
    </cfRule>
  </conditionalFormatting>
  <conditionalFormatting sqref="F59:H60">
    <cfRule type="cellIs" dxfId="121" priority="15" operator="equal">
      <formula>0</formula>
    </cfRule>
  </conditionalFormatting>
  <conditionalFormatting sqref="D59">
    <cfRule type="cellIs" dxfId="120" priority="8" operator="equal">
      <formula>0</formula>
    </cfRule>
  </conditionalFormatting>
  <conditionalFormatting sqref="D12:D13">
    <cfRule type="cellIs" dxfId="119" priority="11" operator="equal">
      <formula>0</formula>
    </cfRule>
  </conditionalFormatting>
  <conditionalFormatting sqref="D60">
    <cfRule type="cellIs" dxfId="118" priority="7" operator="equal">
      <formula>0</formula>
    </cfRule>
  </conditionalFormatting>
  <conditionalFormatting sqref="D38">
    <cfRule type="cellIs" dxfId="117" priority="6"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dimension ref="A1:W179"/>
  <sheetViews>
    <sheetView showGridLines="0" zoomScaleNormal="100" zoomScaleSheetLayoutView="100" workbookViewId="0">
      <selection activeCell="B2" sqref="B2"/>
    </sheetView>
  </sheetViews>
  <sheetFormatPr defaultColWidth="9.1796875" defaultRowHeight="13"/>
  <cols>
    <col min="1" max="1" width="2.54296875" style="420" customWidth="1"/>
    <col min="2" max="2" width="4.453125" style="420" customWidth="1"/>
    <col min="3" max="3" width="53.1796875" style="421" customWidth="1"/>
    <col min="4" max="4" width="28.1796875" style="421" customWidth="1"/>
    <col min="5" max="9" width="7.453125" style="439" customWidth="1"/>
    <col min="10" max="10" width="11.453125" style="632" bestFit="1" customWidth="1"/>
    <col min="11" max="11" width="47.1796875" style="420" customWidth="1"/>
    <col min="12" max="12" width="9.1796875" style="420"/>
    <col min="13" max="14" width="9.1796875" style="448"/>
    <col min="15" max="15" width="9.1796875" style="420"/>
    <col min="16" max="16" width="10.54296875" style="420" bestFit="1" customWidth="1"/>
    <col min="17" max="17" width="15.453125" style="420" bestFit="1" customWidth="1"/>
    <col min="18" max="18" width="19.453125" style="420" bestFit="1" customWidth="1"/>
    <col min="19" max="19" width="9.81640625" style="420" bestFit="1" customWidth="1"/>
    <col min="20" max="20" width="9.1796875" style="420"/>
    <col min="21" max="21" width="10.81640625" style="420" bestFit="1" customWidth="1"/>
    <col min="22" max="16384" width="9.1796875" style="420"/>
  </cols>
  <sheetData>
    <row r="1" spans="1:18" ht="15" customHeight="1"/>
    <row r="2" spans="1:18" s="189" customFormat="1" ht="38.5" customHeight="1">
      <c r="B2" s="8"/>
      <c r="C2" s="1677"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77"/>
      <c r="E2" s="1677"/>
      <c r="F2" s="1677"/>
      <c r="G2" s="1677"/>
      <c r="H2" s="1677"/>
      <c r="I2" s="1677"/>
      <c r="J2" s="633"/>
      <c r="K2" s="354"/>
      <c r="L2" s="200"/>
      <c r="M2" s="446"/>
      <c r="N2" s="447"/>
      <c r="O2" s="190"/>
      <c r="P2" s="188"/>
      <c r="Q2" s="188"/>
      <c r="R2" s="202"/>
    </row>
    <row r="3" spans="1:18" s="189" customFormat="1" ht="15" customHeight="1">
      <c r="D3" s="516"/>
      <c r="E3" s="354"/>
      <c r="F3" s="354"/>
      <c r="G3" s="354"/>
      <c r="H3" s="354"/>
      <c r="I3" s="354"/>
      <c r="J3" s="633"/>
      <c r="K3" s="354"/>
      <c r="L3" s="188"/>
      <c r="M3" s="446"/>
      <c r="N3" s="447"/>
      <c r="O3" s="190"/>
      <c r="P3" s="188"/>
      <c r="Q3" s="188"/>
      <c r="R3" s="188"/>
    </row>
    <row r="4" spans="1:18" s="189" customFormat="1" ht="15" customHeight="1">
      <c r="C4" s="1673"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73"/>
      <c r="E4" s="1673"/>
      <c r="F4" s="1673"/>
      <c r="G4" s="1673"/>
      <c r="H4" s="1673"/>
      <c r="I4" s="1673"/>
      <c r="J4" s="633"/>
      <c r="K4" s="354"/>
      <c r="L4" s="188"/>
      <c r="M4" s="446"/>
      <c r="N4" s="447"/>
      <c r="O4" s="190"/>
      <c r="P4" s="188"/>
      <c r="Q4" s="188"/>
      <c r="R4" s="188"/>
    </row>
    <row r="5" spans="1:18" ht="15" customHeight="1">
      <c r="A5" s="421"/>
      <c r="B5" s="421"/>
      <c r="J5" s="634"/>
    </row>
    <row r="6" spans="1:18" ht="15" customHeight="1">
      <c r="A6" s="421"/>
      <c r="B6" s="421"/>
      <c r="C6" s="803" t="str">
        <f>+'5 - Conta AC + SS'!C5</f>
        <v>Período: janeiro a setembro</v>
      </c>
      <c r="D6" s="803"/>
      <c r="E6" s="803"/>
      <c r="F6" s="803"/>
      <c r="G6" s="803"/>
      <c r="H6" s="803"/>
      <c r="I6" s="803" t="str">
        <f>IF(Indice_index!$Z$1=1,"€ Milhões","€ Millions")</f>
        <v>€ Milhões</v>
      </c>
      <c r="J6" s="634"/>
    </row>
    <row r="7" spans="1:18" ht="36" customHeight="1">
      <c r="A7" s="421"/>
      <c r="B7" s="421"/>
      <c r="C7" s="1447" t="str">
        <f>IF(Indice_index!$Z$1=1,"Medida COVID-19","COVID-19 Policy Measure")</f>
        <v>Medida COVID-19</v>
      </c>
      <c r="D7" s="1448" t="str">
        <f>IF(Indice_index!$Z$1=1,"Classificação económica","Economic classification")</f>
        <v>Classificação económica</v>
      </c>
      <c r="E7" s="1449" t="str">
        <f>IF(Indice_index!$Z$1=1,"Adm. Central","Central Government")</f>
        <v>Adm. Central</v>
      </c>
      <c r="F7" s="1449" t="str">
        <f>IF(Indice_index!$Z$1=1,"Seg.  Social","Social Security")</f>
        <v>Seg.  Social</v>
      </c>
      <c r="G7" s="1449" t="str">
        <f>IF(Indice_index!$Z$1=1,"Adm. Regional","Regional Government")</f>
        <v>Adm. Regional</v>
      </c>
      <c r="H7" s="1449" t="str">
        <f>IF(Indice_index!$Z$1=1,"Adm. Local","Local Government")</f>
        <v>Adm. Local</v>
      </c>
      <c r="I7" s="1450" t="s">
        <v>66</v>
      </c>
      <c r="J7" s="634"/>
    </row>
    <row r="8" spans="1:18" ht="15" customHeight="1">
      <c r="A8" s="421"/>
      <c r="B8" s="421"/>
      <c r="C8" s="465" t="str">
        <f>IF(Indice_index!$Z$1=1,"Limitação extraordinária de pagamentos por conta em sede de IRS ou IRC","Extraordinary limitation of prepayments related with IRS or IRC")</f>
        <v>Limitação extraordinária de pagamentos por conta em sede de IRS ou IRC</v>
      </c>
      <c r="D8" s="1038" t="str">
        <f>IF(Indice_index!$Z$1=1,"R.01 - Imp. Diretos","R.01 - Direct taxes")</f>
        <v>R.01 - Imp. Diretos</v>
      </c>
      <c r="E8" s="1039">
        <f>32.50670669+5.9997142</f>
        <v>38.506420890000001</v>
      </c>
      <c r="F8" s="1041"/>
      <c r="G8" s="1041"/>
      <c r="H8" s="1041"/>
      <c r="I8" s="1040">
        <f>SUM(E8:H8)</f>
        <v>38.506420890000001</v>
      </c>
      <c r="J8" s="634"/>
    </row>
    <row r="9" spans="1:18" ht="15" customHeight="1">
      <c r="A9" s="421"/>
      <c r="B9" s="421"/>
      <c r="C9" s="465" t="str">
        <f>IF(Indice_index!$Z$1=1,"Prorrogação do pagamento do IVA","Extension of VAT payment")</f>
        <v>Prorrogação do pagamento do IVA</v>
      </c>
      <c r="D9" s="1038" t="str">
        <f>IF(Indice_index!$Z$1=1,"R.02 - Imp. Indiretos","R.02 - Indirect taxes")</f>
        <v>R.02 - Imp. Indiretos</v>
      </c>
      <c r="E9" s="1040">
        <v>405.02697418999998</v>
      </c>
      <c r="F9" s="1041"/>
      <c r="G9" s="1041"/>
      <c r="H9" s="1041"/>
      <c r="I9" s="1040">
        <f t="shared" ref="I9:I66" si="0">SUM(E9:H9)</f>
        <v>405.02697418999998</v>
      </c>
      <c r="J9" s="634"/>
    </row>
    <row r="10" spans="1:18" ht="15" customHeight="1">
      <c r="A10" s="421"/>
      <c r="B10" s="421"/>
      <c r="C10" s="465" t="str">
        <f>IF(Indice_index!$Z$1=1,"Isenção de pagamento da Taxa Social Única (estimativa)","Exemption from payment of the social security contributions (estimate)")</f>
        <v>Isenção de pagamento da Taxa Social Única (estimativa)</v>
      </c>
      <c r="D10" s="1038" t="str">
        <f>IF(Indice_index!$Z$1=1,"R.03 - Contrib. SS","R.03 - Contributions to the Social Security")</f>
        <v>R.03 - Contrib. SS</v>
      </c>
      <c r="E10" s="1041"/>
      <c r="F10" s="1041">
        <v>7.6938402718499992</v>
      </c>
      <c r="G10" s="1041"/>
      <c r="H10" s="1041"/>
      <c r="I10" s="1040">
        <f t="shared" si="0"/>
        <v>7.6938402718499992</v>
      </c>
      <c r="J10" s="634"/>
    </row>
    <row r="11" spans="1:18" ht="15" customHeight="1">
      <c r="A11" s="421"/>
      <c r="B11" s="421"/>
      <c r="C11" s="465" t="str">
        <f>IF(Indice_index!$Z$1=1,"Adiamento, redução ou isenção de rendas de imóveis","Postponement, reduction or exemption of property rents payment")</f>
        <v>Adiamento, redução ou isenção de rendas de imóveis</v>
      </c>
      <c r="D11" s="1038" t="str">
        <f>IF(Indice_index!$Z$1=1,"R.07 - Vendas Bens e Serv.","R.07 - Sale of current goods and services")</f>
        <v>R.07 - Vendas Bens e Serv.</v>
      </c>
      <c r="E11" s="1041"/>
      <c r="F11" s="1041"/>
      <c r="G11" s="1041">
        <v>2.3677019999999997E-2</v>
      </c>
      <c r="H11" s="1041"/>
      <c r="I11" s="1040">
        <f t="shared" si="0"/>
        <v>2.3677019999999997E-2</v>
      </c>
      <c r="J11" s="634"/>
    </row>
    <row r="12" spans="1:18" ht="15" customHeight="1">
      <c r="A12" s="421"/>
      <c r="B12" s="421"/>
      <c r="C12" s="465" t="str">
        <f>IF(Indice_index!$Z$1=1,"Revenda de vacinas contra a COVID-19 a países terceiros","Resale of vaccines against COVID-19 to third countries")</f>
        <v>Revenda de vacinas contra a COVID-19 a países terceiros</v>
      </c>
      <c r="D12" s="1038" t="str">
        <f>IF(Indice_index!$Z$1=1,"R.07 - Vendas Bens e Serv.","R.07 - Sale of current goods and services")</f>
        <v>R.07 - Vendas Bens e Serv.</v>
      </c>
      <c r="E12" s="1041">
        <v>-39.724086960000001</v>
      </c>
      <c r="F12" s="1041"/>
      <c r="G12" s="1041"/>
      <c r="H12" s="1041"/>
      <c r="I12" s="1040">
        <f>SUM(E12:H12)</f>
        <v>-39.724086960000001</v>
      </c>
      <c r="J12" s="634"/>
    </row>
    <row r="13" spans="1:18" ht="4.5" customHeight="1">
      <c r="A13" s="421"/>
      <c r="B13" s="421"/>
      <c r="C13" s="1038"/>
      <c r="D13" s="1038"/>
      <c r="E13" s="1040"/>
      <c r="F13" s="1040"/>
      <c r="G13" s="1040"/>
      <c r="H13" s="1040"/>
      <c r="I13" s="1040"/>
      <c r="J13" s="634"/>
    </row>
    <row r="14" spans="1:18" ht="15" customHeight="1">
      <c r="A14" s="421"/>
      <c r="B14" s="421"/>
      <c r="C14" s="1050" t="str">
        <f>IF(Indice_index!$Z$1=1,"Total da Receita efetiva","Total Effective revenue")</f>
        <v>Total da Receita efetiva</v>
      </c>
      <c r="D14" s="1050"/>
      <c r="E14" s="1051">
        <f>SUM(E8:E12)</f>
        <v>403.80930811999997</v>
      </c>
      <c r="F14" s="1051">
        <f>SUM(F8:F12)</f>
        <v>7.6938402718499992</v>
      </c>
      <c r="G14" s="1051">
        <f>SUM(G8:G12)</f>
        <v>2.3677019999999997E-2</v>
      </c>
      <c r="H14" s="1051">
        <f>SUM(H8:H12)</f>
        <v>0</v>
      </c>
      <c r="I14" s="1051">
        <f>SUM(E14:H14)</f>
        <v>411.52682541184993</v>
      </c>
      <c r="J14" s="634"/>
    </row>
    <row r="15" spans="1:18" ht="4.5" customHeight="1">
      <c r="A15" s="421"/>
      <c r="B15" s="421"/>
      <c r="J15" s="634"/>
    </row>
    <row r="16" spans="1:18" ht="15" customHeight="1">
      <c r="A16" s="421"/>
      <c r="B16" s="465"/>
      <c r="C16" s="465" t="str">
        <f>IF(Indice_index!$Z$1=1,"Saúde: Recursos humanos (contratações, horas extra e outros abonos)","Health: Human resources (hiring, overtime and other allowances)")</f>
        <v>Saúde: Recursos humanos (contratações, horas extra e outros abonos)</v>
      </c>
      <c r="D16" s="465" t="str">
        <f>IF(Indice_index!$Z$1=1,"D.01- Desp. c/ pessoal","D.01 - Employees")</f>
        <v>D.01- Desp. c/ pessoal</v>
      </c>
      <c r="E16" s="1039">
        <v>174.41536599999989</v>
      </c>
      <c r="F16" s="1039">
        <v>0</v>
      </c>
      <c r="G16" s="1039">
        <v>34.157203860000003</v>
      </c>
      <c r="H16" s="1039"/>
      <c r="I16" s="1040">
        <f>SUM(E16:H16)</f>
        <v>208.5725698599999</v>
      </c>
      <c r="J16" s="634"/>
    </row>
    <row r="17" spans="1:14" ht="15" customHeight="1">
      <c r="A17" s="421"/>
      <c r="B17" s="465"/>
      <c r="C17" s="465" t="str">
        <f>IF(Indice_index!$Z$1=1,"Recursos humanos (contratações, horas extra e outros abonos)","Human resources (hiring, overtime and other allowances)")</f>
        <v>Recursos humanos (contratações, horas extra e outros abonos)</v>
      </c>
      <c r="D17" s="465" t="str">
        <f>IF(Indice_index!$Z$1=1,"D.01- Desp. c/ pessoal","D.01 - Employees")</f>
        <v>D.01- Desp. c/ pessoal</v>
      </c>
      <c r="E17" s="1039">
        <v>18.065920859999999</v>
      </c>
      <c r="F17" s="1039">
        <v>8.6934599999999966E-3</v>
      </c>
      <c r="G17" s="1039">
        <v>1.168893E-2</v>
      </c>
      <c r="H17" s="1039"/>
      <c r="I17" s="1040">
        <f t="shared" ref="I17:I64" si="1">SUM(E17:H17)</f>
        <v>18.086303249999997</v>
      </c>
      <c r="J17" s="634"/>
    </row>
    <row r="18" spans="1:14" ht="15" customHeight="1">
      <c r="A18" s="421"/>
      <c r="B18" s="465"/>
      <c r="C18" s="465" t="str">
        <f>IF(Indice_index!$Z$1=1,"Saúde: aquisição de vacinas","Health: purchasing of vaccines")</f>
        <v>Saúde: aquisição de vacinas</v>
      </c>
      <c r="D18" s="465" t="str">
        <f>IF(Indice_index!$Z$1=1,"D.02 - Aq. Bens e Serv.","D.02 - Purchase of goods and services")</f>
        <v>D.02 - Aq. Bens e Serv.</v>
      </c>
      <c r="E18" s="1039">
        <v>298.91527948999999</v>
      </c>
      <c r="F18" s="1039"/>
      <c r="G18" s="1039"/>
      <c r="H18" s="1039"/>
      <c r="I18" s="1040">
        <f t="shared" si="1"/>
        <v>298.91527948999999</v>
      </c>
      <c r="J18" s="634"/>
    </row>
    <row r="19" spans="1:14" ht="15" customHeight="1">
      <c r="A19" s="421"/>
      <c r="B19" s="465"/>
      <c r="C19" s="465" t="str">
        <f>IF(Indice_index!$Z$1=1,"Saúde: testes COVID-19","Health: COVID-19 tests ")</f>
        <v>Saúde: testes COVID-19</v>
      </c>
      <c r="D19" s="465" t="str">
        <f>IF(Indice_index!$Z$1=1,"D.02 - Aq. Bens e Serv.","D.02 - Purchase of goods and services")</f>
        <v>D.02 - Aq. Bens e Serv.</v>
      </c>
      <c r="E19" s="1039">
        <v>257.88328702000007</v>
      </c>
      <c r="F19" s="1039"/>
      <c r="G19" s="1039">
        <v>12.21961355</v>
      </c>
      <c r="H19" s="1039">
        <v>9.1789404799999996</v>
      </c>
      <c r="I19" s="1040">
        <f t="shared" si="1"/>
        <v>279.28184105000008</v>
      </c>
      <c r="J19" s="634"/>
    </row>
    <row r="20" spans="1:14" ht="15" customHeight="1">
      <c r="A20" s="421"/>
      <c r="B20" s="465"/>
      <c r="C20" s="465" t="str">
        <f>IF(Indice_index!$Z$1=1,"Saúde: equipamentos de proteção individual (EPI), medicamentos e outros","Health: personal protective equipment, medicines and others")</f>
        <v>Saúde: equipamentos de proteção individual (EPI), medicamentos e outros</v>
      </c>
      <c r="D20" s="465" t="str">
        <f>IF(Indice_index!$Z$1=1,"D.02 - Aq. Bens e Serv.","D.02 - Purchase of goods and services")</f>
        <v>D.02 - Aq. Bens e Serv.</v>
      </c>
      <c r="E20" s="1039">
        <v>70.973816580000033</v>
      </c>
      <c r="F20" s="1039"/>
      <c r="G20" s="1039">
        <v>7.3363070099999987</v>
      </c>
      <c r="H20" s="1039">
        <v>4.6089195579999993</v>
      </c>
      <c r="I20" s="1040">
        <f t="shared" si="1"/>
        <v>82.919043148000029</v>
      </c>
      <c r="J20" s="634"/>
    </row>
    <row r="21" spans="1:14" ht="15" customHeight="1">
      <c r="A21" s="421"/>
      <c r="B21" s="465"/>
      <c r="C21" s="465" t="str">
        <f>IF(Indice_index!$Z$1=1,"Programa Ativar - Formação","ATIVAR.PT Program - Training")</f>
        <v>Programa Ativar - Formação</v>
      </c>
      <c r="D21" s="465" t="str">
        <f>IF(Indice_index!$Z$1=1,"D.02 - Aq. Bens e Serv.","D.02 - Purchase of goods and services")</f>
        <v>D.02 - Aq. Bens e Serv.</v>
      </c>
      <c r="E21" s="1039">
        <v>44.040509600000007</v>
      </c>
      <c r="F21" s="1039"/>
      <c r="G21" s="1039"/>
      <c r="H21" s="1039"/>
      <c r="I21" s="1040">
        <f t="shared" si="1"/>
        <v>44.040509600000007</v>
      </c>
      <c r="J21" s="634"/>
    </row>
    <row r="22" spans="1:14" ht="15" customHeight="1">
      <c r="A22" s="421"/>
      <c r="B22" s="465"/>
      <c r="C22" s="465" t="str">
        <f>IF(Indice_index!$Z$1=1,"EPI, adaptação dos locais de trabalho, produtos e serviços de limpeza","Other sectors: personal protective equipment, workplaces adaptation, cleaning products and services")</f>
        <v>EPI, adaptação dos locais de trabalho, produtos e serviços de limpeza</v>
      </c>
      <c r="D22" s="465" t="str">
        <f>IF(Indice_index!$Z$1=1,"D.02 - Aq. Bens e Serv.","D.02 - Purchase of goods and services")</f>
        <v>D.02 - Aq. Bens e Serv.</v>
      </c>
      <c r="E22" s="1039">
        <v>11.168034389999995</v>
      </c>
      <c r="F22" s="1039">
        <v>2.78349877</v>
      </c>
      <c r="G22" s="1039">
        <v>1.0841800000000001E-3</v>
      </c>
      <c r="H22" s="1039">
        <v>14.778574429999999</v>
      </c>
      <c r="I22" s="1040">
        <f t="shared" si="1"/>
        <v>28.731191769999995</v>
      </c>
      <c r="J22" s="634"/>
    </row>
    <row r="23" spans="1:14" ht="15" customHeight="1">
      <c r="A23" s="421"/>
      <c r="B23" s="465"/>
      <c r="C23" s="465" t="str">
        <f>IF(Indice_index!$Z$1=1,"Universalização da escola digital ","Universalization of the digital school")</f>
        <v xml:space="preserve">Universalização da escola digital </v>
      </c>
      <c r="D23" s="465" t="str">
        <f>IF(Indice_index!$Z$1=1,"D.02 - Aq. Bens e Serv.","D.02 - Purchase of goods and services")</f>
        <v>D.02 - Aq. Bens e Serv.</v>
      </c>
      <c r="E23" s="1039">
        <v>1.4618549999999999</v>
      </c>
      <c r="F23" s="1039"/>
      <c r="G23" s="1039"/>
      <c r="H23" s="1039"/>
      <c r="I23" s="1040">
        <f t="shared" si="1"/>
        <v>1.4618549999999999</v>
      </c>
      <c r="J23" s="634"/>
    </row>
    <row r="24" spans="1:14" ht="15" customHeight="1">
      <c r="A24" s="421"/>
      <c r="B24" s="465"/>
      <c r="C24" s="465" t="str">
        <f>IF(Indice_index!$Z$1=1,"Outras Aquisições de Bens e Serviços","Other services and goods acquisitions")</f>
        <v>Outras Aquisições de Bens e Serviços</v>
      </c>
      <c r="D24" s="465" t="str">
        <f>IF(Indice_index!$Z$1=1,"D.02 - Aq. Bens e Serv.","D.02 - Purchase of goods and services")</f>
        <v>D.02 - Aq. Bens e Serv.</v>
      </c>
      <c r="E24" s="1039">
        <v>9.2765396600000045</v>
      </c>
      <c r="F24" s="1039"/>
      <c r="G24" s="1039">
        <v>0.74658195999999999</v>
      </c>
      <c r="H24" s="1039">
        <v>5.1927642149999951</v>
      </c>
      <c r="I24" s="1040">
        <f t="shared" si="1"/>
        <v>15.215885835</v>
      </c>
      <c r="J24" s="634"/>
    </row>
    <row r="25" spans="1:14" ht="15" customHeight="1">
      <c r="A25" s="421"/>
      <c r="B25" s="465"/>
      <c r="C25" s="465" t="str">
        <f>IF(Indice_index!$Z$1=1,"Juros e outros encargos","Interests and other charges")</f>
        <v>Juros e outros encargos</v>
      </c>
      <c r="D25" s="465" t="str">
        <f>IF(Indice_index!$Z$1=1,"D.03 - Juros e outros encargos","D.03 - Interests and other charges")</f>
        <v>D.03 - Juros e outros encargos</v>
      </c>
      <c r="E25" s="1039">
        <v>7.0887000000000001E-4</v>
      </c>
      <c r="F25" s="1039"/>
      <c r="G25" s="1039"/>
      <c r="H25" s="1039"/>
      <c r="I25" s="1040">
        <f t="shared" si="1"/>
        <v>7.0887000000000001E-4</v>
      </c>
      <c r="J25" s="634"/>
    </row>
    <row r="26" spans="1:14" ht="15" customHeight="1">
      <c r="A26" s="421"/>
      <c r="B26" s="465"/>
      <c r="C26" s="1451" t="str">
        <f>IF(Indice_index!$Z$1=1,"Isolamento profilático","Prophylactic isolation benefit")</f>
        <v>Isolamento profilático</v>
      </c>
      <c r="D26" s="1452" t="str">
        <f>IF(Indice_index!$Z$1=1,"D.04 - Transf. Correntes","D.04 - Current transfers")</f>
        <v>D.04 - Transf. Correntes</v>
      </c>
      <c r="E26" s="1039" t="s">
        <v>509</v>
      </c>
      <c r="F26" s="1039">
        <v>243.00384609</v>
      </c>
      <c r="G26" s="1039"/>
      <c r="H26" s="1039"/>
      <c r="I26" s="1040">
        <f t="shared" si="1"/>
        <v>243.00384609</v>
      </c>
      <c r="J26" s="634"/>
    </row>
    <row r="27" spans="1:14" ht="15" customHeight="1">
      <c r="A27" s="421"/>
      <c r="B27" s="465"/>
      <c r="C27" s="465" t="str">
        <f>IF(Indice_index!$Z$1=1,"Apoios extraordinários ao rendimento dos trabalhadores","Extraordinary support of workers income")</f>
        <v>Apoios extraordinários ao rendimento dos trabalhadores</v>
      </c>
      <c r="D27" s="465" t="str">
        <f>IF(Indice_index!$Z$1=1,"D.04 - Transf. Correntes","D.04 - Current transfers")</f>
        <v>D.04 - Transf. Correntes</v>
      </c>
      <c r="E27" s="1039" t="s">
        <v>509</v>
      </c>
      <c r="F27" s="1039">
        <v>75.896832669999995</v>
      </c>
      <c r="G27" s="1039"/>
      <c r="H27" s="1039"/>
      <c r="I27" s="1040">
        <f t="shared" si="1"/>
        <v>75.896832669999995</v>
      </c>
      <c r="J27" s="634"/>
    </row>
    <row r="28" spans="1:14" s="421" customFormat="1" ht="15" customHeight="1">
      <c r="B28" s="465"/>
      <c r="C28" s="465" t="str">
        <f>IF(Indice_index!$Z$1=1,"Compensação ao aumento do valor da retribuição mínima mensal garantida","Compensation for the increase in the guaranteed minimum monthly salary")</f>
        <v>Compensação ao aumento do valor da retribuição mínima mensal garantida</v>
      </c>
      <c r="D28" s="465" t="str">
        <f>IF(Indice_index!$Z$1=1,"D.04 - Transf. Correntes","D.04 - Current transfers")</f>
        <v>D.04 - Transf. Correntes</v>
      </c>
      <c r="E28" s="1039">
        <v>90.58672</v>
      </c>
      <c r="F28" s="1039"/>
      <c r="G28" s="1039"/>
      <c r="H28" s="1039"/>
      <c r="I28" s="1040">
        <f t="shared" si="1"/>
        <v>90.58672</v>
      </c>
      <c r="J28" s="634"/>
      <c r="M28" s="449"/>
      <c r="N28" s="449"/>
    </row>
    <row r="29" spans="1:14" s="457" customFormat="1" ht="15" customHeight="1">
      <c r="A29" s="421"/>
      <c r="B29" s="465"/>
      <c r="C29" s="465" t="str">
        <f>IF(Indice_index!$Z$1=1,"Subsídio de doença por infecção SARS-CoV-2","SARS-CoV-2 infection sickness benefit")</f>
        <v>Subsídio de doença por infecção SARS-CoV-2</v>
      </c>
      <c r="D29" s="465" t="str">
        <f>IF(Indice_index!$Z$1=1,"D.04 - Transf. Correntes","D.04 - Current transfers")</f>
        <v>D.04 - Transf. Correntes</v>
      </c>
      <c r="E29" s="1039" t="s">
        <v>509</v>
      </c>
      <c r="F29" s="1039">
        <v>66.185609330000005</v>
      </c>
      <c r="G29" s="1039"/>
      <c r="H29" s="1039"/>
      <c r="I29" s="1040">
        <f t="shared" si="1"/>
        <v>66.185609330000005</v>
      </c>
      <c r="J29" s="635"/>
      <c r="M29" s="458"/>
      <c r="N29" s="458"/>
    </row>
    <row r="30" spans="1:14" s="421" customFormat="1" ht="15" customHeight="1">
      <c r="B30" s="465"/>
      <c r="C30" s="465" t="str">
        <f>IF(Indice_index!$Z$1=1,"Programa de Apoio a Edifícios Mais Sustentáveis","More Sustainable Building Support Program")</f>
        <v>Programa de Apoio a Edifícios Mais Sustentáveis</v>
      </c>
      <c r="D30" s="465" t="str">
        <f>IF(Indice_index!$Z$1=1,"D.04 - Transf. Correntes","D.04 - Current transfers")</f>
        <v>D.04 - Transf. Correntes</v>
      </c>
      <c r="E30" s="1039">
        <v>72.867560769999997</v>
      </c>
      <c r="F30" s="1039"/>
      <c r="G30" s="1039"/>
      <c r="H30" s="1039"/>
      <c r="I30" s="1040">
        <f t="shared" si="1"/>
        <v>72.867560769999997</v>
      </c>
      <c r="J30" s="634"/>
      <c r="M30" s="449"/>
      <c r="N30" s="449"/>
    </row>
    <row r="31" spans="1:14" ht="15" customHeight="1">
      <c r="A31" s="421"/>
      <c r="B31" s="465"/>
      <c r="C31" s="465" t="str">
        <f>IF(Indice_index!$Z$1=1,"Apoio extraordinário à retoma progressiva de atividade","Extraordinary support for the progressive resumption of activity")</f>
        <v>Apoio extraordinário à retoma progressiva de atividade</v>
      </c>
      <c r="D31" s="465" t="str">
        <f>IF(Indice_index!$Z$1=1,"D.04 - Transf. Correntes","D.04 - Current transfers")</f>
        <v>D.04 - Transf. Correntes</v>
      </c>
      <c r="E31" s="1039" t="s">
        <v>509</v>
      </c>
      <c r="F31" s="1039">
        <v>43.404192849999994</v>
      </c>
      <c r="G31" s="1039"/>
      <c r="H31" s="1039"/>
      <c r="I31" s="1040">
        <f t="shared" si="1"/>
        <v>43.404192849999994</v>
      </c>
      <c r="J31" s="634"/>
    </row>
    <row r="32" spans="1:14" ht="15" customHeight="1">
      <c r="A32" s="421"/>
      <c r="B32" s="465"/>
      <c r="C32" s="465" t="str">
        <f>IF(Indice_index!$Z$1=1,"Programa Ativar - Bolsas de formação","ATIVAR.PT Program - Training Scholarships")</f>
        <v>Programa Ativar - Bolsas de formação</v>
      </c>
      <c r="D32" s="465" t="str">
        <f>IF(Indice_index!$Z$1=1,"D.04 - Transf. Correntes","D.04 - Current transfers")</f>
        <v>D.04 - Transf. Correntes</v>
      </c>
      <c r="E32" s="1039">
        <v>46.654737950000005</v>
      </c>
      <c r="F32" s="1039"/>
      <c r="G32" s="1039"/>
      <c r="H32" s="1039"/>
      <c r="I32" s="1040">
        <f t="shared" si="1"/>
        <v>46.654737950000005</v>
      </c>
      <c r="J32" s="634"/>
    </row>
    <row r="33" spans="1:14" s="421" customFormat="1" ht="15" customHeight="1">
      <c r="B33" s="465"/>
      <c r="C33" s="465" t="str">
        <f>IF(Indice_index!$Z$1=1,"Subsídios de assistência a filho e a neto","Allowances for child and grandchild's care")</f>
        <v>Subsídios de assistência a filho e a neto</v>
      </c>
      <c r="D33" s="465" t="str">
        <f>IF(Indice_index!$Z$1=1,"D.04 - Transf. Correntes","D.04 - Current transfers")</f>
        <v>D.04 - Transf. Correntes</v>
      </c>
      <c r="E33" s="1039" t="s">
        <v>509</v>
      </c>
      <c r="F33" s="1039">
        <v>15.259720160000001</v>
      </c>
      <c r="G33" s="1039"/>
      <c r="H33" s="1039"/>
      <c r="I33" s="1040">
        <f t="shared" si="1"/>
        <v>15.259720160000001</v>
      </c>
      <c r="J33" s="634"/>
      <c r="M33" s="449"/>
      <c r="N33" s="449"/>
    </row>
    <row r="34" spans="1:14" s="421" customFormat="1" ht="15" customHeight="1">
      <c r="B34" s="465"/>
      <c r="C34" s="465" t="str">
        <f>IF(Indice_index!$Z$1=1,"Outros apoios de proteção social","Other social protection benefits")</f>
        <v>Outros apoios de proteção social</v>
      </c>
      <c r="D34" s="465" t="str">
        <f>IF(Indice_index!$Z$1=1,"D.04 - Transf. Correntes","D.04 - Current transfers")</f>
        <v>D.04 - Transf. Correntes</v>
      </c>
      <c r="E34" s="1039" t="s">
        <v>509</v>
      </c>
      <c r="F34" s="1039">
        <v>3.82792844</v>
      </c>
      <c r="G34" s="1039"/>
      <c r="H34" s="1039">
        <v>14.508179440000001</v>
      </c>
      <c r="I34" s="1040">
        <f t="shared" si="1"/>
        <v>18.33610788</v>
      </c>
      <c r="J34" s="634"/>
      <c r="M34" s="449"/>
      <c r="N34" s="449"/>
    </row>
    <row r="35" spans="1:14" s="421" customFormat="1" ht="15" customHeight="1">
      <c r="B35" s="465"/>
      <c r="C35" s="465" t="str">
        <f>IF(Indice_index!$Z$1=1,"Apoio extraordinário serviços públicos de transporte de passageiros","Extraordinary financial support for public passenger transport services")</f>
        <v>Apoio extraordinário serviços públicos de transporte de passageiros</v>
      </c>
      <c r="D35" s="465" t="str">
        <f>IF(Indice_index!$Z$1=1,"D.04 - Transf. Correntes","D.04 - Current transfers")</f>
        <v>D.04 - Transf. Correntes</v>
      </c>
      <c r="E35" s="1039">
        <v>21.655328000000001</v>
      </c>
      <c r="F35" s="1039"/>
      <c r="G35" s="1039"/>
      <c r="H35" s="1039"/>
      <c r="I35" s="1040">
        <f t="shared" si="1"/>
        <v>21.655328000000001</v>
      </c>
      <c r="J35" s="634"/>
      <c r="K35" s="439"/>
      <c r="M35" s="449"/>
      <c r="N35" s="449"/>
    </row>
    <row r="36" spans="1:14" ht="15" customHeight="1">
      <c r="A36" s="421"/>
      <c r="B36" s="465"/>
      <c r="C36" s="465" t="str">
        <f>IF(Indice_index!$Z$1=1,"Layoff simplificado","Simplified layoff")</f>
        <v>Layoff simplificado</v>
      </c>
      <c r="D36" s="465" t="str">
        <f>IF(Indice_index!$Z$1=1,"D.04 - Transf. Correntes","D.04 - Current transfers")</f>
        <v>D.04 - Transf. Correntes</v>
      </c>
      <c r="E36" s="1039">
        <v>0</v>
      </c>
      <c r="F36" s="1039">
        <v>9.2877190999999986</v>
      </c>
      <c r="G36" s="1039"/>
      <c r="H36" s="1039"/>
      <c r="I36" s="1040">
        <f t="shared" si="1"/>
        <v>9.2877190999999986</v>
      </c>
      <c r="J36" s="634"/>
    </row>
    <row r="37" spans="1:14" ht="15" customHeight="1">
      <c r="A37" s="421"/>
      <c r="B37" s="465"/>
      <c r="C37" s="465" t="str">
        <f>IF(Indice_index!$Z$1=1,"Apoios sociais às famílias","Social benefits to families")</f>
        <v>Apoios sociais às famílias</v>
      </c>
      <c r="D37" s="465" t="str">
        <f>IF(Indice_index!$Z$1=1,"D.04 - Transf. Correntes","D.04 - Current transfers")</f>
        <v>D.04 - Transf. Correntes</v>
      </c>
      <c r="E37" s="1039" t="s">
        <v>509</v>
      </c>
      <c r="F37" s="1039">
        <v>8.1454940899999997</v>
      </c>
      <c r="G37" s="1039"/>
      <c r="H37" s="1039"/>
      <c r="I37" s="1040">
        <f t="shared" si="1"/>
        <v>8.1454940899999997</v>
      </c>
      <c r="J37" s="634"/>
    </row>
    <row r="38" spans="1:14" s="421" customFormat="1" ht="15" customHeight="1">
      <c r="B38" s="465"/>
      <c r="C38" s="465" t="str">
        <f>IF(Indice_index!$Z$1=1,"Programa Garantir Cultura","Guarantee Culture Program")</f>
        <v>Programa Garantir Cultura</v>
      </c>
      <c r="D38" s="465" t="str">
        <f>IF(Indice_index!$Z$1=1,"D.04 - Transf. Correntes","D.04 - Current transfers")</f>
        <v>D.04 - Transf. Correntes</v>
      </c>
      <c r="E38" s="1039">
        <v>6.2193982600000002</v>
      </c>
      <c r="F38" s="1039"/>
      <c r="G38" s="1039"/>
      <c r="H38" s="1039"/>
      <c r="I38" s="1040">
        <f t="shared" si="1"/>
        <v>6.2193982600000002</v>
      </c>
      <c r="J38" s="634"/>
      <c r="M38" s="449"/>
      <c r="N38" s="449"/>
    </row>
    <row r="39" spans="1:14" s="421" customFormat="1" ht="15" customHeight="1">
      <c r="B39" s="465"/>
      <c r="C39" s="465" t="str">
        <f>IF(Indice_index!$Z$1=1,"Apoios ao emprego (inclui complementos layoff)","Employment benefits (include layoff complements)")</f>
        <v>Apoios ao emprego (inclui complementos layoff)</v>
      </c>
      <c r="D39" s="465" t="str">
        <f>IF(Indice_index!$Z$1=1,"D.04 - Transf. Correntes","D.04 - Current transfers")</f>
        <v>D.04 - Transf. Correntes</v>
      </c>
      <c r="E39" s="1039" t="s">
        <v>509</v>
      </c>
      <c r="F39" s="1039"/>
      <c r="G39" s="1039">
        <v>4.1907921299999806</v>
      </c>
      <c r="H39" s="1039"/>
      <c r="I39" s="1040">
        <f t="shared" si="1"/>
        <v>4.1907921299999806</v>
      </c>
      <c r="J39" s="634"/>
      <c r="M39" s="449"/>
      <c r="N39" s="449"/>
    </row>
    <row r="40" spans="1:14" s="421" customFormat="1" ht="15" customHeight="1">
      <c r="B40" s="465"/>
      <c r="C40" s="465" t="str">
        <f>IF(Indice_index!$Z$1=1,"Apoio Social Extraordinário para Profissionais da Cultura","Extraordinary Social Benefit for Culture Professionals")</f>
        <v>Apoio Social Extraordinário para Profissionais da Cultura</v>
      </c>
      <c r="D40" s="465" t="str">
        <f>IF(Indice_index!$Z$1=1,"D.04 - Transf. Correntes","D.04 - Current transfers")</f>
        <v>D.04 - Transf. Correntes</v>
      </c>
      <c r="E40" s="1039">
        <v>3.6981081800000002</v>
      </c>
      <c r="F40" s="1039"/>
      <c r="G40" s="1039"/>
      <c r="H40" s="1039"/>
      <c r="I40" s="1040">
        <f t="shared" si="1"/>
        <v>3.6981081800000002</v>
      </c>
      <c r="J40" s="634"/>
      <c r="M40" s="449"/>
      <c r="N40" s="449"/>
    </row>
    <row r="41" spans="1:14" s="421" customFormat="1" ht="15" customHeight="1">
      <c r="B41" s="465"/>
      <c r="C41" s="465" t="str">
        <f>IF(Indice_index!$Z$1=1,"Programa Vale Eficiência ","Financial support program for energy efficiency")</f>
        <v xml:space="preserve">Programa Vale Eficiência </v>
      </c>
      <c r="D41" s="465" t="str">
        <f>IF(Indice_index!$Z$1=1,"D.04 - Transf. Correntes","D.04 - Current transfers")</f>
        <v>D.04 - Transf. Correntes</v>
      </c>
      <c r="E41" s="1039">
        <v>3.4208496099999999</v>
      </c>
      <c r="F41" s="1039"/>
      <c r="G41" s="1039"/>
      <c r="H41" s="1039"/>
      <c r="I41" s="1040">
        <f t="shared" si="1"/>
        <v>3.4208496099999999</v>
      </c>
      <c r="J41" s="634"/>
      <c r="M41" s="449"/>
      <c r="N41" s="449"/>
    </row>
    <row r="42" spans="1:14" ht="15" customHeight="1">
      <c r="A42" s="421"/>
      <c r="B42" s="465"/>
      <c r="C42" s="465" t="str">
        <f>IF(Indice_index!$Z$1=1,"Prestações por doenças profissionais","Benefits for professional illnesses")</f>
        <v>Prestações por doenças profissionais</v>
      </c>
      <c r="D42" s="465" t="str">
        <f>IF(Indice_index!$Z$1=1,"D.04 - Transf. Correntes","D.04 - Current transfers")</f>
        <v>D.04 - Transf. Correntes</v>
      </c>
      <c r="E42" s="1039" t="s">
        <v>509</v>
      </c>
      <c r="F42" s="1039">
        <v>1.2565040699999999</v>
      </c>
      <c r="G42" s="1039"/>
      <c r="H42" s="1039"/>
      <c r="I42" s="1039">
        <f t="shared" si="1"/>
        <v>1.2565040699999999</v>
      </c>
      <c r="J42" s="421"/>
    </row>
    <row r="43" spans="1:14" s="457" customFormat="1" ht="15" customHeight="1">
      <c r="A43" s="421"/>
      <c r="B43" s="465"/>
      <c r="C43" s="465" t="str">
        <f>IF(Indice_index!$Z$1=1,"Apoio a associações humanitárias de bombeiros","Financial support to humanitarian firefighters associations")</f>
        <v>Apoio a associações humanitárias de bombeiros</v>
      </c>
      <c r="D43" s="465" t="str">
        <f>IF(Indice_index!$Z$1=1,"D.04 - Transf. Correntes","D.04 - Current transfers")</f>
        <v>D.04 - Transf. Correntes</v>
      </c>
      <c r="E43" s="1039">
        <v>0.15725</v>
      </c>
      <c r="F43" s="1039"/>
      <c r="G43" s="1039"/>
      <c r="H43" s="1039"/>
      <c r="I43" s="1040">
        <f t="shared" si="1"/>
        <v>0.15725</v>
      </c>
      <c r="J43" s="635"/>
      <c r="M43" s="458"/>
      <c r="N43" s="458"/>
    </row>
    <row r="44" spans="1:14" s="421" customFormat="1" ht="15" customHeight="1">
      <c r="B44" s="465"/>
      <c r="C44" s="465" t="str">
        <f>IF(Indice_index!$Z$1=1,"Apoios ao setor das pescas","Benefits to fisheries sector")</f>
        <v>Apoios ao setor das pescas</v>
      </c>
      <c r="D44" s="465" t="str">
        <f>IF(Indice_index!$Z$1=1,"D.04 - Transf. Correntes","D.04 - Current transfers")</f>
        <v>D.04 - Transf. Correntes</v>
      </c>
      <c r="E44" s="1039">
        <v>0.10065001999999999</v>
      </c>
      <c r="F44" s="1039"/>
      <c r="G44" s="1039"/>
      <c r="H44" s="1039"/>
      <c r="I44" s="1040">
        <f t="shared" si="1"/>
        <v>0.10065001999999999</v>
      </c>
      <c r="J44" s="634"/>
      <c r="M44" s="449"/>
      <c r="N44" s="449"/>
    </row>
    <row r="45" spans="1:14" ht="15" customHeight="1">
      <c r="A45" s="421"/>
      <c r="B45" s="465"/>
      <c r="C45" s="465" t="str">
        <f>IF(Indice_index!$Z$1=1,"Apoios a setores de produção agrícola","Benefits to agricultural production sectors")</f>
        <v>Apoios a setores de produção agrícola</v>
      </c>
      <c r="D45" s="465" t="str">
        <f>IF(Indice_index!$Z$1=1,"D.04 - Transf. Correntes","D.04 - Current transfers")</f>
        <v>D.04 - Transf. Correntes</v>
      </c>
      <c r="E45" s="1039">
        <v>8.2524270000000011E-2</v>
      </c>
      <c r="F45" s="1039"/>
      <c r="G45" s="1039"/>
      <c r="H45" s="1039"/>
      <c r="I45" s="1040">
        <f t="shared" si="1"/>
        <v>8.2524270000000011E-2</v>
      </c>
      <c r="J45" s="634"/>
    </row>
    <row r="46" spans="1:14" ht="15" customHeight="1">
      <c r="A46" s="421"/>
      <c r="B46" s="465"/>
      <c r="C46" s="465" t="str">
        <f>IF(Indice_index!$Z$1=1,"Outros apoios","Other Central Government support expenditure")</f>
        <v>Outros apoios</v>
      </c>
      <c r="D46" s="465" t="str">
        <f>IF(Indice_index!$Z$1=1,"D.04 - Transf. Correntes","D.04 - Current transfers")</f>
        <v>D.04 - Transf. Correntes</v>
      </c>
      <c r="E46" s="1039">
        <v>2.9625479800000001</v>
      </c>
      <c r="F46" s="1039"/>
      <c r="G46" s="1039">
        <v>14.183611779999998</v>
      </c>
      <c r="H46" s="1039"/>
      <c r="I46" s="1040">
        <f t="shared" si="1"/>
        <v>17.146159759999996</v>
      </c>
      <c r="J46" s="634"/>
    </row>
    <row r="47" spans="1:14" ht="15" customHeight="1">
      <c r="A47" s="421"/>
      <c r="B47" s="465"/>
      <c r="C47" s="465" t="str">
        <f>IF(Indice_index!$Z$1=1,"Programa Ativar","ATIVAR.PT Program")</f>
        <v>Programa Ativar</v>
      </c>
      <c r="D47" s="465" t="str">
        <f>IF(Indice_index!$Z$1=1,"D.05 - Subsídios","D.05 - Subsidies")</f>
        <v>D.05 - Subsídios</v>
      </c>
      <c r="E47" s="1039">
        <v>194.71876568000002</v>
      </c>
      <c r="F47" s="1039"/>
      <c r="G47" s="1039"/>
      <c r="H47" s="1039"/>
      <c r="I47" s="1040">
        <f t="shared" si="1"/>
        <v>194.71876568000002</v>
      </c>
      <c r="J47" s="634"/>
    </row>
    <row r="48" spans="1:14" ht="15" customHeight="1">
      <c r="A48" s="421"/>
      <c r="B48" s="465"/>
      <c r="C48" s="465" t="str">
        <f>IF(Indice_index!$Z$1=1,"Novo incentivo à normalização da atividade empresarial","New extraordinary incentive to normalization")</f>
        <v>Novo incentivo à normalização da atividade empresarial</v>
      </c>
      <c r="D48" s="465" t="str">
        <f>IF(Indice_index!$Z$1=1,"D.05 - Subsídios","D.05 - Subsidies")</f>
        <v>D.05 - Subsídios</v>
      </c>
      <c r="E48" s="1039">
        <v>115.36997197999999</v>
      </c>
      <c r="F48" s="1039"/>
      <c r="G48" s="1039"/>
      <c r="H48" s="1039"/>
      <c r="I48" s="1040">
        <f t="shared" si="1"/>
        <v>115.36997197999999</v>
      </c>
      <c r="J48" s="634"/>
      <c r="K48" s="517"/>
    </row>
    <row r="49" spans="1:14" ht="15" customHeight="1">
      <c r="A49" s="421"/>
      <c r="B49" s="465"/>
      <c r="C49" s="465" t="str">
        <f>+IF(Indice_index!$Z$1=1,"Programa AUTOvoucher","AUTOvoucher Program")</f>
        <v>Programa AUTOvoucher</v>
      </c>
      <c r="D49" s="465" t="str">
        <f>IF(Indice_index!$Z$1=1,"D.05 - Subsídios","D.05 - Subsidies")</f>
        <v>D.05 - Subsídios</v>
      </c>
      <c r="E49" s="1039">
        <v>30</v>
      </c>
      <c r="F49" s="1039"/>
      <c r="G49" s="1446"/>
      <c r="H49" s="1446"/>
      <c r="I49" s="1040">
        <f t="shared" si="1"/>
        <v>30</v>
      </c>
      <c r="J49" s="634"/>
    </row>
    <row r="50" spans="1:14" ht="15" customHeight="1">
      <c r="A50" s="421"/>
      <c r="B50" s="465"/>
      <c r="C50" s="465" t="str">
        <f>IF(Indice_index!$Z$1=1,"Reforço de emergência de equipamentos sociais e de saúde","Emergency reinforcement of social and health facilities")</f>
        <v>Reforço de emergência de equipamentos sociais e de saúde</v>
      </c>
      <c r="D50" s="465" t="str">
        <f>IF(Indice_index!$Z$1=1,"D.05 - Subsídios","D.05 - Subsidies")</f>
        <v>D.05 - Subsídios</v>
      </c>
      <c r="E50" s="1039">
        <v>11.489164560000001</v>
      </c>
      <c r="F50" s="1039">
        <v>0.57952155000000005</v>
      </c>
      <c r="G50" s="1039"/>
      <c r="H50" s="1039"/>
      <c r="I50" s="1040">
        <f t="shared" si="1"/>
        <v>12.068686110000002</v>
      </c>
      <c r="J50" s="634"/>
    </row>
    <row r="51" spans="1:14" ht="15" customHeight="1">
      <c r="A51" s="421"/>
      <c r="B51" s="465"/>
      <c r="C51" s="465" t="str">
        <f>IF(Indice_index!$Z$1=1,"Apoios ao cinema e audiovisual","Support to cinema and audiovisual activities")</f>
        <v>Apoios ao cinema e audiovisual</v>
      </c>
      <c r="D51" s="465" t="str">
        <f>IF(Indice_index!$Z$1=1,"D.05 - Subsídios","D.05 - Subsidies")</f>
        <v>D.05 - Subsídios</v>
      </c>
      <c r="E51" s="1039">
        <v>0.75060141999999996</v>
      </c>
      <c r="F51" s="1039"/>
      <c r="G51" s="1039"/>
      <c r="H51" s="1039"/>
      <c r="I51" s="1040">
        <f t="shared" si="1"/>
        <v>0.75060141999999996</v>
      </c>
      <c r="J51" s="634"/>
    </row>
    <row r="52" spans="1:14" ht="15" customHeight="1">
      <c r="A52" s="421"/>
      <c r="B52" s="465"/>
      <c r="C52" s="465" t="str">
        <f>IF(Indice_index!$Z$1=1,"Incentivo extraordinário à normalização","Extraordinary incentive to normalization")</f>
        <v>Incentivo extraordinário à normalização</v>
      </c>
      <c r="D52" s="465" t="str">
        <f>IF(Indice_index!$Z$1=1,"D.05 - Subsídios","D.05 - Subsidies")</f>
        <v>D.05 - Subsídios</v>
      </c>
      <c r="E52" s="1039">
        <v>0.43836085999999996</v>
      </c>
      <c r="F52" s="1039"/>
      <c r="G52" s="1039"/>
      <c r="H52" s="1039"/>
      <c r="I52" s="1040">
        <f t="shared" si="1"/>
        <v>0.43836085999999996</v>
      </c>
      <c r="J52" s="634"/>
    </row>
    <row r="53" spans="1:14" ht="15" customHeight="1">
      <c r="A53" s="421"/>
      <c r="B53" s="465"/>
      <c r="C53" s="465" t="str">
        <f>IF(Indice_index!$Z$1=1,"Outros apoios a empresas","Other benefits to companies")</f>
        <v>Outros apoios a empresas</v>
      </c>
      <c r="D53" s="465" t="str">
        <f>IF(Indice_index!$Z$1=1,"D.05 - Subsídios","D.05 - Subsidies")</f>
        <v>D.05 - Subsídios</v>
      </c>
      <c r="E53" s="1039">
        <v>2.3720000000000001E-2</v>
      </c>
      <c r="F53" s="1039"/>
      <c r="G53" s="1039">
        <v>4.07783724</v>
      </c>
      <c r="H53" s="1039">
        <v>4.36404324</v>
      </c>
      <c r="I53" s="1040">
        <f t="shared" si="1"/>
        <v>8.4656004799999991</v>
      </c>
      <c r="J53" s="634"/>
    </row>
    <row r="54" spans="1:14" ht="15" customHeight="1">
      <c r="A54" s="421"/>
      <c r="B54" s="465"/>
      <c r="C54" s="465" t="str">
        <f>IF(Indice_index!$Z$1=1,"Outros encargos","Other charges")</f>
        <v>Outros encargos</v>
      </c>
      <c r="D54" s="465" t="str">
        <f>IF(Indice_index!$Z$1=1,"D.06/D.11 - Otr. Desp. Correntes/Capital","D.06 - Other current/capital expenditure")</f>
        <v>D.06/D.11 - Otr. Desp. Correntes/Capital</v>
      </c>
      <c r="E54" s="1039">
        <v>4.3194162599999997</v>
      </c>
      <c r="F54" s="1039"/>
      <c r="G54" s="1446">
        <v>0</v>
      </c>
      <c r="H54" s="1446">
        <v>4.5933911200000006</v>
      </c>
      <c r="I54" s="1040">
        <f t="shared" si="1"/>
        <v>8.9128073800000003</v>
      </c>
      <c r="J54" s="634"/>
    </row>
    <row r="55" spans="1:14" ht="15" customHeight="1">
      <c r="A55" s="421"/>
      <c r="B55" s="465"/>
      <c r="C55" s="465" t="str">
        <f>IF(Indice_index!$Z$1=1,"Universalização da escola digital","Universalization of the digital school")</f>
        <v>Universalização da escola digital</v>
      </c>
      <c r="D55" s="465" t="str">
        <f>IF(Indice_index!$Z$1=1,"D.07 - Aq. Bens de Capital","D.07 - Investment")</f>
        <v>D.07 - Aq. Bens de Capital</v>
      </c>
      <c r="E55" s="1039">
        <v>205.03298796000001</v>
      </c>
      <c r="F55" s="1039"/>
      <c r="G55" s="1039">
        <v>0</v>
      </c>
      <c r="H55" s="1039"/>
      <c r="I55" s="1040">
        <f t="shared" si="1"/>
        <v>205.03298796000001</v>
      </c>
      <c r="J55" s="634"/>
    </row>
    <row r="56" spans="1:14" ht="15" customHeight="1">
      <c r="A56" s="421"/>
      <c r="B56" s="465"/>
      <c r="C56" s="465" t="str">
        <f>IF(Indice_index!$Z$1=1,"Saúde: equipamentos e outros","Health: equipment and others")</f>
        <v>Saúde: equipamentos e outros</v>
      </c>
      <c r="D56" s="465" t="str">
        <f>IF(Indice_index!$Z$1=1,"D.07 - Aq. Bens de Capital","D.07 - Investment")</f>
        <v>D.07 - Aq. Bens de Capital</v>
      </c>
      <c r="E56" s="1039">
        <v>7.2899123099999992</v>
      </c>
      <c r="F56" s="1039"/>
      <c r="G56" s="1039">
        <v>0.5244741799999999</v>
      </c>
      <c r="H56" s="1039">
        <v>0.81072507999999999</v>
      </c>
      <c r="I56" s="1040">
        <f t="shared" si="1"/>
        <v>8.6251115699999978</v>
      </c>
      <c r="J56" s="634"/>
    </row>
    <row r="57" spans="1:14" ht="15" customHeight="1">
      <c r="A57" s="421"/>
      <c r="B57" s="465"/>
      <c r="C57" s="465" t="str">
        <f>IF(Indice_index!$Z$1=1,"Apoio ao teletrabalho","Support to teleworking")</f>
        <v>Apoio ao teletrabalho</v>
      </c>
      <c r="D57" s="465" t="str">
        <f>IF(Indice_index!$Z$1=1,"D.07 - Aq. Bens de Capital","D.07 - Investment")</f>
        <v>D.07 - Aq. Bens de Capital</v>
      </c>
      <c r="E57" s="1039">
        <v>6.8566003999999987</v>
      </c>
      <c r="F57" s="1039"/>
      <c r="G57" s="1039">
        <v>0</v>
      </c>
      <c r="H57" s="1039"/>
      <c r="I57" s="1040">
        <f t="shared" si="1"/>
        <v>6.8566003999999987</v>
      </c>
      <c r="J57" s="634"/>
    </row>
    <row r="58" spans="1:14" ht="15" customHeight="1">
      <c r="A58" s="421"/>
      <c r="B58" s="465"/>
      <c r="C58" s="465" t="str">
        <f>IF(Indice_index!$Z$1=1,"Outros equipamentos","Other equipment")</f>
        <v>Outros equipamentos</v>
      </c>
      <c r="D58" s="465" t="str">
        <f>IF(Indice_index!$Z$1=1,"D.07 - Aq. Bens de Capital","D.07 - Investment")</f>
        <v>D.07 - Aq. Bens de Capital</v>
      </c>
      <c r="E58" s="1039">
        <v>23.285253819999994</v>
      </c>
      <c r="F58" s="1039"/>
      <c r="G58" s="1039">
        <v>0.12833066000000001</v>
      </c>
      <c r="H58" s="1039">
        <v>0.39075873999999933</v>
      </c>
      <c r="I58" s="1040">
        <f t="shared" si="1"/>
        <v>23.804343219999993</v>
      </c>
      <c r="J58" s="634"/>
    </row>
    <row r="59" spans="1:14" ht="15" customHeight="1">
      <c r="A59" s="421"/>
      <c r="B59" s="465"/>
      <c r="C59" s="465" t="str">
        <f>IF(Indice_index!$Z$1=1,"Linha Invest RAM","Invest RAM Line")</f>
        <v>Linha Invest RAM</v>
      </c>
      <c r="D59" s="465" t="str">
        <f>IF(Indice_index!$Z$1=1,"D.08 - Transf. Capital","D.08 - Capital transfers")</f>
        <v>D.08 - Transf. Capital</v>
      </c>
      <c r="E59" s="1039">
        <v>0</v>
      </c>
      <c r="F59" s="1039"/>
      <c r="G59" s="1039">
        <v>40.868639469999998</v>
      </c>
      <c r="H59" s="1039"/>
      <c r="I59" s="1040">
        <f t="shared" si="1"/>
        <v>40.868639469999998</v>
      </c>
      <c r="J59" s="634"/>
    </row>
    <row r="60" spans="1:14" ht="15" customHeight="1">
      <c r="A60" s="421"/>
      <c r="B60" s="465"/>
      <c r="C60" s="465" t="str">
        <f>IF(Indice_index!$Z$1=1,"Programa Apoiar.PT - apoios à economia","Apoiar.PT Program - support to economic activity")</f>
        <v>Programa Apoiar.PT - apoios à economia</v>
      </c>
      <c r="D60" s="465" t="str">
        <f>IF(Indice_index!$Z$1=1,"D.08 - Transf. Capital","D.08 - Capital transfers")</f>
        <v>D.08 - Transf. Capital</v>
      </c>
      <c r="E60" s="1039">
        <v>0.69020808999999994</v>
      </c>
      <c r="F60" s="1039"/>
      <c r="G60" s="1039">
        <v>10.026114680000001</v>
      </c>
      <c r="H60" s="1039"/>
      <c r="I60" s="1040">
        <f t="shared" si="1"/>
        <v>10.716322770000001</v>
      </c>
      <c r="J60" s="634"/>
    </row>
    <row r="61" spans="1:14" ht="15" customHeight="1">
      <c r="A61" s="421"/>
      <c r="B61" s="465"/>
      <c r="C61" s="465" t="str">
        <f>IF(Indice_index!$Z$1=1,"Programa Adaptar Turismo","Adaptar Program")</f>
        <v>Programa Adaptar Turismo</v>
      </c>
      <c r="D61" s="465" t="str">
        <f>IF(Indice_index!$Z$1=1,"D.08 - Transf. Capital","D.08 - Capital transfers")</f>
        <v>D.08 - Transf. Capital</v>
      </c>
      <c r="E61" s="1039">
        <v>2.8299153700000002</v>
      </c>
      <c r="F61" s="1039"/>
      <c r="G61" s="1039">
        <v>0</v>
      </c>
      <c r="H61" s="1039"/>
      <c r="I61" s="1040">
        <f t="shared" si="1"/>
        <v>2.8299153700000002</v>
      </c>
      <c r="J61" s="634"/>
    </row>
    <row r="62" spans="1:14" ht="15" customHeight="1">
      <c r="A62" s="421"/>
      <c r="B62" s="465"/>
      <c r="C62" s="465" t="str">
        <f>IF(Indice_index!$Z$1=1,"Programa Adaptar","Adaptar Program")</f>
        <v>Programa Adaptar</v>
      </c>
      <c r="D62" s="465" t="str">
        <f>IF(Indice_index!$Z$1=1,"D.08 - Transf. Capital","D.08 - Capital transfers")</f>
        <v>D.08 - Transf. Capital</v>
      </c>
      <c r="E62" s="1039">
        <v>2.9620859999999999E-2</v>
      </c>
      <c r="F62" s="1039"/>
      <c r="G62" s="1039">
        <v>0.22425620999999998</v>
      </c>
      <c r="H62" s="1039"/>
      <c r="I62" s="1040">
        <f t="shared" si="1"/>
        <v>0.25387706999999998</v>
      </c>
      <c r="J62" s="634"/>
    </row>
    <row r="63" spans="1:14" ht="15" customHeight="1">
      <c r="A63" s="421"/>
      <c r="B63" s="465"/>
      <c r="C63" s="465" t="str">
        <f>IF(Indice_index!$Z$1=1,"Programa Apoiar Rendas","Apoiar rentals Program")</f>
        <v>Programa Apoiar Rendas</v>
      </c>
      <c r="D63" s="465" t="str">
        <f>IF(Indice_index!$Z$1=1,"D.08 - Transf. Capital","D.08 - Capital transfers")</f>
        <v>D.08 - Transf. Capital</v>
      </c>
      <c r="E63" s="1039">
        <v>2.3779359999999999E-2</v>
      </c>
      <c r="F63" s="1039"/>
      <c r="G63" s="1039">
        <v>0</v>
      </c>
      <c r="H63" s="1039"/>
      <c r="I63" s="1040">
        <f t="shared" si="1"/>
        <v>2.3779359999999999E-2</v>
      </c>
      <c r="J63" s="634"/>
    </row>
    <row r="64" spans="1:14" s="421" customFormat="1" ht="15" customHeight="1">
      <c r="B64" s="465"/>
      <c r="C64" s="465" t="str">
        <f>IF(Indice_index!$Z$1=1,"Outros apoios","Other benefits")</f>
        <v>Outros apoios</v>
      </c>
      <c r="D64" s="465" t="str">
        <f>IF(Indice_index!$Z$1=1,"D.08 - Transf. Capital","D.08 - Capital transfers")</f>
        <v>D.08 - Transf. Capital</v>
      </c>
      <c r="E64" s="1039">
        <v>2.0866202700000001</v>
      </c>
      <c r="F64" s="1039"/>
      <c r="G64" s="1039">
        <v>16.353322759999998</v>
      </c>
      <c r="H64" s="1039">
        <v>1.3406553400000003</v>
      </c>
      <c r="I64" s="1040">
        <f t="shared" si="1"/>
        <v>19.78059837</v>
      </c>
      <c r="J64" s="634"/>
      <c r="L64" s="439"/>
      <c r="M64" s="449"/>
      <c r="N64" s="449"/>
    </row>
    <row r="65" spans="1:11" ht="4.5" customHeight="1">
      <c r="A65" s="421"/>
      <c r="B65" s="465"/>
      <c r="E65" s="1040"/>
      <c r="F65" s="1040"/>
      <c r="G65" s="1040"/>
      <c r="H65" s="1040"/>
      <c r="I65" s="1040"/>
      <c r="J65" s="634"/>
    </row>
    <row r="66" spans="1:11" ht="15" customHeight="1">
      <c r="A66" s="421"/>
      <c r="B66" s="465"/>
      <c r="C66" s="1050" t="str">
        <f>IF(Indice_index!$Z$1=1,"Total da Despesa efetiva","Total Effective Expenditure")</f>
        <v>Total da Despesa efetiva</v>
      </c>
      <c r="D66" s="1050"/>
      <c r="E66" s="1453">
        <f>SUM(E16:E64)</f>
        <v>1739.84189171</v>
      </c>
      <c r="F66" s="1051">
        <f>SUM(F16:F64)</f>
        <v>469.63956057999997</v>
      </c>
      <c r="G66" s="1051">
        <f>SUM(G16:G64)</f>
        <v>145.04985859999996</v>
      </c>
      <c r="H66" s="1051">
        <f>SUM(H16:H64)</f>
        <v>59.766951642999992</v>
      </c>
      <c r="I66" s="1051">
        <f t="shared" si="0"/>
        <v>2414.2982625330001</v>
      </c>
      <c r="J66" s="634"/>
    </row>
    <row r="67" spans="1:11" ht="6.65" customHeight="1">
      <c r="A67" s="421"/>
      <c r="B67" s="465"/>
      <c r="C67" s="1050"/>
      <c r="D67" s="1050"/>
      <c r="E67" s="1051"/>
      <c r="F67" s="1051"/>
      <c r="G67" s="1051"/>
      <c r="H67" s="1051"/>
      <c r="I67" s="1051"/>
      <c r="J67" s="634"/>
    </row>
    <row r="68" spans="1:11" ht="15" customHeight="1">
      <c r="A68" s="421"/>
      <c r="B68" s="465"/>
      <c r="C68" s="1050" t="str">
        <f>IF(Indice_index!$Z$1=1,"Ativos financeiros","Financial assets")</f>
        <v>Ativos financeiros</v>
      </c>
      <c r="D68" s="1050"/>
      <c r="E68" s="1051">
        <f>E69+E70</f>
        <v>286.49788200999996</v>
      </c>
      <c r="F68" s="1051">
        <f t="shared" ref="F68:H68" si="2">F69+F70</f>
        <v>0</v>
      </c>
      <c r="G68" s="1051">
        <f t="shared" si="2"/>
        <v>0</v>
      </c>
      <c r="H68" s="1051">
        <f t="shared" si="2"/>
        <v>0</v>
      </c>
      <c r="I68" s="1051">
        <f>I69+I70</f>
        <v>286.49788200999996</v>
      </c>
      <c r="J68" s="634"/>
    </row>
    <row r="69" spans="1:11" ht="15" customHeight="1">
      <c r="A69" s="421"/>
      <c r="B69" s="465"/>
      <c r="C69" s="465" t="str">
        <f>IF(Indice_index!$Z$1=1,"Linha de apoio tesouraria MPE","Treasury support line for SME")</f>
        <v>Linha de apoio tesouraria MPE</v>
      </c>
      <c r="D69" s="465" t="str">
        <f>IF(Indice_index!$Z$1=1,"D.09 - Ativos financeiros","D.09 - Financial assets")</f>
        <v>D.09 - Ativos financeiros</v>
      </c>
      <c r="E69" s="1039">
        <v>273.49963200999997</v>
      </c>
      <c r="F69" s="1039">
        <v>0</v>
      </c>
      <c r="G69" s="1039"/>
      <c r="H69" s="1039"/>
      <c r="I69" s="1039">
        <f t="shared" ref="I69:I70" si="3">SUM(E69:H69)</f>
        <v>273.49963200999997</v>
      </c>
      <c r="J69" s="634"/>
    </row>
    <row r="70" spans="1:11" ht="15" customHeight="1">
      <c r="A70" s="421"/>
      <c r="B70" s="465"/>
      <c r="C70" s="465" t="str">
        <f>IF(Indice_index!$Z$1=1,"Linha de apoio ao turismo","Tourism support line")</f>
        <v>Linha de apoio ao turismo</v>
      </c>
      <c r="D70" s="465" t="str">
        <f>IF(Indice_index!$Z$1=1,"D.09 - Ativos financeiros","D.09 - Financial assets")</f>
        <v>D.09 - Ativos financeiros</v>
      </c>
      <c r="E70" s="1039">
        <v>12.998250000000001</v>
      </c>
      <c r="F70" s="1039">
        <v>0</v>
      </c>
      <c r="G70" s="1039"/>
      <c r="H70" s="1039"/>
      <c r="I70" s="1039">
        <f t="shared" si="3"/>
        <v>12.998250000000001</v>
      </c>
      <c r="J70" s="634"/>
    </row>
    <row r="71" spans="1:11" ht="15" customHeight="1">
      <c r="A71" s="421"/>
      <c r="B71" s="465"/>
      <c r="C71" s="1050" t="str">
        <f>IF(Indice_index!$Z$1=1,"Total da Despesa Orçamental","Total Expenditure")</f>
        <v>Total da Despesa Orçamental</v>
      </c>
      <c r="D71" s="1050"/>
      <c r="E71" s="1051">
        <f>+E66+E68</f>
        <v>2026.33977372</v>
      </c>
      <c r="F71" s="1051">
        <f t="shared" ref="F71:I71" si="4">+F66+F68</f>
        <v>469.63956057999997</v>
      </c>
      <c r="G71" s="1051">
        <f t="shared" si="4"/>
        <v>145.04985859999996</v>
      </c>
      <c r="H71" s="1051">
        <f t="shared" si="4"/>
        <v>59.766951642999992</v>
      </c>
      <c r="I71" s="1051">
        <f t="shared" si="4"/>
        <v>2700.7961445430001</v>
      </c>
      <c r="J71" s="634"/>
    </row>
    <row r="72" spans="1:11" ht="6.65" customHeight="1">
      <c r="A72" s="421"/>
      <c r="B72" s="465"/>
      <c r="J72" s="634"/>
    </row>
    <row r="73" spans="1:11" ht="15" customHeight="1">
      <c r="A73" s="421"/>
      <c r="B73" s="465"/>
      <c r="C73" s="1050" t="str">
        <f>IF(Indice_index!$Z$1=1,"Operações Extra-orçamentais","Extra-budgetary operations")</f>
        <v>Operações Extra-orçamentais</v>
      </c>
      <c r="D73" s="1050"/>
      <c r="E73" s="1051"/>
      <c r="F73" s="1051"/>
      <c r="G73" s="1051"/>
      <c r="H73" s="1051"/>
      <c r="I73" s="1051"/>
      <c r="J73" s="634"/>
      <c r="K73" s="460"/>
    </row>
    <row r="74" spans="1:11" ht="15" customHeight="1">
      <c r="A74" s="421"/>
      <c r="B74" s="465"/>
      <c r="C74" s="465" t="str">
        <f>IF(Indice_index!$Z$1=1,"Programa Apoiar.PT - apoios à economia","Apoiar.PT Program - support to economic activity")</f>
        <v>Programa Apoiar.PT - apoios à economia</v>
      </c>
      <c r="D74" s="465" t="str">
        <f>IF(Indice_index!$Z$1=1,"D.12 - Operações extra-orçamentais","D.12 - Extra-budgetary operations")</f>
        <v>D.12 - Operações extra-orçamentais</v>
      </c>
      <c r="E74" s="1039">
        <v>32.067440170000005</v>
      </c>
      <c r="F74" s="1039">
        <v>0</v>
      </c>
      <c r="G74" s="1040"/>
      <c r="H74" s="1040"/>
      <c r="I74" s="1040">
        <f t="shared" ref="I74:I80" si="5">SUM(E74:H74)</f>
        <v>32.067440170000005</v>
      </c>
      <c r="J74" s="634"/>
    </row>
    <row r="75" spans="1:11" ht="15" customHeight="1">
      <c r="A75" s="421"/>
      <c r="B75" s="465"/>
      <c r="C75" s="465" t="str">
        <f>IF(Indice_index!$Z$1=1,"Linha de apoio à economia","Economy support line")</f>
        <v>Linha de apoio à economia</v>
      </c>
      <c r="D75" s="1038" t="str">
        <f>IF(Indice_index!$Z$1=1,"D.12 - Operações extra-orçamentais","D.12 - Extra-budgetary operations")</f>
        <v>D.12 - Operações extra-orçamentais</v>
      </c>
      <c r="E75" s="1039">
        <v>11.500565640000001</v>
      </c>
      <c r="F75" s="1039">
        <v>0</v>
      </c>
      <c r="G75" s="1040"/>
      <c r="H75" s="1040"/>
      <c r="I75" s="1040">
        <f t="shared" si="5"/>
        <v>11.500565640000001</v>
      </c>
      <c r="J75" s="634"/>
    </row>
    <row r="76" spans="1:11" ht="15" customHeight="1">
      <c r="A76" s="421"/>
      <c r="B76" s="465"/>
      <c r="C76" s="465" t="str">
        <f>IF(Indice_index!$Z$1=1,"Programa Garantir Cultura","Guarantee Culture Program")</f>
        <v>Programa Garantir Cultura</v>
      </c>
      <c r="D76" s="1038" t="str">
        <f>IF(Indice_index!$Z$1=1,"D.12 - Operações extra-orçamentais","D.12 - Extra-budgetary operations")</f>
        <v>D.12 - Operações extra-orçamentais</v>
      </c>
      <c r="E76" s="1039">
        <v>4.8927542400000004</v>
      </c>
      <c r="F76" s="1039">
        <v>0</v>
      </c>
      <c r="G76" s="1040"/>
      <c r="H76" s="1040"/>
      <c r="I76" s="1040">
        <f t="shared" si="5"/>
        <v>4.8927542400000004</v>
      </c>
      <c r="J76" s="634"/>
    </row>
    <row r="77" spans="1:11" ht="15" customHeight="1">
      <c r="A77" s="421"/>
      <c r="B77" s="465"/>
      <c r="C77" s="465" t="str">
        <f>IF(Indice_index!$Z$1=1,"Programa Apoiar Rendas","Apoiar rentals Program")</f>
        <v>Programa Apoiar Rendas</v>
      </c>
      <c r="D77" s="1038" t="str">
        <f>IF(Indice_index!$Z$1=1,"D.12 - Operações extra-orçamentais","D.12 - Extra-budgetary operations")</f>
        <v>D.12 - Operações extra-orçamentais</v>
      </c>
      <c r="E77" s="1039">
        <v>1.7020250899999998</v>
      </c>
      <c r="F77" s="1039">
        <v>0</v>
      </c>
      <c r="G77" s="1040"/>
      <c r="H77" s="1040"/>
      <c r="I77" s="1040">
        <f t="shared" si="5"/>
        <v>1.7020250899999998</v>
      </c>
      <c r="J77" s="634"/>
    </row>
    <row r="78" spans="1:11" ht="15" customHeight="1">
      <c r="A78" s="421"/>
      <c r="B78" s="465"/>
      <c r="C78" s="465" t="str">
        <f>IF(Indice_index!$Z$1=1,"Programa Adaptar","Adaptar Program")</f>
        <v>Programa Adaptar</v>
      </c>
      <c r="D78" s="1038" t="str">
        <f>IF(Indice_index!$Z$1=1,"D.12 - Operações extra-orçamentais","D.12 - Extra-budgetary operations")</f>
        <v>D.12 - Operações extra-orçamentais</v>
      </c>
      <c r="E78" s="1039">
        <v>1.77000281</v>
      </c>
      <c r="F78" s="1039">
        <v>0</v>
      </c>
      <c r="G78" s="1040"/>
      <c r="H78" s="1040"/>
      <c r="I78" s="1040">
        <f t="shared" si="5"/>
        <v>1.77000281</v>
      </c>
      <c r="J78" s="634"/>
    </row>
    <row r="79" spans="1:11" ht="15" customHeight="1">
      <c r="A79" s="421"/>
      <c r="B79" s="465"/>
      <c r="C79" s="465" t="str">
        <f>IF(Indice_index!$Z$1=1,"Programa Apoiar + Simples","Apoiar + Simplex")</f>
        <v>Programa Apoiar + Simples</v>
      </c>
      <c r="D79" s="1038" t="str">
        <f>IF(Indice_index!$Z$1=1,"D.12 - Operações extra-orçamentais","D.12 - Extra-budgetary operations")</f>
        <v>D.12 - Operações extra-orçamentais</v>
      </c>
      <c r="E79" s="1039">
        <v>0.82838637000000004</v>
      </c>
      <c r="F79" s="1039">
        <v>0</v>
      </c>
      <c r="G79" s="1040"/>
      <c r="H79" s="1040"/>
      <c r="I79" s="1040">
        <f t="shared" si="5"/>
        <v>0.82838637000000004</v>
      </c>
      <c r="J79" s="634"/>
    </row>
    <row r="80" spans="1:11" ht="15" customHeight="1">
      <c r="A80" s="421"/>
      <c r="B80" s="465"/>
      <c r="C80" s="465" t="str">
        <f>IF(Indice_index!$Z$1=1,"Outros apoios","Other benefits")</f>
        <v>Outros apoios</v>
      </c>
      <c r="D80" s="1038" t="str">
        <f>IF(Indice_index!$Z$1=1,"D.12 - Operações extra-orçamentais","D.12 - Extra-budgetary operations")</f>
        <v>D.12 - Operações extra-orçamentais</v>
      </c>
      <c r="E80" s="1039">
        <v>4.1953571600000004</v>
      </c>
      <c r="F80" s="1039">
        <v>0</v>
      </c>
      <c r="G80" s="1040"/>
      <c r="H80" s="1040"/>
      <c r="I80" s="1040">
        <f t="shared" si="5"/>
        <v>4.1953571600000004</v>
      </c>
      <c r="J80" s="634"/>
    </row>
    <row r="81" spans="1:23" ht="15" customHeight="1">
      <c r="A81" s="421"/>
      <c r="B81" s="465"/>
      <c r="C81" s="1050" t="str">
        <f>IF(Indice_index!$Z$1=1,"Total da Despesa Extra-orçamental","Total Extra-budgetary Expenditure")</f>
        <v>Total da Despesa Extra-orçamental</v>
      </c>
      <c r="D81" s="1050"/>
      <c r="E81" s="1051">
        <f>SUM(E74:E80)</f>
        <v>56.956531480000002</v>
      </c>
      <c r="F81" s="1051">
        <v>0</v>
      </c>
      <c r="G81" s="1051">
        <f>SUM(G74:G80)</f>
        <v>0</v>
      </c>
      <c r="H81" s="1051">
        <f>SUM(H74:H80)</f>
        <v>0</v>
      </c>
      <c r="I81" s="1051">
        <f>SUM(I74:I80)</f>
        <v>56.956531480000002</v>
      </c>
      <c r="J81" s="634"/>
    </row>
    <row r="82" spans="1:23" ht="4.5" customHeight="1">
      <c r="A82" s="421"/>
      <c r="B82" s="421"/>
      <c r="C82" s="1454"/>
      <c r="D82" s="1454"/>
      <c r="E82" s="608"/>
      <c r="F82" s="608"/>
      <c r="G82" s="608"/>
      <c r="H82" s="608"/>
      <c r="I82" s="608"/>
      <c r="J82" s="634"/>
    </row>
    <row r="83" spans="1:23" ht="15" customHeight="1">
      <c r="A83" s="421"/>
      <c r="B83" s="421"/>
      <c r="C83" s="1062" t="str">
        <f>IF(Indice_index!$Z$1=1,"Montante Global de despesa ","Global expenditure amount")</f>
        <v xml:space="preserve">Montante Global de despesa </v>
      </c>
      <c r="D83" s="1050"/>
      <c r="E83" s="1051">
        <f>+E81+E71</f>
        <v>2083.2963052</v>
      </c>
      <c r="F83" s="1051">
        <f>+F81+F71</f>
        <v>469.63956057999997</v>
      </c>
      <c r="G83" s="1051">
        <f>+G81+G71</f>
        <v>145.04985859999996</v>
      </c>
      <c r="H83" s="1051">
        <f>+H81+H71</f>
        <v>59.766951642999992</v>
      </c>
      <c r="I83" s="1051">
        <f>+I81+I71</f>
        <v>2757.7526760230003</v>
      </c>
      <c r="J83" s="657"/>
    </row>
    <row r="84" spans="1:23" ht="4.5" customHeight="1">
      <c r="A84" s="421"/>
      <c r="B84" s="421"/>
      <c r="C84" s="1445"/>
      <c r="D84" s="1445"/>
      <c r="E84" s="1455"/>
      <c r="F84" s="1455"/>
      <c r="G84" s="1455"/>
      <c r="H84" s="1455"/>
      <c r="I84" s="1455"/>
      <c r="J84" s="634"/>
    </row>
    <row r="85" spans="1:23" ht="15" customHeight="1">
      <c r="A85" s="421"/>
      <c r="B85" s="421"/>
      <c r="C85" s="1065" t="str">
        <f>IF(Indice_index!$Z$1=1,"Notas:","Notes:")</f>
        <v>Notas:</v>
      </c>
      <c r="D85" s="1456"/>
      <c r="E85" s="1457"/>
      <c r="F85" s="1458"/>
      <c r="G85" s="1458"/>
      <c r="H85" s="1458"/>
      <c r="I85" s="1458"/>
      <c r="J85" s="634"/>
    </row>
    <row r="86" spans="1:23" ht="47.25" customHeight="1">
      <c r="C86" s="167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normalidade'"&amp;C178,C179)</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6" s="1672"/>
      <c r="E86" s="1672"/>
      <c r="F86" s="1672"/>
      <c r="G86" s="1672"/>
      <c r="H86" s="1672"/>
      <c r="I86" s="1672"/>
    </row>
    <row r="87" spans="1:23" ht="15" customHeight="1">
      <c r="C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E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F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G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H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I87" s="167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row>
    <row r="88" spans="1:23" ht="25.4" customHeight="1">
      <c r="C88" s="167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E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F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G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H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c r="I88" s="1672" t="str">
        <f>IF(Indice_index!$Z$1=1,"O valor do impacto orçamental da medida de isenção de pagamento da Taxa Social Única consiste numa estimativa apurada pelo Instituto de Gestão Financeira da Segurança Social, I.P..","The value of the budgetary impact of the measure 'Exemption from payment of the social security contributions' consists of an estimate calculated by the Social Security Financial Management Institute, I.P ..")</f>
        <v>O valor do impacto orçamental da medida de isenção de pagamento da Taxa Social Única consiste numa estimativa apurada pelo Instituto de Gestão Financeira da Segurança Social, I.P..</v>
      </c>
    </row>
    <row r="89" spans="1:23" ht="15" customHeight="1">
      <c r="C89" s="1678" t="str">
        <f>IF(Indice_index!$Z$1=1,"Os dados da Administração Regional e Local são provisórios.","Data from regional and local governments are provisional.")</f>
        <v>Os dados da Administração Regional e Local são provisórios.</v>
      </c>
      <c r="D89" s="1678" t="str">
        <f>IF(Indice_index!$Z$1=1,"Os dados da Administração Regional e Local são provisórios.","Data from regional and local governments are provisional.")</f>
        <v>Os dados da Administração Regional e Local são provisórios.</v>
      </c>
      <c r="E89" s="1678" t="str">
        <f>IF(Indice_index!$Z$1=1,"Os dados da Administração Regional e Local são provisórios.","Data from regional and local governments are provisional.")</f>
        <v>Os dados da Administração Regional e Local são provisórios.</v>
      </c>
      <c r="F89" s="1678" t="str">
        <f>IF(Indice_index!$Z$1=1,"Os dados da Administração Regional e Local são provisórios.","Data from regional and local governments are provisional.")</f>
        <v>Os dados da Administração Regional e Local são provisórios.</v>
      </c>
      <c r="G89" s="1678" t="str">
        <f>IF(Indice_index!$Z$1=1,"Os dados da Administração Regional e Local são provisórios.","Data from regional and local governments are provisional.")</f>
        <v>Os dados da Administração Regional e Local são provisórios.</v>
      </c>
      <c r="H89" s="1678" t="str">
        <f>IF(Indice_index!$Z$1=1,"Os dados da Administração Regional e Local são provisórios.","Data from regional and local governments are provisional.")</f>
        <v>Os dados da Administração Regional e Local são provisórios.</v>
      </c>
      <c r="I89" s="1678" t="str">
        <f>IF(Indice_index!$Z$1=1,"Os dados da Administração Regional e Local são provisórios.","Data from regional and local governments are provisional.")</f>
        <v>Os dados da Administração Regional e Local são provisórios.</v>
      </c>
    </row>
    <row r="90" spans="1:23" ht="15.75" customHeight="1">
      <c r="C90" s="1681"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0" s="1681"/>
      <c r="E90" s="1681"/>
      <c r="F90" s="1681"/>
      <c r="G90" s="1681"/>
      <c r="H90" s="1681"/>
      <c r="I90" s="1459"/>
    </row>
    <row r="91" spans="1:23" s="421" customFormat="1" ht="4.5" customHeight="1">
      <c r="C91" s="1067"/>
      <c r="D91" s="1067"/>
      <c r="E91" s="1460"/>
      <c r="F91" s="1460"/>
      <c r="G91" s="1460"/>
      <c r="H91" s="1460"/>
      <c r="I91" s="1460"/>
      <c r="J91" s="634"/>
      <c r="M91" s="449"/>
      <c r="N91" s="449"/>
      <c r="P91" s="437"/>
      <c r="Q91" s="437"/>
      <c r="R91" s="437"/>
      <c r="S91" s="437"/>
      <c r="T91" s="437"/>
      <c r="U91" s="437"/>
      <c r="V91" s="437"/>
      <c r="W91" s="437"/>
    </row>
    <row r="92" spans="1:23" s="421" customFormat="1" ht="15" customHeight="1">
      <c r="C92" s="1068" t="str">
        <f>IF(Indice_index!$Z$1=1,"Fonte:","Source:")</f>
        <v>Fonte:</v>
      </c>
      <c r="D92" s="1067"/>
      <c r="E92" s="1460"/>
      <c r="F92" s="1460"/>
      <c r="G92" s="1460"/>
      <c r="H92" s="1460"/>
      <c r="I92" s="1460"/>
      <c r="J92" s="634"/>
      <c r="M92" s="449"/>
      <c r="N92" s="449"/>
      <c r="Q92" s="437"/>
      <c r="S92" s="437"/>
      <c r="U92" s="437"/>
    </row>
    <row r="93" spans="1:23" ht="12.75" customHeight="1">
      <c r="C93" s="1672" t="s">
        <v>68</v>
      </c>
      <c r="D93" s="1672"/>
      <c r="E93" s="1672"/>
      <c r="F93" s="1672"/>
      <c r="G93" s="1672"/>
      <c r="H93" s="1672"/>
      <c r="I93" s="1672"/>
    </row>
    <row r="94" spans="1:23" ht="22.5" customHeight="1">
      <c r="C94" s="1672"/>
      <c r="D94" s="1672"/>
      <c r="E94" s="1672"/>
      <c r="F94" s="1672"/>
      <c r="G94" s="1672"/>
      <c r="H94" s="1672"/>
      <c r="I94" s="1672"/>
    </row>
    <row r="96" spans="1:23">
      <c r="C96" s="612"/>
      <c r="D96" s="612"/>
      <c r="E96" s="613"/>
      <c r="F96" s="613"/>
      <c r="G96" s="613"/>
      <c r="H96" s="613"/>
      <c r="I96" s="613"/>
    </row>
    <row r="97" spans="3:9">
      <c r="C97" s="612"/>
      <c r="D97" s="612"/>
      <c r="E97" s="613"/>
      <c r="F97" s="613"/>
      <c r="G97" s="613"/>
      <c r="H97" s="613"/>
      <c r="I97" s="613"/>
    </row>
    <row r="98" spans="3:9">
      <c r="C98" s="612"/>
      <c r="D98" s="612"/>
      <c r="E98" s="613"/>
      <c r="F98" s="613"/>
      <c r="G98" s="613"/>
      <c r="H98" s="613"/>
      <c r="I98" s="613"/>
    </row>
    <row r="99" spans="3:9">
      <c r="C99" s="1680"/>
      <c r="D99" s="1680"/>
      <c r="E99" s="1680"/>
      <c r="F99" s="1680"/>
      <c r="G99" s="1680"/>
      <c r="H99" s="1680"/>
      <c r="I99" s="1680"/>
    </row>
    <row r="100" spans="3:9">
      <c r="C100" s="612"/>
      <c r="D100" s="612"/>
      <c r="E100" s="613"/>
      <c r="F100" s="613"/>
      <c r="G100" s="613"/>
      <c r="H100" s="613"/>
      <c r="I100" s="613"/>
    </row>
    <row r="112" spans="3:9">
      <c r="C112" s="1679"/>
      <c r="D112" s="1679"/>
      <c r="E112" s="1679"/>
      <c r="F112" s="1679"/>
      <c r="G112" s="1679"/>
      <c r="H112" s="1679"/>
      <c r="I112" s="1679"/>
    </row>
    <row r="113" spans="3:3">
      <c r="C113" s="569"/>
    </row>
    <row r="178" spans="3:3">
      <c r="C178" s="570" t="s">
        <v>69</v>
      </c>
    </row>
    <row r="179" spans="3:3">
      <c r="C179" s="570" t="s">
        <v>70</v>
      </c>
    </row>
  </sheetData>
  <mergeCells count="10">
    <mergeCell ref="C2:I2"/>
    <mergeCell ref="C112:I112"/>
    <mergeCell ref="C93:I94"/>
    <mergeCell ref="C89:I89"/>
    <mergeCell ref="C87:I87"/>
    <mergeCell ref="C86:I86"/>
    <mergeCell ref="C88:I88"/>
    <mergeCell ref="C99:I99"/>
    <mergeCell ref="C4:I4"/>
    <mergeCell ref="C90:H90"/>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852" t="str">
        <f>IF(Indice_index!$Z$1=1,"Período: janeiro a setembro","Period: January to September")</f>
        <v>Período: janeiro a setembro</v>
      </c>
      <c r="D5" s="852"/>
      <c r="E5" s="852"/>
      <c r="F5" s="1001"/>
      <c r="H5" s="1001"/>
      <c r="I5" s="1001"/>
      <c r="J5" s="1002" t="str">
        <f>IF(Indice_index!$Z$1=1,"€ Milhões","€ Millions")</f>
        <v>€ Milhões</v>
      </c>
      <c r="L5" s="260"/>
      <c r="S5" s="261"/>
      <c r="T5" s="261"/>
    </row>
    <row r="6" spans="2:20" ht="35.25" customHeight="1">
      <c r="C6" s="1003"/>
      <c r="D6" s="737" t="str">
        <f>IF(Indice_index!$Z$1=1,"CGE","Final execution")</f>
        <v>CGE</v>
      </c>
      <c r="E6" s="737" t="str">
        <f>IF(Indice_index!$Z$1=1,"Orçamento Inicial","Budget")</f>
        <v>Orçamento Inicial</v>
      </c>
      <c r="F6" s="1682" t="str">
        <f>IF(Indice_index!$Z$1=1,"Execução Acumulada","Accumulated Execution")</f>
        <v>Execução Acumulada</v>
      </c>
      <c r="G6" s="1682"/>
      <c r="H6" s="1004" t="str">
        <f>IF(Indice_index!$Z$1=1,"Grau de Execução (%)","Execution Degree (%)")</f>
        <v>Grau de Execução (%)</v>
      </c>
      <c r="I6" s="1683" t="str">
        <f>IF(Indice_index!$Z$1=1,"Variação Homóloga Acumulada","YOY Change Rate")</f>
        <v>Variação Homóloga Acumulada</v>
      </c>
      <c r="J6" s="1684"/>
    </row>
    <row r="7" spans="2:20" ht="21">
      <c r="C7" s="1005"/>
      <c r="D7" s="739" t="s">
        <v>67</v>
      </c>
      <c r="E7" s="739" t="s">
        <v>74</v>
      </c>
      <c r="F7" s="740" t="s">
        <v>67</v>
      </c>
      <c r="G7" s="740" t="s">
        <v>74</v>
      </c>
      <c r="H7" s="1006" t="s">
        <v>74</v>
      </c>
      <c r="I7" s="740" t="str">
        <f>IF(Indice_index!$Z$1=1,"Relativa (%)","Relative change (%)")</f>
        <v>Relativa (%)</v>
      </c>
      <c r="J7" s="743" t="str">
        <f>IF(Indice_index!$Z$1=1,"Contributo VHA (p.p.)","YOY Change Rate Contrib. (p.p.)")</f>
        <v>Contributo VHA (p.p.)</v>
      </c>
    </row>
    <row r="8" spans="2:20" ht="5.25" customHeight="1">
      <c r="C8" s="1007"/>
      <c r="D8" s="1007"/>
      <c r="E8" s="1007"/>
      <c r="F8" s="1008"/>
      <c r="G8" s="1008"/>
      <c r="H8" s="1008"/>
      <c r="I8" s="1008"/>
      <c r="J8" s="1008"/>
    </row>
    <row r="9" spans="2:20" s="259" customFormat="1" ht="15" customHeight="1">
      <c r="C9" s="1009" t="str">
        <f>IF(Indice_index!$Z$1=1,"Receita corrente","Current revenue")</f>
        <v>Receita corrente</v>
      </c>
      <c r="D9" s="1009">
        <f t="shared" ref="D9:E9" si="0">SUM(D11:D14)+D17+D18</f>
        <v>82956.108804729985</v>
      </c>
      <c r="E9" s="1009">
        <f t="shared" si="0"/>
        <v>89669.727382998812</v>
      </c>
      <c r="F9" s="1009">
        <f t="shared" ref="F9:G9" si="1">SUM(F11:F14)+F17+F18</f>
        <v>59090.768343739997</v>
      </c>
      <c r="G9" s="1009">
        <f t="shared" si="1"/>
        <v>68278.567678930005</v>
      </c>
      <c r="H9" s="1010">
        <f>IFERROR(IF(G9/E9*100&lt;-500,"-",IF(G9/E9*100&gt;500,"-",G9/E9*100)),"-")</f>
        <v>76.14450235506736</v>
      </c>
      <c r="I9" s="1010">
        <f>IF(IFERROR((G9-F9)/F9*100,"")&gt;500,"-",IFERROR((G9-F9)/F9*100,""))</f>
        <v>15.548620525194698</v>
      </c>
      <c r="J9" s="1011">
        <f>IFERROR((G9-F9)/$F$27*100,"")</f>
        <v>15.336118173489352</v>
      </c>
      <c r="K9" s="261"/>
      <c r="L9" s="262"/>
      <c r="M9" s="263"/>
      <c r="N9" s="263"/>
      <c r="O9" s="263"/>
      <c r="P9" s="263"/>
      <c r="Q9" s="263"/>
      <c r="R9" s="263"/>
      <c r="S9" s="263"/>
      <c r="T9" s="261"/>
    </row>
    <row r="10" spans="2:20" ht="15" customHeight="1">
      <c r="C10" s="1012" t="str">
        <f>IF(Indice_index!$Z$1=1,"Receita fiscal","Tax")</f>
        <v>Receita fiscal</v>
      </c>
      <c r="D10" s="1013">
        <f t="shared" ref="D10:E10" si="2">+D11+D12</f>
        <v>46371.175763009996</v>
      </c>
      <c r="E10" s="1013">
        <f t="shared" si="2"/>
        <v>49467.141157999999</v>
      </c>
      <c r="F10" s="1013">
        <f t="shared" ref="F10:G10" si="3">+F11+F12</f>
        <v>33330.673964800008</v>
      </c>
      <c r="G10" s="1013">
        <f t="shared" si="3"/>
        <v>40246.337727270002</v>
      </c>
      <c r="H10" s="1014">
        <f>IFERROR(IF(G10/E10*100&lt;-500,"-",IF(G10/E10*100&gt;500,"-",G10/E10*100)),"-")</f>
        <v>81.359740597746722</v>
      </c>
      <c r="I10" s="1014">
        <f>IF(IFERROR((G10-F10)/F10*100,"")&gt;500,"-",IFERROR((G10-F10)/F10*100,""))</f>
        <v>20.748646636349196</v>
      </c>
      <c r="J10" s="1015">
        <f t="shared" ref="J10:J17" si="4">IFERROR((G10-F10)/$F$27*100,"")</f>
        <v>11.543508172097502</v>
      </c>
      <c r="K10" s="24"/>
      <c r="L10" s="26"/>
      <c r="M10" s="26"/>
      <c r="N10" s="27"/>
      <c r="O10" s="27"/>
      <c r="P10" s="27"/>
      <c r="Q10" s="27"/>
      <c r="R10" s="27"/>
      <c r="S10" s="27"/>
    </row>
    <row r="11" spans="2:20" ht="15" customHeight="1">
      <c r="C11" s="1016" t="str">
        <f>IF(Indice_index!$Z$1=1,"Impostos diretos ","Direct taxes")</f>
        <v xml:space="preserve">Impostos diretos </v>
      </c>
      <c r="D11" s="1013">
        <v>19956.944554760001</v>
      </c>
      <c r="E11" s="1013">
        <v>20904.899710000002</v>
      </c>
      <c r="F11" s="1013">
        <v>14034.062416969999</v>
      </c>
      <c r="G11" s="1013">
        <v>18284.830825969999</v>
      </c>
      <c r="H11" s="1014">
        <f t="shared" ref="H11:H24" si="5">IFERROR(IF(G11/E11*100&lt;-500,"-",IF(G11/E11*100&gt;500,"-",G11/E11*100)),"-")</f>
        <v>87.466723493647407</v>
      </c>
      <c r="I11" s="1014">
        <f>IF(IFERROR((G11-F11)/F11*100,"")&gt;500,"-",IFERROR((G11-F11)/F11*100,""))</f>
        <v>30.28893760555011</v>
      </c>
      <c r="J11" s="1015">
        <f t="shared" si="4"/>
        <v>7.0953102337439287</v>
      </c>
      <c r="K11" s="24"/>
      <c r="L11" s="26"/>
      <c r="M11" s="26"/>
      <c r="N11" s="27"/>
      <c r="O11" s="27"/>
      <c r="P11" s="27"/>
      <c r="Q11" s="27"/>
      <c r="R11" s="27"/>
      <c r="S11" s="27"/>
    </row>
    <row r="12" spans="2:20" ht="15" customHeight="1">
      <c r="C12" s="1016" t="str">
        <f>IF(Indice_index!$Z$1=1,"Impostos indiretos","Indirect taxes")</f>
        <v>Impostos indiretos</v>
      </c>
      <c r="D12" s="1013">
        <v>26414.231208249996</v>
      </c>
      <c r="E12" s="1013">
        <v>28562.241448000001</v>
      </c>
      <c r="F12" s="1013">
        <v>19296.611547830005</v>
      </c>
      <c r="G12" s="1013">
        <v>21961.506901300007</v>
      </c>
      <c r="H12" s="1014">
        <f t="shared" si="5"/>
        <v>76.889998081147809</v>
      </c>
      <c r="I12" s="1014">
        <f t="shared" ref="I12:I23" si="6">IF(IFERROR((G12-F12)/F12*100,"")&gt;500,"-",IFERROR((G12-F12)/F12*100,""))</f>
        <v>13.810172562496764</v>
      </c>
      <c r="J12" s="1015">
        <f t="shared" si="4"/>
        <v>4.4481979383535837</v>
      </c>
      <c r="K12" s="24"/>
      <c r="L12" s="26"/>
      <c r="M12" s="26"/>
      <c r="N12" s="27"/>
      <c r="O12" s="27"/>
      <c r="P12" s="27"/>
      <c r="Q12" s="27"/>
      <c r="R12" s="27"/>
      <c r="S12" s="27"/>
    </row>
    <row r="13" spans="2:20" ht="15" customHeight="1">
      <c r="C13" s="1017" t="str">
        <f>IF(Indice_index!$Z$1=1,"Contribuições para Segurança Social, CGA e ADSE","Social security, CGA and ADSE contributions")</f>
        <v>Contribuições para Segurança Social, CGA e ADSE</v>
      </c>
      <c r="D13" s="1013">
        <v>24205.521009029995</v>
      </c>
      <c r="E13" s="1013">
        <v>25361.125842000001</v>
      </c>
      <c r="F13" s="1013">
        <v>17455.161671099999</v>
      </c>
      <c r="G13" s="1013">
        <v>19130.71342045</v>
      </c>
      <c r="H13" s="1014">
        <f t="shared" si="5"/>
        <v>75.433218302824898</v>
      </c>
      <c r="I13" s="1014">
        <f>IF(IFERROR((G13-F13)/F13*100,"")&gt;500,"-",IFERROR((G13-F13)/F13*100,""))</f>
        <v>9.5991763406245791</v>
      </c>
      <c r="J13" s="1015">
        <f t="shared" si="4"/>
        <v>2.7968024438027208</v>
      </c>
      <c r="K13" s="24"/>
      <c r="L13" s="26"/>
      <c r="M13" s="26"/>
      <c r="N13" s="27"/>
      <c r="O13" s="27"/>
      <c r="P13" s="27"/>
      <c r="Q13" s="27"/>
      <c r="R13" s="27"/>
      <c r="S13" s="27"/>
    </row>
    <row r="14" spans="2:20" ht="15" customHeight="1">
      <c r="C14" s="1017" t="str">
        <f>IF(Indice_index!$Z$1=1,"Transferências Correntes","Current transfers")</f>
        <v>Transferências Correntes</v>
      </c>
      <c r="D14" s="1013">
        <f>+D15+D16</f>
        <v>3030.6102374100001</v>
      </c>
      <c r="E14" s="1013">
        <f>+E15+E16</f>
        <v>4871.3390229988308</v>
      </c>
      <c r="F14" s="1013">
        <f>+F15+F16</f>
        <v>2264.8480269799993</v>
      </c>
      <c r="G14" s="1013">
        <f>+G15+G16</f>
        <v>1742.4266426799993</v>
      </c>
      <c r="H14" s="1014">
        <f t="shared" si="5"/>
        <v>35.768946370875845</v>
      </c>
      <c r="I14" s="1014">
        <f>IF(IFERROR((G14-F14)/F14*100,"")&gt;500,"-",IFERROR((G14-F14)/F14*100,""))</f>
        <v>-23.066509455674549</v>
      </c>
      <c r="J14" s="1015">
        <f t="shared" si="4"/>
        <v>-0.87201687734911826</v>
      </c>
      <c r="K14" s="24"/>
      <c r="L14" s="26"/>
      <c r="M14" s="27"/>
      <c r="N14" s="27"/>
      <c r="O14" s="27"/>
      <c r="P14" s="27"/>
      <c r="Q14" s="27"/>
      <c r="R14" s="27"/>
      <c r="S14" s="27"/>
    </row>
    <row r="15" spans="2:20" ht="15" customHeight="1">
      <c r="C15" s="1018" t="str">
        <f>IF(Indice_index!$Z$1=1,"Administrações Públicas","General Government subsectors")</f>
        <v>Administrações Públicas</v>
      </c>
      <c r="D15" s="1013">
        <v>189.88059364999935</v>
      </c>
      <c r="E15" s="1013">
        <v>166.40293599999859</v>
      </c>
      <c r="F15" s="1013">
        <v>125.13029267</v>
      </c>
      <c r="G15" s="1013">
        <v>150.76412181000001</v>
      </c>
      <c r="H15" s="1014">
        <f t="shared" si="5"/>
        <v>90.60183998796829</v>
      </c>
      <c r="I15" s="1014">
        <f>IF(IFERROR((G15-F15)/F15*100,"")&gt;500,"-",IFERROR((G15-F15)/F15*100,""))</f>
        <v>20.485710208960228</v>
      </c>
      <c r="J15" s="1015">
        <f t="shared" si="4"/>
        <v>4.2787551032419782E-2</v>
      </c>
      <c r="K15" s="24"/>
      <c r="L15" s="26"/>
      <c r="M15" s="27"/>
      <c r="N15" s="27"/>
      <c r="O15" s="27"/>
      <c r="P15" s="27"/>
      <c r="Q15" s="27"/>
      <c r="R15" s="27"/>
      <c r="S15" s="27"/>
    </row>
    <row r="16" spans="2:20" ht="15" customHeight="1">
      <c r="C16" s="1018" t="str">
        <f>IF(Indice_index!$Z$1=1,"Outras","Others")</f>
        <v>Outras</v>
      </c>
      <c r="D16" s="1013">
        <v>2840.7296437600007</v>
      </c>
      <c r="E16" s="1013">
        <v>4704.9360869988323</v>
      </c>
      <c r="F16" s="1013">
        <v>2139.7177343099993</v>
      </c>
      <c r="G16" s="1013">
        <v>1591.6625208699993</v>
      </c>
      <c r="H16" s="1014">
        <f t="shared" si="5"/>
        <v>33.829631081881139</v>
      </c>
      <c r="I16" s="1014">
        <f>IF(IFERROR((G16-F16)/F16*100,"")&gt;500,"-",IFERROR((G16-F16)/F16*100,""))</f>
        <v>-25.61343511118455</v>
      </c>
      <c r="J16" s="1015">
        <f t="shared" si="4"/>
        <v>-0.91480442838153797</v>
      </c>
      <c r="K16" s="24"/>
      <c r="L16" s="26"/>
      <c r="M16" s="27"/>
      <c r="N16" s="27"/>
      <c r="O16" s="27"/>
      <c r="P16" s="27"/>
      <c r="Q16" s="27"/>
      <c r="R16" s="27"/>
      <c r="S16" s="27"/>
    </row>
    <row r="17" spans="3:20" ht="15" customHeight="1">
      <c r="C17" s="1017" t="str">
        <f>IF(Indice_index!$Z$1=1,"Outras receitas correntes","Other current revenue")</f>
        <v>Outras receitas correntes</v>
      </c>
      <c r="D17" s="1013">
        <v>9308.8380039000003</v>
      </c>
      <c r="E17" s="1013">
        <v>9953.5537159999985</v>
      </c>
      <c r="F17" s="1013">
        <v>5923.6998887600012</v>
      </c>
      <c r="G17" s="1013">
        <v>7060.7770256300037</v>
      </c>
      <c r="H17" s="1014">
        <f t="shared" si="5"/>
        <v>70.937247410239465</v>
      </c>
      <c r="I17" s="1014">
        <f t="shared" si="6"/>
        <v>19.195387312371508</v>
      </c>
      <c r="J17" s="1015">
        <f t="shared" si="4"/>
        <v>1.8979897913770287</v>
      </c>
      <c r="K17" s="24"/>
      <c r="L17" s="26"/>
      <c r="M17" s="27"/>
      <c r="N17" s="27"/>
      <c r="O17" s="27"/>
      <c r="P17" s="27"/>
      <c r="Q17" s="27"/>
      <c r="R17" s="27"/>
      <c r="S17" s="27"/>
    </row>
    <row r="18" spans="3:20" ht="15" customHeight="1">
      <c r="C18" s="1017" t="str">
        <f>IF(Indice_index!$Z$1=1,"Diferenças de consolidação","Consolidation differences")</f>
        <v>Diferenças de consolidação</v>
      </c>
      <c r="D18" s="1013">
        <v>39.963791379997609</v>
      </c>
      <c r="E18" s="1013">
        <v>16.567643999995955</v>
      </c>
      <c r="F18" s="1013">
        <v>116.38479209999828</v>
      </c>
      <c r="G18" s="1013">
        <v>98.312862899998393</v>
      </c>
      <c r="H18" s="1014"/>
      <c r="I18" s="1015"/>
      <c r="J18" s="1015"/>
      <c r="K18" s="24"/>
      <c r="L18" s="26"/>
      <c r="M18" s="27"/>
      <c r="N18" s="27"/>
      <c r="O18" s="27"/>
      <c r="P18" s="27"/>
      <c r="Q18" s="27"/>
      <c r="R18" s="27"/>
      <c r="S18" s="27"/>
    </row>
    <row r="19" spans="3:20" s="264" customFormat="1" ht="15" customHeight="1">
      <c r="C19" s="1009" t="str">
        <f>IF(Indice_index!$Z$1=1,"Receita de capital","Capital revenue")</f>
        <v>Receita de capital</v>
      </c>
      <c r="D19" s="1009">
        <f t="shared" ref="D19:E19" si="7">+D20+D21+D24+D25</f>
        <v>1215.0691603200003</v>
      </c>
      <c r="E19" s="1009">
        <f t="shared" si="7"/>
        <v>3672.4989230000001</v>
      </c>
      <c r="F19" s="1009">
        <f t="shared" ref="F19:G19" si="8">+F20+F21+F24+F25</f>
        <v>818.7813301299999</v>
      </c>
      <c r="G19" s="1009">
        <f t="shared" si="8"/>
        <v>1249.3522261999999</v>
      </c>
      <c r="H19" s="1010">
        <f t="shared" si="5"/>
        <v>34.019131180014774</v>
      </c>
      <c r="I19" s="1010">
        <f>IF(IFERROR((G19-F19)/F19*100,"")&gt;500,"-",IFERROR((G19-F19)/F19*100,""))</f>
        <v>52.586799457388366</v>
      </c>
      <c r="J19" s="1011">
        <f t="shared" ref="J19:J24" si="9">IFERROR((G19-F19)/$F$27*100,"")</f>
        <v>0.7187016066952624</v>
      </c>
      <c r="K19" s="261"/>
      <c r="L19" s="262"/>
      <c r="M19" s="263"/>
      <c r="N19" s="263"/>
      <c r="O19" s="263"/>
      <c r="P19" s="263"/>
      <c r="Q19" s="263"/>
      <c r="R19" s="263"/>
      <c r="S19" s="263"/>
      <c r="T19" s="261"/>
    </row>
    <row r="20" spans="3:20" ht="15" customHeight="1">
      <c r="C20" s="1017" t="str">
        <f>IF(Indice_index!$Z$1=1,"Venda de bens de investimento","Sale of investment goods")</f>
        <v>Venda de bens de investimento</v>
      </c>
      <c r="D20" s="1013">
        <v>155.06244905999998</v>
      </c>
      <c r="E20" s="1013">
        <v>187.87176300000002</v>
      </c>
      <c r="F20" s="1013">
        <v>97.428796119999987</v>
      </c>
      <c r="G20" s="1013">
        <v>101.25424524999997</v>
      </c>
      <c r="H20" s="1014">
        <f t="shared" si="5"/>
        <v>53.895403776032033</v>
      </c>
      <c r="I20" s="1014">
        <f>IF(IFERROR((G20-F20)/F20*100,"")&gt;500,"-",IFERROR((G20-F20)/F20*100,""))</f>
        <v>3.9264050079078219</v>
      </c>
      <c r="J20" s="1015">
        <f t="shared" si="9"/>
        <v>6.3853745368219325E-3</v>
      </c>
      <c r="K20" s="24"/>
      <c r="L20" s="26"/>
      <c r="M20" s="26"/>
      <c r="N20" s="27"/>
      <c r="O20" s="27"/>
      <c r="P20" s="27"/>
      <c r="Q20" s="27"/>
      <c r="R20" s="27"/>
      <c r="S20" s="27"/>
    </row>
    <row r="21" spans="3:20" ht="15" customHeight="1">
      <c r="C21" s="1017" t="str">
        <f>IF(Indice_index!$Z$1=1,"Transferências de Capital","Capital transfers")</f>
        <v>Transferências de Capital</v>
      </c>
      <c r="D21" s="1013">
        <f t="shared" ref="D21:E21" si="10">+D22+D23</f>
        <v>1018.6108192299999</v>
      </c>
      <c r="E21" s="1013">
        <f t="shared" si="10"/>
        <v>3431.2003119999999</v>
      </c>
      <c r="F21" s="1013">
        <f t="shared" ref="F21:G21" si="11">+F22+F23</f>
        <v>706.38970931999995</v>
      </c>
      <c r="G21" s="1013">
        <f t="shared" si="11"/>
        <v>1106.9050900499999</v>
      </c>
      <c r="H21" s="1014">
        <f t="shared" si="5"/>
        <v>32.25999619371683</v>
      </c>
      <c r="I21" s="1014">
        <f>IF(IFERROR((G21-F21)/F21*100,"")&gt;500,"-",IFERROR((G21-F21)/F21*100,""))</f>
        <v>56.698926307342823</v>
      </c>
      <c r="J21" s="1015">
        <f t="shared" si="9"/>
        <v>0.66853345236325112</v>
      </c>
      <c r="K21" s="24"/>
      <c r="L21" s="26"/>
      <c r="M21" s="27"/>
      <c r="N21" s="27"/>
      <c r="O21" s="27"/>
      <c r="P21" s="27"/>
      <c r="Q21" s="27"/>
      <c r="R21" s="27"/>
      <c r="S21" s="27"/>
    </row>
    <row r="22" spans="3:20" ht="15" customHeight="1">
      <c r="C22" s="1018" t="str">
        <f>IF(Indice_index!$Z$1=1,"Administrações Públicas","General Government subsectors")</f>
        <v>Administrações Públicas</v>
      </c>
      <c r="D22" s="1013">
        <v>8.1522407000000001</v>
      </c>
      <c r="E22" s="1013">
        <v>32.726060000000004</v>
      </c>
      <c r="F22" s="1013">
        <v>5.4511405499999999</v>
      </c>
      <c r="G22" s="1013">
        <v>8.4272878799999997</v>
      </c>
      <c r="H22" s="1014">
        <f t="shared" si="5"/>
        <v>25.751000517630292</v>
      </c>
      <c r="I22" s="1014">
        <f>IF(IFERROR((G22-F22)/F22*100,"")&gt;500,"-",IFERROR((G22-F22)/F22*100,""))</f>
        <v>54.596782135804588</v>
      </c>
      <c r="J22" s="1015">
        <f t="shared" si="9"/>
        <v>4.9677344366653936E-3</v>
      </c>
      <c r="K22" s="24"/>
      <c r="L22" s="26"/>
      <c r="M22" s="27"/>
      <c r="N22" s="27"/>
      <c r="O22" s="27"/>
      <c r="P22" s="27"/>
      <c r="Q22" s="27"/>
      <c r="R22" s="27"/>
      <c r="S22" s="27"/>
    </row>
    <row r="23" spans="3:20" ht="15" customHeight="1">
      <c r="C23" s="1018" t="str">
        <f>IF(Indice_index!$Z$1=1,"Outras","Others")</f>
        <v>Outras</v>
      </c>
      <c r="D23" s="1013">
        <v>1010.45857853</v>
      </c>
      <c r="E23" s="1013">
        <v>3398.474252</v>
      </c>
      <c r="F23" s="1013">
        <v>700.93856876999996</v>
      </c>
      <c r="G23" s="1013">
        <v>1098.4778021699999</v>
      </c>
      <c r="H23" s="1014">
        <f t="shared" si="5"/>
        <v>32.322675433646332</v>
      </c>
      <c r="I23" s="1014">
        <f t="shared" si="6"/>
        <v>56.715274506523137</v>
      </c>
      <c r="J23" s="1015">
        <f t="shared" si="9"/>
        <v>0.66356571792658581</v>
      </c>
      <c r="K23" s="24"/>
      <c r="L23" s="26"/>
      <c r="M23" s="27"/>
      <c r="N23" s="27"/>
      <c r="O23" s="27"/>
      <c r="P23" s="27"/>
      <c r="Q23" s="27"/>
      <c r="R23" s="27"/>
      <c r="S23" s="27"/>
    </row>
    <row r="24" spans="3:20" ht="15" customHeight="1">
      <c r="C24" s="1017" t="str">
        <f>IF(Indice_index!$Z$1=1,"Outras receitas de capital","Other capital revenue")</f>
        <v>Outras receitas de capital</v>
      </c>
      <c r="D24" s="1013">
        <v>26.772300769999998</v>
      </c>
      <c r="E24" s="1013">
        <v>44.065900000000006</v>
      </c>
      <c r="F24" s="1013">
        <v>13.367664219999995</v>
      </c>
      <c r="G24" s="1013">
        <v>40.966269920000002</v>
      </c>
      <c r="H24" s="1014">
        <f t="shared" si="5"/>
        <v>92.965921313305742</v>
      </c>
      <c r="I24" s="1014">
        <f>IF(IFERROR((G24-F24)/F24*100,"")&gt;500,"-",IFERROR((G24-F24)/F24*100,""))</f>
        <v>206.45795141015307</v>
      </c>
      <c r="J24" s="1015">
        <f t="shared" si="9"/>
        <v>4.6067122604390651E-2</v>
      </c>
      <c r="K24" s="24"/>
      <c r="L24" s="26"/>
      <c r="M24" s="26"/>
      <c r="N24" s="27"/>
      <c r="O24" s="27"/>
      <c r="P24" s="27"/>
      <c r="Q24" s="27"/>
      <c r="R24" s="27"/>
      <c r="S24" s="27"/>
    </row>
    <row r="25" spans="3:20" ht="15" customHeight="1">
      <c r="C25" s="1017" t="str">
        <f>IF(Indice_index!$Z$1=1,"Diferenças de consolidação","Consolidation differences")</f>
        <v>Diferenças de consolidação</v>
      </c>
      <c r="D25" s="1013">
        <v>14.623591260000369</v>
      </c>
      <c r="E25" s="1013">
        <v>9.3609479999999721</v>
      </c>
      <c r="F25" s="1013">
        <v>1.5951604699999999</v>
      </c>
      <c r="G25" s="1013">
        <v>0.22662098</v>
      </c>
      <c r="H25" s="1015"/>
      <c r="I25" s="1015"/>
      <c r="J25" s="1015"/>
      <c r="K25" s="24"/>
      <c r="L25" s="26"/>
      <c r="M25" s="27"/>
      <c r="N25" s="27"/>
      <c r="O25" s="27"/>
      <c r="P25" s="27"/>
      <c r="Q25" s="27"/>
      <c r="R25" s="27"/>
      <c r="S25" s="27"/>
    </row>
    <row r="26" spans="3:20" ht="5.15" customHeight="1">
      <c r="C26" s="1019"/>
      <c r="D26" s="1019"/>
      <c r="E26" s="1019"/>
      <c r="F26" s="1019"/>
      <c r="G26" s="1013"/>
      <c r="H26" s="1015"/>
      <c r="I26" s="1015"/>
      <c r="J26" s="1015"/>
      <c r="K26" s="24"/>
      <c r="L26" s="26"/>
      <c r="M26" s="27"/>
      <c r="N26" s="27"/>
      <c r="O26" s="27"/>
      <c r="P26" s="27"/>
      <c r="Q26" s="27"/>
      <c r="R26" s="27"/>
      <c r="S26" s="27"/>
    </row>
    <row r="27" spans="3:20" s="259" customFormat="1" ht="15" customHeight="1">
      <c r="C27" s="1020" t="str">
        <f>IF(Indice_index!$Z$1=1,"Receita efetiva","Effective revenue")</f>
        <v>Receita efetiva</v>
      </c>
      <c r="D27" s="1020">
        <f>+D9+D19</f>
        <v>84171.177965049981</v>
      </c>
      <c r="E27" s="1020">
        <f>+E9+E19</f>
        <v>93342.226305998818</v>
      </c>
      <c r="F27" s="1020">
        <f>+F9+F19</f>
        <v>59909.549673869995</v>
      </c>
      <c r="G27" s="1020">
        <f>+G9+G19</f>
        <v>69527.919905130009</v>
      </c>
      <c r="H27" s="1021">
        <f>IFERROR(IF(G27/E27*100&lt;-500,"-",IF(G27/E27*100&gt;500,"-",G27/E27*100)),"-")</f>
        <v>74.487102629414863</v>
      </c>
      <c r="I27" s="1021">
        <f>IF(IFERROR((G27-F27)/F27*100,"")&gt;500,"-",IFERROR((G27-F27)/F27*100,""))</f>
        <v>16.054819780184626</v>
      </c>
      <c r="J27" s="1022"/>
      <c r="K27" s="261"/>
      <c r="L27" s="262"/>
      <c r="M27" s="263"/>
      <c r="N27" s="263"/>
      <c r="O27" s="263"/>
      <c r="P27" s="263"/>
      <c r="Q27" s="263"/>
      <c r="R27" s="263"/>
      <c r="S27" s="263"/>
      <c r="T27" s="261"/>
    </row>
    <row r="28" spans="3:20" ht="4.4000000000000004" customHeight="1">
      <c r="C28" s="1019"/>
      <c r="D28" s="1019"/>
      <c r="E28" s="1019"/>
      <c r="F28" s="33"/>
      <c r="G28" s="1013"/>
      <c r="H28" s="1015"/>
      <c r="I28" s="1015"/>
      <c r="J28" s="1015"/>
      <c r="K28" s="24"/>
      <c r="L28" s="26"/>
      <c r="M28" s="27"/>
      <c r="N28" s="27"/>
      <c r="O28" s="27"/>
      <c r="P28" s="27"/>
      <c r="Q28" s="27"/>
      <c r="R28" s="27"/>
      <c r="S28" s="27"/>
    </row>
    <row r="29" spans="3:20" s="259" customFormat="1" ht="15" customHeight="1">
      <c r="C29" s="1009" t="str">
        <f>IF(Indice_index!$Z$1=1,"Despesa corrente","Current expenditure")</f>
        <v>Despesa corrente</v>
      </c>
      <c r="D29" s="1009">
        <f t="shared" ref="D29:E29" si="12">+D30+D34+D35+D36+D39+D40+D41</f>
        <v>86897.400296310036</v>
      </c>
      <c r="E29" s="1009">
        <f t="shared" si="12"/>
        <v>90194.621481000009</v>
      </c>
      <c r="F29" s="1009">
        <f t="shared" ref="F29:G29" si="13">+F30+F34+F35+F36+F39+F40+F41</f>
        <v>60888.394028260009</v>
      </c>
      <c r="G29" s="1009">
        <f t="shared" si="13"/>
        <v>61122.107142930035</v>
      </c>
      <c r="H29" s="1010">
        <f t="shared" ref="H29:H47" si="14">IFERROR(IF(G29/E29*100&lt;-500,"-",IF(G29/E29*100&gt;500,"-",G29/E29*100)),"-")</f>
        <v>67.766909089812785</v>
      </c>
      <c r="I29" s="1010">
        <f>IF(IFERROR((G29-F29)/F29*100,"")&gt;500,"-",IFERROR((G29-F29)/F29*100,""))</f>
        <v>0.38383852686532333</v>
      </c>
      <c r="J29" s="1011">
        <f>IFERROR((G29-F29)/$F$50*100,"")</f>
        <v>0.36152742734172377</v>
      </c>
      <c r="K29" s="261"/>
      <c r="L29" s="262"/>
      <c r="M29" s="263"/>
      <c r="N29" s="263"/>
      <c r="O29" s="263"/>
      <c r="P29" s="263"/>
      <c r="Q29" s="263"/>
      <c r="R29" s="263"/>
      <c r="S29" s="263"/>
      <c r="T29" s="261"/>
    </row>
    <row r="30" spans="3:20" ht="15" customHeight="1">
      <c r="C30" s="1017" t="str">
        <f>IF(Indice_index!$Z$1=1,"Despesas com o pessoal","Employees")</f>
        <v>Despesas com o pessoal</v>
      </c>
      <c r="D30" s="1013">
        <f t="shared" ref="D30:E30" si="15">+D31+D32+D33</f>
        <v>19006.993351709996</v>
      </c>
      <c r="E30" s="1013">
        <f t="shared" si="15"/>
        <v>19280.685428000001</v>
      </c>
      <c r="F30" s="1013">
        <f t="shared" ref="F30:G30" si="16">+F31+F32+F33</f>
        <v>13625.328885330002</v>
      </c>
      <c r="G30" s="1013">
        <f t="shared" si="16"/>
        <v>13767.340976149999</v>
      </c>
      <c r="H30" s="1014">
        <f t="shared" si="14"/>
        <v>71.404831677595055</v>
      </c>
      <c r="I30" s="1014">
        <f>IF(IFERROR((G30-F30)/F30*100,"")&gt;500,"-",IFERROR((G30-F30)/F30*100,""))</f>
        <v>1.042265416234446</v>
      </c>
      <c r="J30" s="1015">
        <f t="shared" ref="J30:J40" si="17">IFERROR((G30-F30)/$F$50*100,"")</f>
        <v>0.21967644356654992</v>
      </c>
      <c r="K30" s="24"/>
      <c r="L30" s="26"/>
      <c r="M30" s="26"/>
      <c r="N30" s="27"/>
      <c r="O30" s="27"/>
      <c r="P30" s="27"/>
      <c r="Q30" s="27"/>
      <c r="R30" s="27"/>
      <c r="S30" s="27"/>
    </row>
    <row r="31" spans="3:20" ht="15" customHeight="1">
      <c r="C31" s="1018" t="str">
        <f>IF(Indice_index!$Z$1=1,"Remunerações Certas e Permanentes","Certain and permanent wages")</f>
        <v>Remunerações Certas e Permanentes</v>
      </c>
      <c r="D31" s="1013">
        <v>13533.620271419999</v>
      </c>
      <c r="E31" s="1013">
        <v>14143.222876</v>
      </c>
      <c r="F31" s="1013">
        <v>9652.3230817500025</v>
      </c>
      <c r="G31" s="1013">
        <v>9804.6028925599985</v>
      </c>
      <c r="H31" s="1014">
        <f t="shared" si="14"/>
        <v>69.3236822930768</v>
      </c>
      <c r="I31" s="1014">
        <f>IF(IFERROR((G31-F31)/F31*100,"")&gt;500,"-",IFERROR((G31-F31)/F31*100,""))</f>
        <v>1.5776493339506727</v>
      </c>
      <c r="J31" s="1015">
        <f t="shared" si="17"/>
        <v>0.23555943069754809</v>
      </c>
      <c r="K31" s="24"/>
      <c r="L31" s="26"/>
      <c r="M31" s="26"/>
      <c r="N31" s="27"/>
      <c r="O31" s="27"/>
      <c r="P31" s="27"/>
      <c r="Q31" s="27"/>
      <c r="R31" s="27"/>
      <c r="S31" s="27"/>
    </row>
    <row r="32" spans="3:20" ht="15" customHeight="1">
      <c r="C32" s="1018" t="str">
        <f>IF(Indice_index!$Z$1=1,"Abonos Variáveis ou Eventuais","Variable or contingent bonuses")</f>
        <v>Abonos Variáveis ou Eventuais</v>
      </c>
      <c r="D32" s="1013">
        <v>1337.0660552600004</v>
      </c>
      <c r="E32" s="1013">
        <v>1294.5149609999999</v>
      </c>
      <c r="F32" s="1013">
        <v>995.83734412999945</v>
      </c>
      <c r="G32" s="1013">
        <v>998.62936132999982</v>
      </c>
      <c r="H32" s="1014">
        <f t="shared" si="14"/>
        <v>77.1431301619387</v>
      </c>
      <c r="I32" s="1014">
        <f>IF(IFERROR((G32-F32)/F32*100,"")&gt;500,"-",IFERROR((G32-F32)/F32*100,""))</f>
        <v>0.28036879882623633</v>
      </c>
      <c r="J32" s="1015">
        <f t="shared" si="17"/>
        <v>4.3189309116653972E-3</v>
      </c>
      <c r="K32" s="24"/>
      <c r="L32" s="26"/>
      <c r="M32" s="26"/>
      <c r="N32" s="27"/>
      <c r="O32" s="27"/>
      <c r="P32" s="27"/>
      <c r="Q32" s="27"/>
      <c r="R32" s="27"/>
      <c r="S32" s="27"/>
    </row>
    <row r="33" spans="3:20" ht="15" customHeight="1">
      <c r="C33" s="1018" t="str">
        <f>IF(Indice_index!$Z$1=1,"Segurança social","Social security")</f>
        <v>Segurança social</v>
      </c>
      <c r="D33" s="1013">
        <v>4136.307025029997</v>
      </c>
      <c r="E33" s="1013">
        <v>3842.9475910000001</v>
      </c>
      <c r="F33" s="1013">
        <v>2977.1684594500002</v>
      </c>
      <c r="G33" s="1013">
        <v>2964.1087222600004</v>
      </c>
      <c r="H33" s="1014">
        <f t="shared" si="14"/>
        <v>77.131125316457656</v>
      </c>
      <c r="I33" s="1014">
        <f>IF(IFERROR((G33-F33)/F33*100,"")&gt;500,"-",IFERROR((G33-F33)/F33*100,""))</f>
        <v>-0.43866302387243805</v>
      </c>
      <c r="J33" s="1015">
        <f t="shared" si="17"/>
        <v>-2.0201918042664281E-2</v>
      </c>
      <c r="K33" s="24"/>
      <c r="L33" s="26"/>
      <c r="M33" s="26"/>
      <c r="N33" s="27"/>
      <c r="O33" s="27"/>
      <c r="P33" s="27"/>
      <c r="Q33" s="27"/>
      <c r="R33" s="27"/>
      <c r="S33" s="27"/>
    </row>
    <row r="34" spans="3:20" ht="15" customHeight="1">
      <c r="C34" s="1017" t="str">
        <f>IF(Indice_index!$Z$1=1,"Aquisição de bens e serviços","Purchase of goods and services")</f>
        <v>Aquisição de bens e serviços</v>
      </c>
      <c r="D34" s="1013">
        <v>11472.973301580041</v>
      </c>
      <c r="E34" s="1013">
        <v>12512.920374999998</v>
      </c>
      <c r="F34" s="1013">
        <v>7226.7733380399959</v>
      </c>
      <c r="G34" s="1013">
        <v>7773.7071171200214</v>
      </c>
      <c r="H34" s="1014">
        <f t="shared" si="14"/>
        <v>62.12544221612233</v>
      </c>
      <c r="I34" s="1014">
        <f t="shared" ref="I34:I40" si="18">IF(IFERROR((G34-F34)/F34*100,"")&gt;500,"-",IFERROR((G34-F34)/F34*100,""))</f>
        <v>7.568160138648568</v>
      </c>
      <c r="J34" s="1015">
        <f t="shared" si="17"/>
        <v>0.84604393021016477</v>
      </c>
      <c r="K34" s="24"/>
      <c r="L34" s="26"/>
      <c r="M34" s="27"/>
      <c r="N34" s="27"/>
      <c r="O34" s="27"/>
      <c r="P34" s="27"/>
      <c r="Q34" s="27"/>
      <c r="R34" s="27"/>
      <c r="S34" s="27"/>
    </row>
    <row r="35" spans="3:20" ht="15" customHeight="1">
      <c r="C35" s="1017" t="str">
        <f>IF(Indice_index!$Z$1=1,"Juros e outros encargos","Interests and other charges")</f>
        <v>Juros e outros encargos</v>
      </c>
      <c r="D35" s="1013">
        <v>6799.7249258299998</v>
      </c>
      <c r="E35" s="1013">
        <v>6637.2324419999995</v>
      </c>
      <c r="F35" s="1013">
        <v>4605.2334195300054</v>
      </c>
      <c r="G35" s="1013">
        <v>4160.2757008900007</v>
      </c>
      <c r="H35" s="1014">
        <f t="shared" si="14"/>
        <v>62.680879978890466</v>
      </c>
      <c r="I35" s="1014">
        <f>IF(IFERROR((G35-F35)/F35*100,"")&gt;500,"-",IFERROR((G35-F35)/F35*100,""))</f>
        <v>-9.6620014254438296</v>
      </c>
      <c r="J35" s="1015">
        <f t="shared" si="17"/>
        <v>-0.68829864136158403</v>
      </c>
      <c r="K35" s="24"/>
      <c r="L35" s="26"/>
      <c r="M35" s="27"/>
      <c r="N35" s="27"/>
      <c r="O35" s="27"/>
      <c r="P35" s="27"/>
      <c r="Q35" s="27"/>
      <c r="R35" s="27"/>
      <c r="S35" s="27"/>
    </row>
    <row r="36" spans="3:20" ht="15" customHeight="1">
      <c r="C36" s="1017" t="str">
        <f>IF(Indice_index!$Z$1=1,"Transferências correntes","Current transfers")</f>
        <v>Transferências correntes</v>
      </c>
      <c r="D36" s="1013">
        <f t="shared" ref="D36:E36" si="19">+D37+D38</f>
        <v>47104.764315169996</v>
      </c>
      <c r="E36" s="1013">
        <f t="shared" si="19"/>
        <v>47484.979677999996</v>
      </c>
      <c r="F36" s="1013">
        <f t="shared" ref="F36:G36" si="20">+F37+F38</f>
        <v>33733.145216620003</v>
      </c>
      <c r="G36" s="1013">
        <f t="shared" si="20"/>
        <v>33805.041325530015</v>
      </c>
      <c r="H36" s="1014">
        <f t="shared" si="14"/>
        <v>71.191019886214761</v>
      </c>
      <c r="I36" s="1014">
        <f>IF(IFERROR((G36-F36)/F36*100,"")&gt;500,"-",IFERROR((G36-F36)/F36*100,""))</f>
        <v>0.21313194618623818</v>
      </c>
      <c r="J36" s="1015">
        <f t="shared" si="17"/>
        <v>0.11121504810209329</v>
      </c>
      <c r="K36" s="24"/>
      <c r="L36" s="26"/>
      <c r="M36" s="27"/>
      <c r="N36" s="27"/>
      <c r="O36" s="27"/>
      <c r="P36" s="27"/>
      <c r="Q36" s="27"/>
      <c r="R36" s="27"/>
      <c r="S36" s="27"/>
    </row>
    <row r="37" spans="3:20" ht="15" customHeight="1">
      <c r="C37" s="1018" t="str">
        <f>IF(Indice_index!$Z$1=1,"Administrações Públicas","General Government subsectors")</f>
        <v>Administrações Públicas</v>
      </c>
      <c r="D37" s="1013">
        <v>4286.362799350004</v>
      </c>
      <c r="E37" s="1013">
        <v>4733.3789689999994</v>
      </c>
      <c r="F37" s="1013">
        <v>3161.0589876599997</v>
      </c>
      <c r="G37" s="1013">
        <v>3369.516655150001</v>
      </c>
      <c r="H37" s="1014">
        <f t="shared" si="14"/>
        <v>71.186285256636964</v>
      </c>
      <c r="I37" s="1014">
        <f>IF(IFERROR((G37-F37)/F37*100,"")&gt;500,"-",IFERROR((G37-F37)/F37*100,""))</f>
        <v>6.594551645627905</v>
      </c>
      <c r="J37" s="1015">
        <f t="shared" si="17"/>
        <v>0.32246014240030946</v>
      </c>
      <c r="K37" s="24"/>
      <c r="L37" s="26"/>
      <c r="M37" s="27"/>
      <c r="N37" s="27"/>
      <c r="O37" s="27"/>
      <c r="P37" s="27"/>
      <c r="Q37" s="27"/>
      <c r="R37" s="27"/>
      <c r="S37" s="27"/>
    </row>
    <row r="38" spans="3:20" ht="15" customHeight="1">
      <c r="C38" s="1018" t="str">
        <f>IF(Indice_index!$Z$1=1,"Outras","Others")</f>
        <v>Outras</v>
      </c>
      <c r="D38" s="1013">
        <v>42818.401515819991</v>
      </c>
      <c r="E38" s="1013">
        <v>42751.600708999998</v>
      </c>
      <c r="F38" s="1013">
        <v>30572.086228960001</v>
      </c>
      <c r="G38" s="1013">
        <v>30435.524670380015</v>
      </c>
      <c r="H38" s="1014">
        <f t="shared" si="14"/>
        <v>71.191544095734344</v>
      </c>
      <c r="I38" s="1014">
        <f>IF(IFERROR((G38-F38)/F38*100,"")&gt;500,"-",IFERROR((G38-F38)/F38*100,""))</f>
        <v>-0.4466870777389913</v>
      </c>
      <c r="J38" s="1015">
        <f t="shared" si="17"/>
        <v>-0.21124509429821126</v>
      </c>
      <c r="K38" s="24"/>
      <c r="L38" s="26"/>
      <c r="M38" s="27"/>
      <c r="N38" s="27"/>
      <c r="O38" s="27"/>
      <c r="P38" s="27"/>
      <c r="Q38" s="27"/>
      <c r="R38" s="27"/>
      <c r="S38" s="27"/>
    </row>
    <row r="39" spans="3:20" ht="15" customHeight="1">
      <c r="C39" s="1017" t="str">
        <f>IF(Indice_index!$Z$1=1,"Subsídios","Subsidies")</f>
        <v>Subsídios</v>
      </c>
      <c r="D39" s="1013">
        <v>1651.8126438400002</v>
      </c>
      <c r="E39" s="1013">
        <v>1825.428872</v>
      </c>
      <c r="F39" s="1013">
        <v>1121.5751236499998</v>
      </c>
      <c r="G39" s="1013">
        <v>1134.8709286699998</v>
      </c>
      <c r="H39" s="1014">
        <f t="shared" si="14"/>
        <v>62.170098549312293</v>
      </c>
      <c r="I39" s="1014">
        <f>IF(IFERROR((G39-F39)/F39*100,"")&gt;500,"-",IFERROR((G39-F39)/F39*100,""))</f>
        <v>1.1854582666500988</v>
      </c>
      <c r="J39" s="1015">
        <f t="shared" si="17"/>
        <v>2.0567087944997703E-2</v>
      </c>
      <c r="K39" s="24"/>
      <c r="L39" s="26"/>
      <c r="M39" s="26"/>
      <c r="N39" s="27"/>
      <c r="O39" s="27"/>
      <c r="P39" s="27"/>
      <c r="Q39" s="27"/>
      <c r="R39" s="27"/>
      <c r="S39" s="27"/>
    </row>
    <row r="40" spans="3:20" ht="15" customHeight="1">
      <c r="C40" s="1017" t="str">
        <f>IF(Indice_index!$Z$1=1,"Outras despesas correntes","Other current expenditure")</f>
        <v>Outras despesas correntes</v>
      </c>
      <c r="D40" s="1013">
        <v>647.6559153999998</v>
      </c>
      <c r="E40" s="1013">
        <v>2306.5234060000003</v>
      </c>
      <c r="F40" s="1013">
        <v>472.55406164999994</v>
      </c>
      <c r="G40" s="1013">
        <v>465.05530154999968</v>
      </c>
      <c r="H40" s="1014">
        <f t="shared" si="14"/>
        <v>20.162609247330554</v>
      </c>
      <c r="I40" s="1014">
        <f t="shared" si="18"/>
        <v>-1.5868576124003897</v>
      </c>
      <c r="J40" s="1015">
        <f t="shared" si="17"/>
        <v>-1.1599723237754364E-2</v>
      </c>
      <c r="K40" s="24"/>
      <c r="L40" s="26"/>
      <c r="M40" s="27"/>
      <c r="N40" s="27"/>
      <c r="O40" s="27"/>
      <c r="P40" s="27"/>
      <c r="Q40" s="27"/>
      <c r="R40" s="27"/>
      <c r="S40" s="27"/>
    </row>
    <row r="41" spans="3:20" ht="15" customHeight="1">
      <c r="C41" s="1017" t="str">
        <f>IF(Indice_index!$Z$1=1,"Diferenças de consolidação","Consolidation differences")</f>
        <v>Diferenças de consolidação</v>
      </c>
      <c r="D41" s="1013">
        <v>213.47584277999948</v>
      </c>
      <c r="E41" s="1013">
        <v>146.85127999999906</v>
      </c>
      <c r="F41" s="1013">
        <v>103.7839834400019</v>
      </c>
      <c r="G41" s="1013">
        <v>15.815793020000994</v>
      </c>
      <c r="H41" s="1014"/>
      <c r="I41" s="1015"/>
      <c r="J41" s="1015"/>
      <c r="K41" s="24"/>
      <c r="L41" s="26"/>
      <c r="M41" s="27"/>
      <c r="N41" s="27"/>
      <c r="O41" s="27"/>
      <c r="P41" s="27"/>
      <c r="Q41" s="27"/>
      <c r="R41" s="27"/>
      <c r="S41" s="27"/>
    </row>
    <row r="42" spans="3:20" s="259" customFormat="1" ht="15" customHeight="1">
      <c r="C42" s="1009" t="str">
        <f>IF(Indice_index!$Z$1=1,"Despesa de capital","Capital expenditure")</f>
        <v>Despesa de capital</v>
      </c>
      <c r="D42" s="1009">
        <f t="shared" ref="D42:E42" si="21">+D43+D44+D47+D48</f>
        <v>5568.2323646999976</v>
      </c>
      <c r="E42" s="1009">
        <f t="shared" si="21"/>
        <v>8321.1764980000007</v>
      </c>
      <c r="F42" s="1009">
        <f t="shared" ref="F42:G42" si="22">+F43+F44+F47+F48</f>
        <v>3757.6319699599994</v>
      </c>
      <c r="G42" s="1009">
        <f t="shared" si="22"/>
        <v>3489.8004426299999</v>
      </c>
      <c r="H42" s="1010">
        <f t="shared" si="14"/>
        <v>41.938786462091933</v>
      </c>
      <c r="I42" s="1010">
        <f>IF(IFERROR((G42-F42)/F42*100,"")&gt;500,"-",IFERROR((G42-F42)/F42*100,""))</f>
        <v>-7.1276678895418968</v>
      </c>
      <c r="J42" s="1011">
        <f t="shared" ref="J42:J47" si="23">IFERROR((G42-F42)/$F$50*100,"")</f>
        <v>-0.41430470503689448</v>
      </c>
      <c r="K42" s="261"/>
      <c r="L42" s="262"/>
      <c r="M42" s="263"/>
      <c r="N42" s="263"/>
      <c r="O42" s="263"/>
      <c r="P42" s="263"/>
      <c r="Q42" s="263"/>
      <c r="R42" s="263"/>
      <c r="S42" s="263"/>
      <c r="T42" s="261"/>
    </row>
    <row r="43" spans="3:20" ht="15" customHeight="1">
      <c r="C43" s="1017" t="str">
        <f>IF(Indice_index!$Z$1=1,"Investimento","Investments")</f>
        <v>Investimento</v>
      </c>
      <c r="D43" s="1013">
        <v>3462.5933778499971</v>
      </c>
      <c r="E43" s="1013">
        <v>5891.1099839999997</v>
      </c>
      <c r="F43" s="1013">
        <v>2258.4561910799994</v>
      </c>
      <c r="G43" s="1013">
        <v>2423.5339308199991</v>
      </c>
      <c r="H43" s="1014">
        <f t="shared" si="14"/>
        <v>41.138833554325288</v>
      </c>
      <c r="I43" s="1014">
        <f>IF(IFERROR((G43-F43)/F43*100,"")&gt;500,"-",IFERROR((G43-F43)/F43*100,""))</f>
        <v>7.3093177716703526</v>
      </c>
      <c r="J43" s="1015">
        <f t="shared" si="23"/>
        <v>0.25535636134005368</v>
      </c>
      <c r="K43" s="24"/>
      <c r="L43" s="26"/>
      <c r="M43" s="26"/>
      <c r="N43" s="27"/>
      <c r="O43" s="27"/>
      <c r="P43" s="27"/>
      <c r="Q43" s="27"/>
      <c r="R43" s="27"/>
      <c r="S43" s="27"/>
    </row>
    <row r="44" spans="3:20" s="28" customFormat="1" ht="15" customHeight="1">
      <c r="C44" s="1017" t="str">
        <f>IF(Indice_index!$Z$1=1,"Transferências de capital","Capital transfers")</f>
        <v>Transferências de capital</v>
      </c>
      <c r="D44" s="1013">
        <f t="shared" ref="D44:E44" si="24">+D45+D46</f>
        <v>1904.0961641900003</v>
      </c>
      <c r="E44" s="1013">
        <f t="shared" si="24"/>
        <v>2191.1810970000001</v>
      </c>
      <c r="F44" s="1013">
        <f t="shared" ref="F44:G44" si="25">+F45+F46</f>
        <v>1355.4062256</v>
      </c>
      <c r="G44" s="1013">
        <f t="shared" si="25"/>
        <v>924.40495961000011</v>
      </c>
      <c r="H44" s="1014">
        <f t="shared" si="14"/>
        <v>42.187519820959828</v>
      </c>
      <c r="I44" s="1014">
        <f>IF(IFERROR((G44-F44)/F44*100,"")&gt;500,"-",IFERROR((G44-F44)/F44*100,""))</f>
        <v>-31.798678348198369</v>
      </c>
      <c r="J44" s="1015">
        <f t="shared" si="23"/>
        <v>-0.66670960717966987</v>
      </c>
      <c r="K44" s="24"/>
      <c r="L44" s="26"/>
      <c r="M44" s="27"/>
      <c r="N44" s="27"/>
      <c r="O44" s="27"/>
      <c r="P44" s="27"/>
      <c r="Q44" s="27"/>
      <c r="R44" s="27"/>
      <c r="S44" s="27"/>
      <c r="T44" s="24"/>
    </row>
    <row r="45" spans="3:20" ht="15" customHeight="1">
      <c r="C45" s="1018" t="str">
        <f>IF(Indice_index!$Z$1=1,"Administrações Públicas","General Government subsectors")</f>
        <v>Administrações Públicas</v>
      </c>
      <c r="D45" s="1013">
        <v>607.42973998000014</v>
      </c>
      <c r="E45" s="1013">
        <v>638.36872000000005</v>
      </c>
      <c r="F45" s="1013">
        <v>432.43745008000002</v>
      </c>
      <c r="G45" s="1013">
        <v>381.37088877000002</v>
      </c>
      <c r="H45" s="1014">
        <f t="shared" si="14"/>
        <v>59.74147492220483</v>
      </c>
      <c r="I45" s="1014">
        <f>IF(IFERROR((G45-F45)/F45*100,"")&gt;500,"-",IFERROR((G45-F45)/F45*100,""))</f>
        <v>-11.809005279388449</v>
      </c>
      <c r="J45" s="1015">
        <f t="shared" si="23"/>
        <v>-7.8994123028391705E-2</v>
      </c>
      <c r="K45" s="24"/>
      <c r="L45" s="26"/>
      <c r="M45" s="27"/>
      <c r="N45" s="27"/>
      <c r="O45" s="27"/>
      <c r="P45" s="27"/>
      <c r="Q45" s="27"/>
      <c r="R45" s="27"/>
      <c r="S45" s="27"/>
    </row>
    <row r="46" spans="3:20" ht="15" customHeight="1">
      <c r="C46" s="1018" t="str">
        <f>IF(Indice_index!$Z$1=1,"Outras","Others")</f>
        <v>Outras</v>
      </c>
      <c r="D46" s="1013">
        <v>1296.6664242100001</v>
      </c>
      <c r="E46" s="1013">
        <v>1552.8123770000002</v>
      </c>
      <c r="F46" s="1013">
        <v>922.96877552000001</v>
      </c>
      <c r="G46" s="1013">
        <v>543.03407084000014</v>
      </c>
      <c r="H46" s="1014">
        <f t="shared" si="14"/>
        <v>34.971003508429668</v>
      </c>
      <c r="I46" s="1014">
        <f t="shared" ref="I46" si="26">IF(IFERROR((G46-F46)/F46*100,"")&gt;500,"-",IFERROR((G46-F46)/F46*100,""))</f>
        <v>-41.164415823920471</v>
      </c>
      <c r="J46" s="1015">
        <f t="shared" si="23"/>
        <v>-0.58771548415127817</v>
      </c>
      <c r="K46" s="24"/>
      <c r="L46" s="26"/>
      <c r="M46" s="27"/>
      <c r="N46" s="27"/>
      <c r="O46" s="27"/>
      <c r="P46" s="27"/>
      <c r="Q46" s="27"/>
      <c r="R46" s="27"/>
      <c r="S46" s="27"/>
    </row>
    <row r="47" spans="3:20" ht="15" customHeight="1">
      <c r="C47" s="1017" t="str">
        <f>IF(Indice_index!$Z$1=1,"Outras despesas de capital","Other capital expenditure")</f>
        <v>Outras despesas de capital</v>
      </c>
      <c r="D47" s="1013">
        <v>149.79872605000003</v>
      </c>
      <c r="E47" s="1013">
        <v>236.364294</v>
      </c>
      <c r="F47" s="1013">
        <v>39.580828250000003</v>
      </c>
      <c r="G47" s="1013">
        <v>92.568336950000017</v>
      </c>
      <c r="H47" s="1014">
        <f t="shared" si="14"/>
        <v>39.16341820647412</v>
      </c>
      <c r="I47" s="1014">
        <f>IF(IFERROR((G47-F47)/F47*100,"")&gt;500,"-",IFERROR((G47-F47)/F47*100,""))</f>
        <v>133.87165211733537</v>
      </c>
      <c r="J47" s="1015">
        <f t="shared" si="23"/>
        <v>8.196560868483857E-2</v>
      </c>
      <c r="K47" s="24"/>
      <c r="L47" s="26"/>
      <c r="M47" s="26"/>
      <c r="N47" s="27"/>
      <c r="O47" s="27"/>
      <c r="P47" s="27"/>
      <c r="Q47" s="27"/>
      <c r="R47" s="27"/>
      <c r="S47" s="27"/>
    </row>
    <row r="48" spans="3:20" ht="15" customHeight="1">
      <c r="C48" s="1017" t="str">
        <f>IF(Indice_index!$Z$1=1,"Diferenças de consolidação","Consolidation differences")</f>
        <v>Diferenças de consolidação</v>
      </c>
      <c r="D48" s="1013">
        <v>51.744096609999815</v>
      </c>
      <c r="E48" s="1013">
        <v>2.5211229999999887</v>
      </c>
      <c r="F48" s="1013">
        <v>104.18872502999999</v>
      </c>
      <c r="G48" s="1013">
        <v>49.293215250000181</v>
      </c>
      <c r="H48" s="1015"/>
      <c r="I48" s="1015"/>
      <c r="J48" s="1015"/>
      <c r="K48" s="24"/>
      <c r="L48" s="26"/>
      <c r="M48" s="27"/>
      <c r="N48" s="27"/>
      <c r="O48" s="27"/>
      <c r="P48" s="27"/>
      <c r="Q48" s="27"/>
      <c r="R48" s="27"/>
      <c r="S48" s="27"/>
    </row>
    <row r="49" spans="3:20" ht="2.5" customHeight="1">
      <c r="C49" s="1013"/>
      <c r="D49" s="1013"/>
      <c r="E49" s="1013"/>
      <c r="F49" s="1013"/>
      <c r="G49" s="1013"/>
      <c r="H49" s="1015"/>
      <c r="I49" s="1015"/>
      <c r="J49" s="1015"/>
      <c r="K49" s="24"/>
      <c r="L49" s="26"/>
      <c r="M49" s="27"/>
      <c r="N49" s="27"/>
      <c r="O49" s="27"/>
      <c r="P49" s="27"/>
      <c r="Q49" s="27"/>
      <c r="R49" s="27"/>
      <c r="S49" s="27"/>
    </row>
    <row r="50" spans="3:20" s="259" customFormat="1" ht="15" customHeight="1">
      <c r="C50" s="1023" t="str">
        <f>IF(Indice_index!$Z$1=1,"Despesa efetiva","Effective Expenditure")</f>
        <v>Despesa efetiva</v>
      </c>
      <c r="D50" s="1023">
        <f t="shared" ref="D50:E50" si="27">+D29+D42</f>
        <v>92465.632661010037</v>
      </c>
      <c r="E50" s="1023">
        <f t="shared" si="27"/>
        <v>98515.79797900001</v>
      </c>
      <c r="F50" s="1023">
        <f t="shared" ref="F50:G50" si="28">+F29+F42</f>
        <v>64646.025998220008</v>
      </c>
      <c r="G50" s="1023">
        <f t="shared" si="28"/>
        <v>64611.907585560039</v>
      </c>
      <c r="H50" s="1024">
        <f>IFERROR(IF(G50/E50*100&lt;-500,"-",IF(G50/E50*100&gt;500,"-",G50/E50*100)),"-")</f>
        <v>65.585326324345417</v>
      </c>
      <c r="I50" s="1024">
        <f t="shared" ref="I50" si="29">IF(IFERROR((G50-F50)/F50*100,"")&gt;500,"-",IFERROR((G50-F50)/F50*100,""))</f>
        <v>-5.2777277695165076E-2</v>
      </c>
      <c r="J50" s="1025"/>
      <c r="K50" s="261"/>
      <c r="L50" s="262"/>
      <c r="M50" s="263"/>
      <c r="N50" s="263"/>
      <c r="O50" s="263"/>
      <c r="P50" s="263"/>
      <c r="Q50" s="263"/>
      <c r="R50" s="263"/>
      <c r="S50" s="263"/>
      <c r="T50" s="261"/>
    </row>
    <row r="51" spans="3:20" ht="8.25" customHeight="1">
      <c r="C51" s="1007"/>
      <c r="D51" s="1007"/>
      <c r="E51" s="1007"/>
      <c r="F51" s="33"/>
      <c r="G51" s="1007"/>
      <c r="H51" s="1026"/>
      <c r="I51" s="1026"/>
      <c r="J51" s="1027"/>
      <c r="K51" s="29"/>
      <c r="L51" s="26"/>
      <c r="M51" s="27"/>
      <c r="N51" s="27"/>
      <c r="O51" s="27"/>
      <c r="P51" s="27"/>
      <c r="Q51" s="27"/>
      <c r="R51" s="27"/>
      <c r="S51" s="27"/>
    </row>
    <row r="52" spans="3:20" s="259" customFormat="1" ht="15" customHeight="1">
      <c r="C52" s="1028" t="str">
        <f>IF(Indice_index!$Z$1=1,"Saldo global","Overall balance")</f>
        <v>Saldo global</v>
      </c>
      <c r="D52" s="1028">
        <f t="shared" ref="D52:E52" si="30">+D27-D50</f>
        <v>-8294.4546959600557</v>
      </c>
      <c r="E52" s="1028">
        <f t="shared" si="30"/>
        <v>-5173.5716730011918</v>
      </c>
      <c r="F52" s="1028">
        <f t="shared" ref="F52:G52" si="31">+F27-F50</f>
        <v>-4736.4763243500129</v>
      </c>
      <c r="G52" s="1028">
        <f t="shared" si="31"/>
        <v>4916.0123195699707</v>
      </c>
      <c r="H52" s="1029"/>
      <c r="I52" s="1029"/>
      <c r="J52" s="1029"/>
      <c r="L52" s="265"/>
      <c r="M52" s="265"/>
      <c r="N52" s="263"/>
      <c r="O52" s="263"/>
      <c r="P52" s="263"/>
      <c r="Q52" s="263"/>
      <c r="R52" s="263"/>
      <c r="S52" s="263"/>
      <c r="T52" s="261"/>
    </row>
    <row r="53" spans="3:20" ht="5.15" customHeight="1">
      <c r="C53" s="1030"/>
      <c r="D53" s="1030"/>
      <c r="E53" s="1030"/>
      <c r="F53" s="1008"/>
      <c r="G53" s="1013"/>
      <c r="H53" s="1027"/>
      <c r="I53" s="1027"/>
      <c r="J53" s="1027"/>
      <c r="L53" s="26"/>
      <c r="M53" s="27"/>
      <c r="N53" s="27"/>
      <c r="O53" s="27"/>
      <c r="P53" s="27"/>
      <c r="Q53" s="27"/>
      <c r="R53" s="27"/>
      <c r="S53" s="27"/>
    </row>
    <row r="54" spans="3:20" ht="15" customHeight="1">
      <c r="C54" s="1017" t="str">
        <f>IF(Indice_index!$Z$1=1,"Despesa primária","Primary expenditure")</f>
        <v>Despesa primária</v>
      </c>
      <c r="D54" s="1031">
        <f>+D50-D35</f>
        <v>85665.907735180037</v>
      </c>
      <c r="E54" s="1031">
        <f>+E50-E35</f>
        <v>91878.565537000017</v>
      </c>
      <c r="F54" s="1031">
        <f t="shared" ref="F54" si="32">+F50-F35</f>
        <v>60040.792578690001</v>
      </c>
      <c r="G54" s="1031">
        <f>+G50-G35</f>
        <v>60451.631884670038</v>
      </c>
      <c r="H54" s="1014">
        <f>IFERROR(IF(G54/E54*100&lt;-500,"-",IF(G54/E54*100&gt;500,"-",G54/E54*100)),"-")</f>
        <v>65.795141153271302</v>
      </c>
      <c r="I54" s="1014">
        <f t="shared" ref="I54" si="33">IF(IFERROR((G54-F54)/F54*100,"")&gt;500,"-",IFERROR((G54-F54)/F54*100,""))</f>
        <v>0.68426695973672691</v>
      </c>
      <c r="J54" s="1014">
        <f t="shared" ref="J54" si="34">IFERROR((G54-F54)/$F$50*100,"")</f>
        <v>0.63552136366642042</v>
      </c>
      <c r="K54" s="30"/>
      <c r="L54" s="30"/>
      <c r="M54" s="30"/>
      <c r="N54" s="27"/>
      <c r="O54" s="27"/>
      <c r="P54" s="27"/>
      <c r="Q54" s="27"/>
      <c r="R54" s="27"/>
      <c r="S54" s="27"/>
    </row>
    <row r="55" spans="3:20" ht="15" customHeight="1">
      <c r="C55" s="1017" t="str">
        <f>IF(Indice_index!$Z$1=1,"Saldo corrente","Current balance")</f>
        <v>Saldo corrente</v>
      </c>
      <c r="D55" s="1031">
        <f>+D9-D29</f>
        <v>-3941.2914915800502</v>
      </c>
      <c r="E55" s="1031">
        <f>+E9-E29</f>
        <v>-524.89409800119756</v>
      </c>
      <c r="F55" s="1031">
        <f>+F9-F29</f>
        <v>-1797.6256845200114</v>
      </c>
      <c r="G55" s="1031">
        <f>+G9-G29</f>
        <v>7156.4605359999696</v>
      </c>
      <c r="H55" s="1031"/>
      <c r="I55" s="1031"/>
      <c r="J55" s="1031"/>
      <c r="L55" s="30"/>
      <c r="M55" s="27"/>
      <c r="N55" s="27"/>
      <c r="O55" s="27"/>
      <c r="P55" s="27"/>
      <c r="Q55" s="27"/>
      <c r="R55" s="24"/>
    </row>
    <row r="56" spans="3:20" ht="15" customHeight="1">
      <c r="C56" s="1017" t="str">
        <f>IF(Indice_index!$Z$1=1,"Saldo de capital","Capital balance")</f>
        <v>Saldo de capital</v>
      </c>
      <c r="D56" s="1031">
        <f t="shared" ref="D56:E56" si="35">+D19-D42</f>
        <v>-4353.1632043799973</v>
      </c>
      <c r="E56" s="1031">
        <f t="shared" si="35"/>
        <v>-4648.6775750000006</v>
      </c>
      <c r="F56" s="1031">
        <f t="shared" ref="F56:G56" si="36">+F19-F42</f>
        <v>-2938.8506398299996</v>
      </c>
      <c r="G56" s="1031">
        <f t="shared" si="36"/>
        <v>-2240.4482164299998</v>
      </c>
      <c r="H56" s="1031"/>
      <c r="I56" s="1031"/>
      <c r="J56" s="1031"/>
      <c r="L56" s="30"/>
      <c r="M56" s="27"/>
      <c r="N56" s="27"/>
      <c r="O56" s="27"/>
      <c r="P56" s="27"/>
      <c r="Q56" s="27"/>
      <c r="R56" s="24"/>
    </row>
    <row r="57" spans="3:20" ht="15" customHeight="1">
      <c r="C57" s="1032" t="str">
        <f>IF(Indice_index!$Z$1=1,"Saldo primário","Primary balance")</f>
        <v>Saldo primário</v>
      </c>
      <c r="D57" s="1033">
        <f t="shared" ref="D57:E57" si="37">+D52+D35</f>
        <v>-1494.7297701300558</v>
      </c>
      <c r="E57" s="1033">
        <f t="shared" si="37"/>
        <v>1463.6607689988077</v>
      </c>
      <c r="F57" s="1033">
        <f t="shared" ref="F57:G57" si="38">+F52+F35</f>
        <v>-131.24290482000742</v>
      </c>
      <c r="G57" s="1033">
        <f t="shared" si="38"/>
        <v>9076.2880204599714</v>
      </c>
      <c r="H57" s="1033"/>
      <c r="I57" s="1033"/>
      <c r="J57" s="1033"/>
      <c r="L57" s="30"/>
      <c r="M57" s="27"/>
      <c r="N57" s="27"/>
      <c r="O57" s="27"/>
      <c r="P57" s="27"/>
      <c r="Q57" s="27"/>
      <c r="R57" s="24"/>
    </row>
    <row r="58" spans="3:20" ht="15" customHeight="1">
      <c r="C58" s="1034" t="str">
        <f>IF(Indice_index!$Z$1=1,"Ativos financeiros líquidos de reembolsos","Financial assets net of reimbursements")</f>
        <v>Ativos financeiros líquidos de reembolsos</v>
      </c>
      <c r="D58" s="1035">
        <v>872.45677738999893</v>
      </c>
      <c r="E58" s="1035">
        <v>3912.9654800000026</v>
      </c>
      <c r="F58" s="1035">
        <v>-3759.1694664200022</v>
      </c>
      <c r="G58" s="1003">
        <v>387.95118323999884</v>
      </c>
      <c r="H58" s="1035"/>
      <c r="I58" s="1035"/>
      <c r="J58" s="1035"/>
      <c r="L58" s="22"/>
      <c r="M58" s="26"/>
      <c r="N58" s="27"/>
      <c r="O58" s="26"/>
      <c r="P58" s="27"/>
      <c r="Q58" s="27"/>
      <c r="R58" s="24"/>
    </row>
    <row r="59" spans="3:20" ht="15" customHeight="1">
      <c r="C59" s="1036" t="str">
        <f>IF(Indice_index!$Z$1=1,"dos quais Receitas de:","of which revenue from:")</f>
        <v>dos quais Receitas de:</v>
      </c>
      <c r="D59" s="1036"/>
      <c r="E59" s="1036"/>
      <c r="F59" s="1031"/>
      <c r="G59" s="1013"/>
      <c r="H59" s="1031"/>
      <c r="I59" s="1031"/>
      <c r="J59" s="1031"/>
      <c r="L59" s="22"/>
      <c r="M59" s="26"/>
      <c r="N59" s="27"/>
      <c r="O59" s="26"/>
      <c r="P59" s="27"/>
      <c r="Q59" s="27"/>
      <c r="R59" s="24"/>
    </row>
    <row r="60" spans="3:20" ht="15" customHeight="1">
      <c r="C60" s="1018" t="str">
        <f>IF(Indice_index!$Z$1=1,"Alienação de partes de Capital","Disposal of Capital Shares")</f>
        <v>Alienação de partes de Capital</v>
      </c>
      <c r="D60" s="1031">
        <v>1.3794E-4</v>
      </c>
      <c r="E60" s="1031">
        <v>0</v>
      </c>
      <c r="F60" s="1031">
        <v>1.3794E-4</v>
      </c>
      <c r="G60" s="1031">
        <v>0</v>
      </c>
      <c r="H60" s="1031"/>
      <c r="I60" s="1031"/>
      <c r="J60" s="1031"/>
      <c r="L60" s="22"/>
      <c r="M60" s="26"/>
      <c r="N60" s="27"/>
      <c r="O60" s="27"/>
      <c r="P60" s="27"/>
      <c r="Q60" s="27"/>
      <c r="R60" s="24"/>
    </row>
    <row r="61" spans="3:20" ht="15" customHeight="1">
      <c r="C61" s="1032" t="str">
        <f>IF(Indice_index!$Z$1=1,"Passivos financeiros líquidos de amortizações","Financial liabilities net of amortizations")</f>
        <v>Passivos financeiros líquidos de amortizações</v>
      </c>
      <c r="D61" s="1033">
        <v>4116.4405282400039</v>
      </c>
      <c r="E61" s="1033">
        <v>10946.541616999981</v>
      </c>
      <c r="F61" s="1033">
        <v>-783.40759737998962</v>
      </c>
      <c r="G61" s="1005">
        <v>3963.9599701899797</v>
      </c>
      <c r="H61" s="1033"/>
      <c r="I61" s="1033"/>
      <c r="J61" s="1033"/>
      <c r="L61" s="22"/>
      <c r="M61" s="26"/>
      <c r="N61" s="27"/>
      <c r="O61" s="27"/>
      <c r="P61" s="27"/>
      <c r="Q61" s="27"/>
      <c r="R61" s="24"/>
    </row>
    <row r="62" spans="3:20" ht="4.5" customHeight="1">
      <c r="L62" s="30"/>
      <c r="M62" s="26"/>
      <c r="N62" s="27"/>
      <c r="O62" s="27"/>
      <c r="P62" s="27"/>
    </row>
    <row r="63" spans="3:20" ht="15" customHeight="1">
      <c r="C63" s="866" t="str">
        <f>IF(Indice_index!$Z$1=1,"Nota:","Note:")</f>
        <v>Nota:</v>
      </c>
      <c r="D63" s="62"/>
      <c r="E63" s="62"/>
      <c r="F63" s="53"/>
      <c r="G63" s="53"/>
      <c r="H63" s="53"/>
      <c r="I63" s="53"/>
      <c r="J63" s="53"/>
      <c r="L63" s="30"/>
      <c r="M63" s="26"/>
      <c r="N63" s="27"/>
      <c r="O63" s="27"/>
      <c r="P63" s="27"/>
    </row>
    <row r="64" spans="3:20" ht="15" customHeight="1">
      <c r="C64" s="1685"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685"/>
      <c r="E64" s="1685"/>
      <c r="F64" s="1685"/>
      <c r="G64" s="1685"/>
      <c r="H64" s="1685"/>
      <c r="I64" s="1685"/>
      <c r="J64" s="1685"/>
      <c r="K64" s="62"/>
      <c r="L64" s="22"/>
      <c r="R64" s="24"/>
      <c r="T64" s="22"/>
    </row>
    <row r="65" spans="3:11" ht="15" customHeight="1">
      <c r="C65" s="1037" t="str">
        <f>IF(Indice_index!$Z$1=1,"Fonte: Direção-Geral do Orçamento","Source: Budget General Directorate")</f>
        <v>Fonte: Direção-Geral do Orçamento</v>
      </c>
      <c r="D65" s="1037"/>
      <c r="E65" s="1037"/>
      <c r="F65" s="24"/>
      <c r="G65" s="668"/>
      <c r="J65" s="1007"/>
    </row>
    <row r="66" spans="3:11">
      <c r="F66" s="669"/>
      <c r="G66" s="668"/>
      <c r="J66" s="24"/>
    </row>
    <row r="67" spans="3:11" ht="13">
      <c r="C67" s="327"/>
      <c r="D67" s="327"/>
      <c r="E67" s="327"/>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4 A5:C5 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10</Mes>
    <_dlc_DocId xmlns="23bc334f-0e17-402a-872b-0123af4c73a8">X4XX2SRTQWXX-37-1724</_dlc_DocId>
    <_dlc_DocIdUrl xmlns="23bc334f-0e17-402a-872b-0123af4c73a8">
      <Url>https://www.dgo.gov.pt/execucaoorcamental/_layouts/15/DocIdRedir.aspx?ID=X4XX2SRTQWXX-37-1724</Url>
      <Description>X4XX2SRTQWXX-37-1724</Description>
    </_dlc_DocIdUrl>
  </documentManagement>
</p:properties>
</file>

<file path=customXml/itemProps1.xml><?xml version="1.0" encoding="utf-8"?>
<ds:datastoreItem xmlns:ds="http://schemas.openxmlformats.org/officeDocument/2006/customXml" ds:itemID="{D39B8F3C-641C-4107-99F9-5AB858B162C4}"/>
</file>

<file path=customXml/itemProps2.xml><?xml version="1.0" encoding="utf-8"?>
<ds:datastoreItem xmlns:ds="http://schemas.openxmlformats.org/officeDocument/2006/customXml" ds:itemID="{ED2AB88B-A1CB-47FE-978A-BD67256441C8}"/>
</file>

<file path=customXml/itemProps3.xml><?xml version="1.0" encoding="utf-8"?>
<ds:datastoreItem xmlns:ds="http://schemas.openxmlformats.org/officeDocument/2006/customXml" ds:itemID="{C3075FD4-E23E-41F5-9199-C1AE382A205C}"/>
</file>

<file path=customXml/itemProps4.xml><?xml version="1.0" encoding="utf-8"?>
<ds:datastoreItem xmlns:ds="http://schemas.openxmlformats.org/officeDocument/2006/customXml" ds:itemID="{FE7A9716-04B9-4569-87B7-C802BD2420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2022-10-27T12:40:07Z</cp:lastPrinted>
  <dcterms:created xsi:type="dcterms:W3CDTF">2018-09-13T17:26:24Z</dcterms:created>
  <dcterms:modified xsi:type="dcterms:W3CDTF">2022-10-27T19:53:46Z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a67ae52c-1ff5-4d89-b86c-5cd0b2d55ac6</vt:lpwstr>
  </property>
</Properties>
</file>